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8_{49A31A67-2594-4499-8C1D-ECE379CDA74D}" xr6:coauthVersionLast="47" xr6:coauthVersionMax="47" xr10:uidLastSave="{00000000-0000-0000-0000-000000000000}"/>
  <bookViews>
    <workbookView xWindow="28680" yWindow="-120" windowWidth="29040" windowHeight="15720" firstSheet="4" activeTab="13" xr2:uid="{00000000-000D-0000-FFFF-FFFF00000000}"/>
  </bookViews>
  <sheets>
    <sheet name="1" sheetId="2" r:id="rId1"/>
    <sheet name="2023 Overview" sheetId="15" state="hidden" r:id="rId2"/>
    <sheet name="2024 Overview (Budget)" sheetId="27" state="hidden" r:id="rId3"/>
    <sheet name="Annual Summary" sheetId="5" r:id="rId4"/>
    <sheet name="2025 Overview (Accrual Basis)" sheetId="34" r:id="rId5"/>
    <sheet name="2024 Overview (Accrual Basis)" sheetId="32" r:id="rId6"/>
    <sheet name="2024 Overview (Cash Basis)" sheetId="31" state="hidden" r:id="rId7"/>
    <sheet name="2024 Overview (Rolling)" sheetId="25" state="hidden" r:id="rId8"/>
    <sheet name="2024 AOP" sheetId="26" state="hidden" r:id="rId9"/>
    <sheet name="2022 Overview" sheetId="6" state="hidden" r:id="rId10"/>
    <sheet name="DCF" sheetId="33" state="hidden" r:id="rId11"/>
    <sheet name="Quarterly Overview" sheetId="37" r:id="rId12"/>
    <sheet name="2" sheetId="3" r:id="rId13"/>
    <sheet name="Monthly Detail" sheetId="1" r:id="rId14"/>
    <sheet name="3" sheetId="4" r:id="rId15"/>
    <sheet name="Home Builder Revenue Build" sheetId="28" r:id="rId16"/>
    <sheet name="Contractor Revenue Build" sheetId="29" r:id="rId17"/>
    <sheet name="October" sheetId="11" state="hidden" r:id="rId18"/>
    <sheet name="September" sheetId="12" state="hidden" r:id="rId19"/>
    <sheet name="August" sheetId="13" state="hidden" r:id="rId20"/>
    <sheet name="New Sales Forecast" sheetId="30" r:id="rId21"/>
    <sheet name="Assumptions" sheetId="36" r:id="rId22"/>
    <sheet name="People Plan" sheetId="24" state="hidden" r:id="rId23"/>
    <sheet name="Actual vs. Forecast" sheetId="23" state="hidden" r:id="rId24"/>
    <sheet name="Holidays" sheetId="9" state="hidden" r:id="rId25"/>
    <sheet name="December" sheetId="19" state="hidden" r:id="rId26"/>
    <sheet name="November" sheetId="16" state="hidden" r:id="rId27"/>
    <sheet name="River" sheetId="18" state="hidden" r:id="rId28"/>
  </sheets>
  <definedNames>
    <definedName name="_xlnm._FilterDatabase" localSheetId="25" hidden="1">December!$A$1:$K$16</definedName>
    <definedName name="_xlnm._FilterDatabase" localSheetId="26" hidden="1">November!$A$1:$L$25</definedName>
    <definedName name="_xlnm._FilterDatabase" localSheetId="17" hidden="1">October!$A$1:$K$41</definedName>
    <definedName name="MLNK04527a7a692d4c5a962de6ed08306286" localSheetId="16" hidden="1">#REF!</definedName>
    <definedName name="MLNK04527a7a692d4c5a962de6ed08306286" localSheetId="10" hidden="1">#REF!</definedName>
    <definedName name="MLNK04527a7a692d4c5a962de6ed08306286" localSheetId="20" hidden="1">#REF!</definedName>
    <definedName name="MLNK04527a7a692d4c5a962de6ed08306286" localSheetId="11" hidden="1">#REF!</definedName>
    <definedName name="MLNK04527a7a692d4c5a962de6ed08306286" hidden="1">#REF!</definedName>
    <definedName name="_xlnm.Print_Area" localSheetId="9">'2022 Overview'!$B$2:$P$31</definedName>
    <definedName name="_xlnm.Print_Area" localSheetId="3">'Annual Summary'!$B$3:$Y$52</definedName>
  </definedNames>
  <calcPr calcId="191029"/>
  <pivotCaches>
    <pivotCache cacheId="36" r:id="rId29"/>
    <pivotCache cacheId="37" r:id="rId30"/>
    <pivotCache cacheId="38" r:id="rId31"/>
    <pivotCache cacheId="39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34" l="1"/>
  <c r="K33" i="32"/>
  <c r="AJ82" i="1" l="1"/>
  <c r="K40" i="32"/>
  <c r="H37" i="37"/>
  <c r="F37" i="37"/>
  <c r="D37" i="37"/>
  <c r="C37" i="37"/>
  <c r="G23" i="37"/>
  <c r="E23" i="37"/>
  <c r="F24" i="37"/>
  <c r="K23" i="32"/>
  <c r="H24" i="37"/>
  <c r="C24" i="37"/>
  <c r="D24" i="37"/>
  <c r="H23" i="37"/>
  <c r="F23" i="37"/>
  <c r="D23" i="37"/>
  <c r="C23" i="37"/>
  <c r="F38" i="37"/>
  <c r="D38" i="37"/>
  <c r="C38" i="37"/>
  <c r="H11" i="37"/>
  <c r="H33" i="37" s="1"/>
  <c r="F11" i="37"/>
  <c r="F18" i="37" s="1"/>
  <c r="D11" i="37"/>
  <c r="C11" i="37"/>
  <c r="H17" i="37" l="1"/>
  <c r="H18" i="37"/>
  <c r="I18" i="37" s="1"/>
  <c r="D33" i="37"/>
  <c r="C26" i="37"/>
  <c r="F33" i="37"/>
  <c r="I33" i="37" s="1"/>
  <c r="C17" i="37"/>
  <c r="D26" i="37"/>
  <c r="C19" i="37"/>
  <c r="F26" i="37"/>
  <c r="F28" i="37" s="1"/>
  <c r="C18" i="37"/>
  <c r="F27" i="37"/>
  <c r="D17" i="37"/>
  <c r="H27" i="37"/>
  <c r="F15" i="37"/>
  <c r="F19" i="37"/>
  <c r="C33" i="37"/>
  <c r="F13" i="37"/>
  <c r="F17" i="37"/>
  <c r="C27" i="37"/>
  <c r="C28" i="37" s="1"/>
  <c r="H12" i="37"/>
  <c r="D18" i="37"/>
  <c r="D19" i="37"/>
  <c r="G19" i="37" s="1"/>
  <c r="H26" i="37"/>
  <c r="F12" i="37"/>
  <c r="D27" i="37"/>
  <c r="E38" i="37"/>
  <c r="C12" i="37"/>
  <c r="C15" i="37"/>
  <c r="D15" i="37"/>
  <c r="D12" i="37"/>
  <c r="H15" i="37"/>
  <c r="G38" i="37"/>
  <c r="H28" i="37" l="1"/>
  <c r="D28" i="37"/>
  <c r="G33" i="37"/>
  <c r="E18" i="37"/>
  <c r="F20" i="37"/>
  <c r="C20" i="37"/>
  <c r="G26" i="37"/>
  <c r="E15" i="37"/>
  <c r="G18" i="37"/>
  <c r="F14" i="37"/>
  <c r="G15" i="37"/>
  <c r="K15" i="37"/>
  <c r="I26" i="37"/>
  <c r="D20" i="37"/>
  <c r="E19" i="37"/>
  <c r="I17" i="37"/>
  <c r="E12" i="37"/>
  <c r="G12" i="37"/>
  <c r="E26" i="37"/>
  <c r="K18" i="37"/>
  <c r="E17" i="37"/>
  <c r="K12" i="37"/>
  <c r="G27" i="37"/>
  <c r="G28" i="37"/>
  <c r="K27" i="37"/>
  <c r="I27" i="37"/>
  <c r="G17" i="37"/>
  <c r="I12" i="37"/>
  <c r="E27" i="37"/>
  <c r="E28" i="37" s="1"/>
  <c r="K17" i="37"/>
  <c r="K26" i="37"/>
  <c r="K33" i="37"/>
  <c r="E33" i="37"/>
  <c r="G20" i="37" l="1"/>
  <c r="K28" i="37"/>
  <c r="E20" i="37"/>
  <c r="F22" i="37"/>
  <c r="I28" i="37"/>
  <c r="F30" i="37" l="1"/>
  <c r="F31" i="37" l="1"/>
  <c r="F34" i="37"/>
  <c r="F35" i="37" s="1"/>
  <c r="AN40" i="1" l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AM40" i="1"/>
  <c r="AL40" i="1"/>
  <c r="AK122" i="1"/>
  <c r="AJ135" i="1"/>
  <c r="N39" i="29"/>
  <c r="AI135" i="1"/>
  <c r="M40" i="29"/>
  <c r="N40" i="29" s="1"/>
  <c r="K40" i="29"/>
  <c r="L40" i="29" s="1"/>
  <c r="J40" i="29"/>
  <c r="O18" i="29"/>
  <c r="E18" i="29"/>
  <c r="N38" i="29"/>
  <c r="E19" i="29"/>
  <c r="E14" i="29"/>
  <c r="E10" i="29"/>
  <c r="M38" i="29"/>
  <c r="AI11" i="1" s="1"/>
  <c r="AI31" i="1" s="1"/>
  <c r="G2" i="29"/>
  <c r="H2" i="29" s="1"/>
  <c r="I2" i="29" s="1"/>
  <c r="J2" i="29" s="1"/>
  <c r="K2" i="29" s="1"/>
  <c r="L2" i="29" s="1"/>
  <c r="M2" i="29" s="1"/>
  <c r="N2" i="29" s="1"/>
  <c r="O2" i="29" s="1"/>
  <c r="P2" i="29" s="1"/>
  <c r="Q2" i="29" s="1"/>
  <c r="R2" i="29" s="1"/>
  <c r="S2" i="29" s="1"/>
  <c r="T2" i="29" s="1"/>
  <c r="U2" i="29" s="1"/>
  <c r="V2" i="29" s="1"/>
  <c r="W2" i="29" s="1"/>
  <c r="X2" i="29" s="1"/>
  <c r="Y2" i="29" s="1"/>
  <c r="Z2" i="29" s="1"/>
  <c r="AA2" i="29" s="1"/>
  <c r="AB2" i="29" s="1"/>
  <c r="AC2" i="29" s="1"/>
  <c r="AD2" i="29" s="1"/>
  <c r="AE2" i="29" s="1"/>
  <c r="AF2" i="29" s="1"/>
  <c r="AG2" i="29" s="1"/>
  <c r="AH2" i="29" s="1"/>
  <c r="AI2" i="29" s="1"/>
  <c r="AJ2" i="29" s="1"/>
  <c r="AK2" i="29" s="1"/>
  <c r="AL2" i="29" s="1"/>
  <c r="AM2" i="29" s="1"/>
  <c r="AN2" i="29" s="1"/>
  <c r="AO2" i="29" s="1"/>
  <c r="AP2" i="29" s="1"/>
  <c r="AQ2" i="29" s="1"/>
  <c r="AR2" i="29" s="1"/>
  <c r="AS2" i="29" s="1"/>
  <c r="AT2" i="29" s="1"/>
  <c r="AU2" i="29" s="1"/>
  <c r="AV2" i="29" s="1"/>
  <c r="AW2" i="29" s="1"/>
  <c r="AX2" i="29" s="1"/>
  <c r="AY2" i="29" s="1"/>
  <c r="AZ2" i="29" s="1"/>
  <c r="BA2" i="29" s="1"/>
  <c r="BB2" i="29" s="1"/>
  <c r="BC2" i="29" s="1"/>
  <c r="BD2" i="29" s="1"/>
  <c r="BE2" i="29" s="1"/>
  <c r="BF2" i="29" s="1"/>
  <c r="BG2" i="29" s="1"/>
  <c r="BH2" i="29" s="1"/>
  <c r="BI2" i="29" s="1"/>
  <c r="BJ2" i="29" s="1"/>
  <c r="BK2" i="29" s="1"/>
  <c r="BL2" i="29" s="1"/>
  <c r="BM2" i="29" s="1"/>
  <c r="BN2" i="29" s="1"/>
  <c r="BO2" i="29" s="1"/>
  <c r="BP2" i="29" s="1"/>
  <c r="BQ2" i="29" s="1"/>
  <c r="BR2" i="29" s="1"/>
  <c r="BS2" i="29" s="1"/>
  <c r="BT2" i="29" s="1"/>
  <c r="BU2" i="29" s="1"/>
  <c r="BV2" i="29" s="1"/>
  <c r="BW2" i="29" s="1"/>
  <c r="BX2" i="29" s="1"/>
  <c r="BY2" i="29" s="1"/>
  <c r="BZ2" i="29" s="1"/>
  <c r="CA2" i="29" s="1"/>
  <c r="CB2" i="29" s="1"/>
  <c r="CC2" i="29" s="1"/>
  <c r="CD2" i="29" s="1"/>
  <c r="CE2" i="29" s="1"/>
  <c r="CF2" i="29" s="1"/>
  <c r="CG2" i="29" s="1"/>
  <c r="CH2" i="29" s="1"/>
  <c r="CI2" i="29" s="1"/>
  <c r="CJ2" i="29" s="1"/>
  <c r="CK2" i="29" s="1"/>
  <c r="N4" i="29"/>
  <c r="N41" i="29"/>
  <c r="X13" i="28"/>
  <c r="X18" i="28" s="1"/>
  <c r="N4" i="30"/>
  <c r="N5" i="30"/>
  <c r="N6" i="30"/>
  <c r="N7" i="30"/>
  <c r="N11" i="30"/>
  <c r="N12" i="30"/>
  <c r="N13" i="30"/>
  <c r="N14" i="30"/>
  <c r="N15" i="30"/>
  <c r="N18" i="30"/>
  <c r="AJ8" i="1"/>
  <c r="AJ9" i="1" s="1"/>
  <c r="AJ26" i="1"/>
  <c r="AJ27" i="1" s="1"/>
  <c r="AJ41" i="1"/>
  <c r="AJ76" i="1" s="1"/>
  <c r="AJ47" i="1"/>
  <c r="AJ55" i="1"/>
  <c r="AJ59" i="1"/>
  <c r="AJ66" i="1"/>
  <c r="AJ75" i="1"/>
  <c r="AJ85" i="1"/>
  <c r="AJ88" i="1" s="1"/>
  <c r="AJ102" i="1"/>
  <c r="AJ111" i="1" s="1"/>
  <c r="AJ112" i="1" s="1"/>
  <c r="AJ105" i="1"/>
  <c r="AJ110" i="1"/>
  <c r="AJ116" i="1"/>
  <c r="AJ124" i="1"/>
  <c r="AJ134" i="1"/>
  <c r="AJ142" i="1"/>
  <c r="AJ149" i="1"/>
  <c r="AK39" i="1"/>
  <c r="AK41" i="1" s="1"/>
  <c r="AK47" i="1"/>
  <c r="AK51" i="1"/>
  <c r="AK52" i="1"/>
  <c r="AK53" i="1"/>
  <c r="AK54" i="1"/>
  <c r="AK59" i="1"/>
  <c r="AK62" i="1"/>
  <c r="AK64" i="1"/>
  <c r="AK65" i="1"/>
  <c r="AK68" i="1"/>
  <c r="AK69" i="1"/>
  <c r="AK70" i="1"/>
  <c r="AK71" i="1"/>
  <c r="AK73" i="1"/>
  <c r="AK74" i="1"/>
  <c r="AK85" i="1"/>
  <c r="AK88" i="1" s="1"/>
  <c r="AK108" i="1"/>
  <c r="AK110" i="1"/>
  <c r="AK123" i="1"/>
  <c r="AK141" i="1"/>
  <c r="AK142" i="1" s="1"/>
  <c r="AK147" i="1"/>
  <c r="AK149" i="1" s="1"/>
  <c r="AK148" i="1"/>
  <c r="AK153" i="1"/>
  <c r="AK154" i="1"/>
  <c r="AK155" i="1"/>
  <c r="AK158" i="1"/>
  <c r="D18" i="5"/>
  <c r="J35" i="34"/>
  <c r="AM47" i="1"/>
  <c r="AL47" i="1"/>
  <c r="AI47" i="1"/>
  <c r="AO45" i="1"/>
  <c r="AY44" i="1"/>
  <c r="AY46" i="1" s="1"/>
  <c r="AX44" i="1"/>
  <c r="AX46" i="1" s="1"/>
  <c r="AW44" i="1"/>
  <c r="AW46" i="1" s="1"/>
  <c r="AV44" i="1"/>
  <c r="AV46" i="1" s="1"/>
  <c r="AU44" i="1"/>
  <c r="AU46" i="1" s="1"/>
  <c r="AT44" i="1"/>
  <c r="AT45" i="1" s="1"/>
  <c r="AS44" i="1"/>
  <c r="H35" i="34" s="1"/>
  <c r="AR44" i="1"/>
  <c r="AR45" i="1" s="1"/>
  <c r="AQ44" i="1"/>
  <c r="AQ46" i="1" s="1"/>
  <c r="AP44" i="1"/>
  <c r="AP46" i="1" s="1"/>
  <c r="AO44" i="1"/>
  <c r="AO46" i="1" s="1"/>
  <c r="AN46" i="1"/>
  <c r="AN44" i="1"/>
  <c r="AB47" i="1"/>
  <c r="AH47" i="1"/>
  <c r="AG47" i="1"/>
  <c r="AF47" i="1"/>
  <c r="AE47" i="1"/>
  <c r="AD47" i="1"/>
  <c r="AC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H67" i="28"/>
  <c r="DG67" i="28"/>
  <c r="DF67" i="28"/>
  <c r="DE67" i="28"/>
  <c r="DD67" i="28"/>
  <c r="DC67" i="28"/>
  <c r="DB67" i="28"/>
  <c r="DA67" i="28"/>
  <c r="CZ67" i="28"/>
  <c r="CY67" i="28"/>
  <c r="CX67" i="28"/>
  <c r="CW67" i="28"/>
  <c r="CV67" i="28"/>
  <c r="CU67" i="28"/>
  <c r="CT67" i="28"/>
  <c r="CS67" i="28"/>
  <c r="CR67" i="28"/>
  <c r="CQ67" i="28"/>
  <c r="CP67" i="28"/>
  <c r="CO67" i="28"/>
  <c r="CN67" i="28"/>
  <c r="CM67" i="28"/>
  <c r="CL67" i="28"/>
  <c r="CK67" i="28"/>
  <c r="CJ67" i="28"/>
  <c r="CI67" i="28"/>
  <c r="CH67" i="28"/>
  <c r="CG67" i="28"/>
  <c r="CF67" i="28"/>
  <c r="CE67" i="28"/>
  <c r="CD67" i="28"/>
  <c r="CC67" i="28"/>
  <c r="CB67" i="28"/>
  <c r="CA67" i="28"/>
  <c r="BZ67" i="28"/>
  <c r="BY67" i="28"/>
  <c r="BX67" i="28"/>
  <c r="BW67" i="28"/>
  <c r="BV67" i="28"/>
  <c r="BU67" i="28"/>
  <c r="BT67" i="28"/>
  <c r="BS67" i="28"/>
  <c r="BR67" i="28"/>
  <c r="BQ67" i="28"/>
  <c r="BP67" i="28"/>
  <c r="BO67" i="28"/>
  <c r="BN67" i="28"/>
  <c r="BM67" i="28"/>
  <c r="BL67" i="28"/>
  <c r="BK67" i="28"/>
  <c r="BJ67" i="28"/>
  <c r="BI67" i="28"/>
  <c r="BH67" i="28"/>
  <c r="BG67" i="28"/>
  <c r="BF67" i="28"/>
  <c r="BE67" i="28"/>
  <c r="BD67" i="28"/>
  <c r="BC67" i="28"/>
  <c r="BB67" i="28"/>
  <c r="BA67" i="28"/>
  <c r="AZ67" i="28"/>
  <c r="AY67" i="28"/>
  <c r="AX67" i="28"/>
  <c r="AW67" i="28"/>
  <c r="AV67" i="28"/>
  <c r="AU67" i="28"/>
  <c r="AT67" i="28"/>
  <c r="AS67" i="28"/>
  <c r="AR67" i="28"/>
  <c r="AQ67" i="28"/>
  <c r="AP67" i="28"/>
  <c r="AO67" i="28"/>
  <c r="AN67" i="28"/>
  <c r="AM67" i="28"/>
  <c r="AL67" i="28"/>
  <c r="AK67" i="28"/>
  <c r="AJ67" i="28"/>
  <c r="AI67" i="28"/>
  <c r="AH67" i="28"/>
  <c r="AG67" i="28"/>
  <c r="AF67" i="28"/>
  <c r="AE67" i="28"/>
  <c r="AD67" i="28"/>
  <c r="AC67" i="28"/>
  <c r="AB67" i="28"/>
  <c r="AA67" i="28"/>
  <c r="Z67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DH58" i="28"/>
  <c r="DG58" i="28"/>
  <c r="DF58" i="28"/>
  <c r="DE58" i="28"/>
  <c r="DD58" i="28"/>
  <c r="DC58" i="28"/>
  <c r="DB58" i="28"/>
  <c r="DA58" i="28"/>
  <c r="CZ58" i="28"/>
  <c r="CY58" i="28"/>
  <c r="CX58" i="28"/>
  <c r="CW58" i="28"/>
  <c r="CV58" i="28"/>
  <c r="CU58" i="28"/>
  <c r="CT58" i="28"/>
  <c r="CS58" i="28"/>
  <c r="CR58" i="28"/>
  <c r="CQ58" i="28"/>
  <c r="CP58" i="28"/>
  <c r="CO58" i="28"/>
  <c r="CN58" i="28"/>
  <c r="CM58" i="28"/>
  <c r="CL58" i="28"/>
  <c r="CK58" i="28"/>
  <c r="CJ58" i="28"/>
  <c r="CI58" i="28"/>
  <c r="CH58" i="28"/>
  <c r="CG58" i="28"/>
  <c r="CF58" i="28"/>
  <c r="CE58" i="28"/>
  <c r="CD58" i="28"/>
  <c r="CC58" i="28"/>
  <c r="CB58" i="28"/>
  <c r="CA58" i="28"/>
  <c r="BZ58" i="28"/>
  <c r="BY58" i="28"/>
  <c r="BX58" i="28"/>
  <c r="BW58" i="28"/>
  <c r="BV58" i="28"/>
  <c r="BU58" i="28"/>
  <c r="BT58" i="28"/>
  <c r="BS58" i="28"/>
  <c r="BR58" i="28"/>
  <c r="BQ58" i="28"/>
  <c r="BP58" i="28"/>
  <c r="BO58" i="28"/>
  <c r="BN58" i="28"/>
  <c r="BM58" i="28"/>
  <c r="BL58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AK58" i="28"/>
  <c r="AJ58" i="28"/>
  <c r="AI58" i="28"/>
  <c r="AH58" i="28"/>
  <c r="AG58" i="28"/>
  <c r="AF58" i="28"/>
  <c r="AE58" i="28"/>
  <c r="AD58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DH50" i="28"/>
  <c r="DG50" i="28"/>
  <c r="DF50" i="28"/>
  <c r="DE50" i="28"/>
  <c r="DD50" i="28"/>
  <c r="DC50" i="28"/>
  <c r="DB50" i="28"/>
  <c r="DA50" i="28"/>
  <c r="CZ50" i="28"/>
  <c r="CY50" i="28"/>
  <c r="CX50" i="28"/>
  <c r="CW50" i="28"/>
  <c r="CV50" i="28"/>
  <c r="CU50" i="28"/>
  <c r="CT50" i="28"/>
  <c r="CS50" i="28"/>
  <c r="CR50" i="28"/>
  <c r="CQ50" i="28"/>
  <c r="CP50" i="28"/>
  <c r="CO50" i="28"/>
  <c r="CN50" i="28"/>
  <c r="CM50" i="28"/>
  <c r="CL50" i="28"/>
  <c r="CK50" i="28"/>
  <c r="CJ50" i="28"/>
  <c r="CI50" i="28"/>
  <c r="CH50" i="28"/>
  <c r="CG50" i="28"/>
  <c r="CF50" i="28"/>
  <c r="CE50" i="28"/>
  <c r="CD50" i="28"/>
  <c r="CC50" i="28"/>
  <c r="CB50" i="28"/>
  <c r="CA50" i="28"/>
  <c r="BZ50" i="28"/>
  <c r="BY50" i="28"/>
  <c r="BX50" i="28"/>
  <c r="BW50" i="28"/>
  <c r="BV50" i="28"/>
  <c r="BU50" i="28"/>
  <c r="BT50" i="28"/>
  <c r="BS50" i="28"/>
  <c r="BR50" i="28"/>
  <c r="BQ50" i="28"/>
  <c r="BP50" i="28"/>
  <c r="BO50" i="28"/>
  <c r="BN50" i="28"/>
  <c r="BM50" i="28"/>
  <c r="BL50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DH42" i="28"/>
  <c r="DG42" i="28"/>
  <c r="DF42" i="28"/>
  <c r="DE42" i="28"/>
  <c r="DD42" i="28"/>
  <c r="DC42" i="28"/>
  <c r="DB42" i="28"/>
  <c r="DA42" i="28"/>
  <c r="CZ42" i="28"/>
  <c r="CY42" i="28"/>
  <c r="CX42" i="28"/>
  <c r="CW42" i="28"/>
  <c r="CV42" i="28"/>
  <c r="CU42" i="28"/>
  <c r="CT42" i="28"/>
  <c r="CS42" i="28"/>
  <c r="CR42" i="28"/>
  <c r="CQ42" i="28"/>
  <c r="CP42" i="28"/>
  <c r="CO42" i="28"/>
  <c r="CN42" i="28"/>
  <c r="CM42" i="28"/>
  <c r="CL42" i="28"/>
  <c r="CK42" i="28"/>
  <c r="CJ42" i="28"/>
  <c r="CI42" i="28"/>
  <c r="CH42" i="28"/>
  <c r="CG42" i="28"/>
  <c r="CF42" i="28"/>
  <c r="CE42" i="28"/>
  <c r="CD42" i="28"/>
  <c r="CC42" i="28"/>
  <c r="CB42" i="28"/>
  <c r="CA42" i="28"/>
  <c r="BZ42" i="28"/>
  <c r="BY42" i="28"/>
  <c r="BX42" i="28"/>
  <c r="BW42" i="28"/>
  <c r="BV42" i="28"/>
  <c r="BU42" i="28"/>
  <c r="BT42" i="28"/>
  <c r="BS42" i="28"/>
  <c r="BR42" i="28"/>
  <c r="BQ42" i="28"/>
  <c r="BP42" i="28"/>
  <c r="BO42" i="28"/>
  <c r="BN42" i="28"/>
  <c r="BM42" i="28"/>
  <c r="BL42" i="28"/>
  <c r="BK42" i="28"/>
  <c r="BJ42" i="28"/>
  <c r="BI42" i="28"/>
  <c r="BH42" i="28"/>
  <c r="BG42" i="28"/>
  <c r="BF42" i="28"/>
  <c r="BE42" i="28"/>
  <c r="BD42" i="28"/>
  <c r="BC42" i="28"/>
  <c r="BB42" i="28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DH34" i="28"/>
  <c r="DG34" i="28"/>
  <c r="DF34" i="28"/>
  <c r="DE34" i="28"/>
  <c r="DD34" i="28"/>
  <c r="DC34" i="28"/>
  <c r="DB34" i="28"/>
  <c r="DA34" i="28"/>
  <c r="CZ34" i="28"/>
  <c r="CY34" i="28"/>
  <c r="CX34" i="28"/>
  <c r="CW34" i="28"/>
  <c r="CV34" i="28"/>
  <c r="CU34" i="28"/>
  <c r="CT34" i="28"/>
  <c r="CS34" i="28"/>
  <c r="CR34" i="28"/>
  <c r="CQ34" i="28"/>
  <c r="CP34" i="28"/>
  <c r="CO34" i="28"/>
  <c r="CN34" i="28"/>
  <c r="CM34" i="28"/>
  <c r="CL34" i="28"/>
  <c r="CK34" i="28"/>
  <c r="CJ34" i="28"/>
  <c r="CI34" i="28"/>
  <c r="CH34" i="28"/>
  <c r="CG34" i="28"/>
  <c r="CF34" i="28"/>
  <c r="CE34" i="28"/>
  <c r="CD34" i="28"/>
  <c r="CC34" i="28"/>
  <c r="CB34" i="28"/>
  <c r="CA34" i="28"/>
  <c r="BZ34" i="28"/>
  <c r="BY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AK34" i="28"/>
  <c r="AJ34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DH26" i="28"/>
  <c r="DG26" i="28"/>
  <c r="DF26" i="28"/>
  <c r="DE26" i="28"/>
  <c r="DD26" i="28"/>
  <c r="DC26" i="28"/>
  <c r="DB26" i="28"/>
  <c r="DA26" i="28"/>
  <c r="CZ26" i="28"/>
  <c r="CY26" i="28"/>
  <c r="CX26" i="28"/>
  <c r="CW26" i="28"/>
  <c r="CV26" i="28"/>
  <c r="CU26" i="28"/>
  <c r="CT26" i="28"/>
  <c r="CS26" i="28"/>
  <c r="CR26" i="28"/>
  <c r="CQ26" i="28"/>
  <c r="CP26" i="28"/>
  <c r="CO26" i="28"/>
  <c r="CN26" i="28"/>
  <c r="CM26" i="28"/>
  <c r="CL26" i="28"/>
  <c r="CK26" i="28"/>
  <c r="CJ26" i="28"/>
  <c r="CI26" i="28"/>
  <c r="CH26" i="28"/>
  <c r="CG26" i="28"/>
  <c r="CF26" i="28"/>
  <c r="CE26" i="28"/>
  <c r="CD26" i="28"/>
  <c r="CC26" i="28"/>
  <c r="CB26" i="28"/>
  <c r="CA26" i="28"/>
  <c r="BZ26" i="28"/>
  <c r="BY26" i="28"/>
  <c r="BX26" i="28"/>
  <c r="BW26" i="28"/>
  <c r="BV26" i="28"/>
  <c r="BU26" i="28"/>
  <c r="BT26" i="28"/>
  <c r="BS26" i="28"/>
  <c r="BR26" i="28"/>
  <c r="BQ26" i="28"/>
  <c r="BP26" i="28"/>
  <c r="BO26" i="28"/>
  <c r="BN26" i="28"/>
  <c r="BM26" i="28"/>
  <c r="BL26" i="28"/>
  <c r="BK26" i="28"/>
  <c r="BJ26" i="28"/>
  <c r="BI26" i="28"/>
  <c r="BH26" i="28"/>
  <c r="BG26" i="28"/>
  <c r="BF26" i="28"/>
  <c r="BE26" i="28"/>
  <c r="BD26" i="28"/>
  <c r="BC26" i="28"/>
  <c r="BB26" i="28"/>
  <c r="BA26" i="28"/>
  <c r="AZ26" i="28"/>
  <c r="AY26" i="28"/>
  <c r="AX26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AK26" i="28"/>
  <c r="AJ2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DH63" i="28"/>
  <c r="DG63" i="28"/>
  <c r="DF63" i="28"/>
  <c r="DE63" i="28"/>
  <c r="DD63" i="28"/>
  <c r="DC63" i="28"/>
  <c r="DB63" i="28"/>
  <c r="DA63" i="28"/>
  <c r="CZ63" i="28"/>
  <c r="CY63" i="28"/>
  <c r="CX63" i="28"/>
  <c r="CW63" i="28"/>
  <c r="CV63" i="28"/>
  <c r="CU63" i="28"/>
  <c r="CT63" i="28"/>
  <c r="CS63" i="28"/>
  <c r="CR63" i="28"/>
  <c r="CQ63" i="28"/>
  <c r="CP63" i="28"/>
  <c r="CO63" i="28"/>
  <c r="CN63" i="28"/>
  <c r="CM63" i="28"/>
  <c r="CL63" i="28"/>
  <c r="CK63" i="28"/>
  <c r="CJ63" i="28"/>
  <c r="CI63" i="28"/>
  <c r="CH63" i="28"/>
  <c r="CG63" i="28"/>
  <c r="CF63" i="28"/>
  <c r="CE63" i="28"/>
  <c r="CD63" i="28"/>
  <c r="CC63" i="28"/>
  <c r="CB63" i="28"/>
  <c r="CA63" i="28"/>
  <c r="BZ63" i="28"/>
  <c r="BY63" i="28"/>
  <c r="BX63" i="28"/>
  <c r="BW63" i="28"/>
  <c r="BV63" i="28"/>
  <c r="BU63" i="28"/>
  <c r="BT63" i="28"/>
  <c r="BS63" i="28"/>
  <c r="BR63" i="28"/>
  <c r="BQ63" i="28"/>
  <c r="BP63" i="28"/>
  <c r="BO63" i="28"/>
  <c r="BN63" i="28"/>
  <c r="BM63" i="28"/>
  <c r="BL63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DH54" i="28"/>
  <c r="DG54" i="28"/>
  <c r="DF54" i="28"/>
  <c r="DE54" i="28"/>
  <c r="DD54" i="28"/>
  <c r="DC54" i="28"/>
  <c r="DB54" i="28"/>
  <c r="DA54" i="28"/>
  <c r="CZ54" i="28"/>
  <c r="CY54" i="28"/>
  <c r="CX54" i="28"/>
  <c r="CW54" i="28"/>
  <c r="CV54" i="28"/>
  <c r="CU54" i="28"/>
  <c r="CT54" i="28"/>
  <c r="CS54" i="28"/>
  <c r="CR54" i="28"/>
  <c r="CQ54" i="28"/>
  <c r="CP54" i="28"/>
  <c r="CO54" i="28"/>
  <c r="CN54" i="28"/>
  <c r="CM54" i="28"/>
  <c r="CL54" i="28"/>
  <c r="CK54" i="28"/>
  <c r="CJ54" i="28"/>
  <c r="CI54" i="28"/>
  <c r="CH54" i="28"/>
  <c r="CG54" i="28"/>
  <c r="CF54" i="28"/>
  <c r="CE54" i="28"/>
  <c r="CD54" i="28"/>
  <c r="CC54" i="28"/>
  <c r="CB54" i="28"/>
  <c r="CA54" i="28"/>
  <c r="BZ54" i="28"/>
  <c r="BY54" i="28"/>
  <c r="BX54" i="28"/>
  <c r="BW54" i="28"/>
  <c r="BV54" i="28"/>
  <c r="BU54" i="28"/>
  <c r="BT54" i="28"/>
  <c r="BS54" i="28"/>
  <c r="BR54" i="28"/>
  <c r="BQ54" i="28"/>
  <c r="BP54" i="28"/>
  <c r="BO54" i="28"/>
  <c r="BN54" i="28"/>
  <c r="BM54" i="28"/>
  <c r="BL54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AK54" i="28"/>
  <c r="AJ54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DH46" i="28"/>
  <c r="DG46" i="28"/>
  <c r="DF46" i="28"/>
  <c r="DE46" i="28"/>
  <c r="DD46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DH38" i="28"/>
  <c r="DG38" i="28"/>
  <c r="DF38" i="28"/>
  <c r="DE38" i="28"/>
  <c r="DD38" i="28"/>
  <c r="DC38" i="28"/>
  <c r="DB38" i="28"/>
  <c r="DA38" i="28"/>
  <c r="CZ38" i="28"/>
  <c r="CY38" i="28"/>
  <c r="CX38" i="28"/>
  <c r="CW38" i="28"/>
  <c r="CV38" i="28"/>
  <c r="CU38" i="28"/>
  <c r="CT38" i="28"/>
  <c r="CS38" i="28"/>
  <c r="CR38" i="28"/>
  <c r="CQ38" i="28"/>
  <c r="CP38" i="28"/>
  <c r="CO38" i="28"/>
  <c r="CN38" i="28"/>
  <c r="CM38" i="28"/>
  <c r="CL38" i="28"/>
  <c r="CK38" i="28"/>
  <c r="CJ38" i="28"/>
  <c r="CI38" i="28"/>
  <c r="CH38" i="28"/>
  <c r="CG38" i="28"/>
  <c r="CF38" i="28"/>
  <c r="CE38" i="28"/>
  <c r="CD38" i="28"/>
  <c r="CC38" i="28"/>
  <c r="CB38" i="28"/>
  <c r="CA38" i="28"/>
  <c r="BZ38" i="28"/>
  <c r="BY38" i="28"/>
  <c r="BX38" i="28"/>
  <c r="BW38" i="28"/>
  <c r="BV38" i="28"/>
  <c r="BU38" i="28"/>
  <c r="BT38" i="28"/>
  <c r="BS38" i="28"/>
  <c r="BR38" i="28"/>
  <c r="BQ38" i="28"/>
  <c r="BP38" i="28"/>
  <c r="BO38" i="28"/>
  <c r="BN38" i="28"/>
  <c r="BM38" i="28"/>
  <c r="BL38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AK38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DH30" i="28"/>
  <c r="DG30" i="28"/>
  <c r="DF30" i="28"/>
  <c r="DE30" i="28"/>
  <c r="DD30" i="28"/>
  <c r="DC30" i="28"/>
  <c r="DB30" i="28"/>
  <c r="DA30" i="28"/>
  <c r="CZ30" i="28"/>
  <c r="CY30" i="28"/>
  <c r="CX30" i="28"/>
  <c r="CW30" i="28"/>
  <c r="CV30" i="28"/>
  <c r="CU30" i="28"/>
  <c r="CT30" i="28"/>
  <c r="CS30" i="28"/>
  <c r="CR30" i="28"/>
  <c r="CQ30" i="28"/>
  <c r="CP30" i="28"/>
  <c r="CO30" i="28"/>
  <c r="CN30" i="28"/>
  <c r="CM30" i="28"/>
  <c r="CL30" i="28"/>
  <c r="CK30" i="28"/>
  <c r="CJ30" i="28"/>
  <c r="CI30" i="28"/>
  <c r="CH30" i="28"/>
  <c r="CG30" i="28"/>
  <c r="CF30" i="28"/>
  <c r="CE30" i="28"/>
  <c r="CD30" i="28"/>
  <c r="CC30" i="28"/>
  <c r="CB30" i="28"/>
  <c r="CA30" i="28"/>
  <c r="BZ30" i="28"/>
  <c r="BY30" i="28"/>
  <c r="BX30" i="28"/>
  <c r="BW30" i="28"/>
  <c r="BV30" i="28"/>
  <c r="BU30" i="28"/>
  <c r="BT30" i="28"/>
  <c r="BS30" i="28"/>
  <c r="BR30" i="28"/>
  <c r="BQ30" i="28"/>
  <c r="BP30" i="28"/>
  <c r="BO30" i="28"/>
  <c r="BN30" i="28"/>
  <c r="BM30" i="28"/>
  <c r="BL30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DH22" i="28"/>
  <c r="DG22" i="28"/>
  <c r="DF22" i="28"/>
  <c r="DE22" i="28"/>
  <c r="DD22" i="28"/>
  <c r="DC22" i="28"/>
  <c r="DB22" i="28"/>
  <c r="DA22" i="28"/>
  <c r="CZ22" i="28"/>
  <c r="CY22" i="28"/>
  <c r="CX22" i="28"/>
  <c r="CW22" i="28"/>
  <c r="CV22" i="28"/>
  <c r="CU22" i="28"/>
  <c r="CT22" i="28"/>
  <c r="CS22" i="28"/>
  <c r="CR22" i="28"/>
  <c r="CQ22" i="28"/>
  <c r="CP22" i="28"/>
  <c r="CO22" i="28"/>
  <c r="CN22" i="28"/>
  <c r="CM22" i="28"/>
  <c r="CL22" i="28"/>
  <c r="CK22" i="28"/>
  <c r="CJ22" i="28"/>
  <c r="CI22" i="28"/>
  <c r="CH22" i="28"/>
  <c r="CG22" i="28"/>
  <c r="CF22" i="28"/>
  <c r="CE22" i="28"/>
  <c r="CD22" i="28"/>
  <c r="CC22" i="28"/>
  <c r="CB22" i="28"/>
  <c r="CA22" i="28"/>
  <c r="BZ22" i="28"/>
  <c r="BY22" i="28"/>
  <c r="BX22" i="28"/>
  <c r="BW22" i="28"/>
  <c r="BV22" i="28"/>
  <c r="BU22" i="28"/>
  <c r="BT22" i="28"/>
  <c r="BS22" i="28"/>
  <c r="BR22" i="28"/>
  <c r="BQ22" i="28"/>
  <c r="BP22" i="28"/>
  <c r="BO22" i="28"/>
  <c r="BN22" i="28"/>
  <c r="BM22" i="28"/>
  <c r="BL22" i="28"/>
  <c r="BK22" i="28"/>
  <c r="BJ22" i="28"/>
  <c r="BI22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X14" i="28"/>
  <c r="E17" i="29"/>
  <c r="M39" i="29"/>
  <c r="E15" i="29"/>
  <c r="E16" i="29"/>
  <c r="M4" i="29"/>
  <c r="AI8" i="1"/>
  <c r="AI9" i="1" s="1"/>
  <c r="AI26" i="1"/>
  <c r="AI27" i="1" s="1"/>
  <c r="AI41" i="1"/>
  <c r="AI55" i="1"/>
  <c r="AI59" i="1"/>
  <c r="AI66" i="1"/>
  <c r="AI85" i="1"/>
  <c r="AI88" i="1" s="1"/>
  <c r="AI102" i="1"/>
  <c r="AI105" i="1"/>
  <c r="AI110" i="1"/>
  <c r="AI116" i="1"/>
  <c r="AI124" i="1"/>
  <c r="AI134" i="1"/>
  <c r="AI142" i="1"/>
  <c r="AI149" i="1"/>
  <c r="P17" i="30"/>
  <c r="Q17" i="30" s="1"/>
  <c r="AF135" i="1"/>
  <c r="O15" i="29" l="1"/>
  <c r="O14" i="29"/>
  <c r="O10" i="29"/>
  <c r="AJ33" i="1"/>
  <c r="AJ106" i="1"/>
  <c r="AK66" i="1"/>
  <c r="AK75" i="1" s="1"/>
  <c r="AK76" i="1" s="1"/>
  <c r="AK156" i="1"/>
  <c r="AJ143" i="1"/>
  <c r="AJ144" i="1" s="1"/>
  <c r="AI12" i="1"/>
  <c r="J15" i="32" s="1"/>
  <c r="AN45" i="1"/>
  <c r="AN47" i="1" s="1"/>
  <c r="C35" i="34"/>
  <c r="C36" i="34"/>
  <c r="K35" i="34"/>
  <c r="AS45" i="1"/>
  <c r="H36" i="34"/>
  <c r="G36" i="34"/>
  <c r="AU45" i="1"/>
  <c r="AU47" i="1" s="1"/>
  <c r="D35" i="34"/>
  <c r="L35" i="34"/>
  <c r="I36" i="34"/>
  <c r="AV45" i="1"/>
  <c r="E35" i="34"/>
  <c r="M35" i="34"/>
  <c r="J36" i="34"/>
  <c r="AW45" i="1"/>
  <c r="AW47" i="1" s="1"/>
  <c r="F35" i="34"/>
  <c r="N35" i="34"/>
  <c r="K36" i="34"/>
  <c r="AS46" i="1"/>
  <c r="AS47" i="1" s="1"/>
  <c r="G35" i="34"/>
  <c r="D36" i="34"/>
  <c r="L36" i="34"/>
  <c r="AT46" i="1"/>
  <c r="AT47" i="1" s="1"/>
  <c r="AV47" i="1"/>
  <c r="E36" i="34"/>
  <c r="M36" i="34"/>
  <c r="AO47" i="1"/>
  <c r="I35" i="34"/>
  <c r="F36" i="34"/>
  <c r="N36" i="34"/>
  <c r="AR46" i="1"/>
  <c r="AR47" i="1" s="1"/>
  <c r="AP45" i="1"/>
  <c r="AP47" i="1" s="1"/>
  <c r="AX45" i="1"/>
  <c r="AX47" i="1" s="1"/>
  <c r="AQ45" i="1"/>
  <c r="AQ47" i="1" s="1"/>
  <c r="AY45" i="1"/>
  <c r="AY47" i="1" s="1"/>
  <c r="AI143" i="1"/>
  <c r="AI144" i="1" s="1"/>
  <c r="AI111" i="1"/>
  <c r="AI112" i="1" s="1"/>
  <c r="AI75" i="1"/>
  <c r="AI76" i="1" s="1"/>
  <c r="AI82" i="1" s="1"/>
  <c r="AI33" i="1"/>
  <c r="AI106" i="1"/>
  <c r="AF66" i="1"/>
  <c r="AH26" i="1"/>
  <c r="AH27" i="1" s="1"/>
  <c r="AH8" i="1"/>
  <c r="AH9" i="1" s="1"/>
  <c r="AH106" i="1" s="1"/>
  <c r="AH11" i="1"/>
  <c r="AH31" i="1" s="1"/>
  <c r="AH41" i="1"/>
  <c r="AH55" i="1"/>
  <c r="AK55" i="1" s="1"/>
  <c r="AH59" i="1"/>
  <c r="AH66" i="1"/>
  <c r="AH85" i="1"/>
  <c r="AH88" i="1" s="1"/>
  <c r="AH102" i="1"/>
  <c r="AH105" i="1"/>
  <c r="AI167" i="1" s="1"/>
  <c r="AH110" i="1"/>
  <c r="AH116" i="1"/>
  <c r="AH124" i="1"/>
  <c r="AH134" i="1"/>
  <c r="AH142" i="1"/>
  <c r="AH149" i="1"/>
  <c r="E13" i="29"/>
  <c r="J41" i="29"/>
  <c r="J39" i="29"/>
  <c r="L4" i="30"/>
  <c r="L11" i="30" s="1"/>
  <c r="L5" i="30"/>
  <c r="L12" i="30" s="1"/>
  <c r="L6" i="30"/>
  <c r="L13" i="30" s="1"/>
  <c r="L7" i="30"/>
  <c r="L14" i="30"/>
  <c r="L15" i="30"/>
  <c r="L18" i="30"/>
  <c r="C12" i="32"/>
  <c r="DH1" i="28"/>
  <c r="DH2" i="28" s="1"/>
  <c r="DH37" i="28"/>
  <c r="DH53" i="28"/>
  <c r="DH56" i="28" s="1"/>
  <c r="DH57" i="28" s="1"/>
  <c r="DH62" i="28"/>
  <c r="DH65" i="28"/>
  <c r="DH66" i="28" s="1"/>
  <c r="CW1" i="28"/>
  <c r="CW2" i="28" s="1"/>
  <c r="CX1" i="28"/>
  <c r="CY1" i="28"/>
  <c r="CY2" i="28" s="1"/>
  <c r="CZ1" i="28"/>
  <c r="DA1" i="28"/>
  <c r="DB1" i="28"/>
  <c r="DB2" i="28" s="1"/>
  <c r="DC1" i="28"/>
  <c r="DC2" i="28" s="1"/>
  <c r="DD1" i="28"/>
  <c r="DD2" i="28" s="1"/>
  <c r="DE1" i="28"/>
  <c r="DF1" i="28"/>
  <c r="DG1" i="28"/>
  <c r="CX2" i="28"/>
  <c r="CZ2" i="28"/>
  <c r="DA2" i="28"/>
  <c r="DE2" i="28"/>
  <c r="DF2" i="28"/>
  <c r="DG2" i="28"/>
  <c r="CW37" i="28"/>
  <c r="CW53" i="28"/>
  <c r="CW62" i="28"/>
  <c r="CX62" i="28"/>
  <c r="CW65" i="28"/>
  <c r="CW66" i="28" s="1"/>
  <c r="CV65" i="28"/>
  <c r="CU65" i="28"/>
  <c r="CT65" i="28"/>
  <c r="CS65" i="28"/>
  <c r="CR65" i="28"/>
  <c r="CQ65" i="28"/>
  <c r="CP65" i="28"/>
  <c r="CO65" i="28"/>
  <c r="CN65" i="28"/>
  <c r="CM65" i="28"/>
  <c r="CL65" i="28"/>
  <c r="CK65" i="28"/>
  <c r="CJ65" i="28"/>
  <c r="CI65" i="28"/>
  <c r="CH65" i="28"/>
  <c r="CG65" i="28"/>
  <c r="CF65" i="28"/>
  <c r="CE65" i="28"/>
  <c r="CD65" i="28"/>
  <c r="CC65" i="28"/>
  <c r="CB65" i="28"/>
  <c r="CA65" i="28"/>
  <c r="BZ65" i="28"/>
  <c r="BY65" i="28"/>
  <c r="BX65" i="28"/>
  <c r="BW65" i="28"/>
  <c r="BV65" i="28"/>
  <c r="BU65" i="28"/>
  <c r="BT65" i="28"/>
  <c r="BS65" i="28"/>
  <c r="BR65" i="28"/>
  <c r="BQ65" i="28"/>
  <c r="BP65" i="28"/>
  <c r="BO65" i="28"/>
  <c r="BN65" i="28"/>
  <c r="BM65" i="28"/>
  <c r="BL65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H66" i="28" s="1"/>
  <c r="I66" i="28" s="1"/>
  <c r="G65" i="28"/>
  <c r="G66" i="28" s="1"/>
  <c r="F65" i="28"/>
  <c r="F66" i="28" s="1"/>
  <c r="F64" i="28"/>
  <c r="G64" i="28" s="1"/>
  <c r="H64" i="28" s="1"/>
  <c r="I64" i="28" s="1"/>
  <c r="CJ62" i="28"/>
  <c r="CK62" i="28" s="1"/>
  <c r="CL62" i="28" s="1"/>
  <c r="CM62" i="28" s="1"/>
  <c r="CN62" i="28" s="1"/>
  <c r="CO62" i="28" s="1"/>
  <c r="CP62" i="28" s="1"/>
  <c r="CQ62" i="28" s="1"/>
  <c r="CR62" i="28" s="1"/>
  <c r="CS62" i="28" s="1"/>
  <c r="CT62" i="28" s="1"/>
  <c r="CU62" i="28" s="1"/>
  <c r="CV62" i="28" s="1"/>
  <c r="CI62" i="28"/>
  <c r="CH62" i="28"/>
  <c r="CG62" i="28"/>
  <c r="CF62" i="28"/>
  <c r="CE62" i="28"/>
  <c r="CD62" i="28"/>
  <c r="CC62" i="28"/>
  <c r="CB62" i="28"/>
  <c r="CA62" i="28"/>
  <c r="BZ62" i="28"/>
  <c r="BY62" i="28"/>
  <c r="BX62" i="28"/>
  <c r="BW62" i="28"/>
  <c r="BV62" i="28"/>
  <c r="BU62" i="28"/>
  <c r="BT62" i="28"/>
  <c r="BS62" i="28"/>
  <c r="BR62" i="28"/>
  <c r="BQ62" i="28"/>
  <c r="BP62" i="28"/>
  <c r="BO62" i="28"/>
  <c r="BN62" i="28"/>
  <c r="BM62" i="28"/>
  <c r="BL62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AK62" i="28"/>
  <c r="AJ62" i="28"/>
  <c r="AI62" i="28"/>
  <c r="AH62" i="28"/>
  <c r="AG62" i="28"/>
  <c r="AF62" i="28"/>
  <c r="AE62" i="28"/>
  <c r="AD62" i="28"/>
  <c r="AC62" i="28"/>
  <c r="AB62" i="28"/>
  <c r="AA62" i="28"/>
  <c r="Z62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BY53" i="28"/>
  <c r="F68" i="28"/>
  <c r="G68" i="28" s="1"/>
  <c r="H68" i="28" s="1"/>
  <c r="C67" i="28"/>
  <c r="C13" i="32"/>
  <c r="D13" i="32"/>
  <c r="E13" i="32"/>
  <c r="F13" i="32"/>
  <c r="G13" i="32"/>
  <c r="H13" i="32"/>
  <c r="H12" i="32"/>
  <c r="G12" i="32"/>
  <c r="F12" i="32"/>
  <c r="E12" i="32"/>
  <c r="D12" i="32"/>
  <c r="AZ53" i="28"/>
  <c r="BA53" i="28" s="1"/>
  <c r="BB53" i="28" s="1"/>
  <c r="BC53" i="28" s="1"/>
  <c r="BD53" i="28" s="1"/>
  <c r="BE53" i="28" s="1"/>
  <c r="BF53" i="28" s="1"/>
  <c r="BG53" i="28" s="1"/>
  <c r="BH53" i="28" s="1"/>
  <c r="BI53" i="28" s="1"/>
  <c r="BJ53" i="28" s="1"/>
  <c r="BK53" i="28" s="1"/>
  <c r="BL53" i="28" s="1"/>
  <c r="AY53" i="28"/>
  <c r="AY56" i="28" s="1"/>
  <c r="AX53" i="28"/>
  <c r="AW53" i="28"/>
  <c r="AV53" i="28"/>
  <c r="AU53" i="28"/>
  <c r="AT53" i="28"/>
  <c r="AS53" i="28"/>
  <c r="AR53" i="28"/>
  <c r="AQ53" i="28"/>
  <c r="AQ56" i="28" s="1"/>
  <c r="AP53" i="28"/>
  <c r="AO53" i="28"/>
  <c r="AN53" i="28"/>
  <c r="AM53" i="28"/>
  <c r="AL53" i="28"/>
  <c r="AK53" i="28"/>
  <c r="AJ53" i="28"/>
  <c r="AI53" i="28"/>
  <c r="AI56" i="28" s="1"/>
  <c r="AH53" i="28"/>
  <c r="AG53" i="28"/>
  <c r="AF53" i="28"/>
  <c r="AE53" i="28"/>
  <c r="AD53" i="28"/>
  <c r="AC53" i="28"/>
  <c r="AB53" i="28"/>
  <c r="AA53" i="28"/>
  <c r="AA56" i="28" s="1"/>
  <c r="Z53" i="28"/>
  <c r="Y53" i="28"/>
  <c r="X53" i="28"/>
  <c r="W53" i="28"/>
  <c r="V53" i="28"/>
  <c r="U53" i="28"/>
  <c r="T53" i="28"/>
  <c r="S53" i="28"/>
  <c r="S56" i="28" s="1"/>
  <c r="R53" i="28"/>
  <c r="Q53" i="28"/>
  <c r="P53" i="28"/>
  <c r="O53" i="28"/>
  <c r="N53" i="28"/>
  <c r="M53" i="28"/>
  <c r="L53" i="28"/>
  <c r="K53" i="28"/>
  <c r="K56" i="28" s="1"/>
  <c r="J53" i="28"/>
  <c r="I53" i="28"/>
  <c r="H53" i="28"/>
  <c r="G53" i="28"/>
  <c r="F53" i="28"/>
  <c r="F55" i="28" s="1"/>
  <c r="AU45" i="28"/>
  <c r="AV45" i="28" s="1"/>
  <c r="AW45" i="28" s="1"/>
  <c r="AX45" i="28" s="1"/>
  <c r="AY45" i="28" s="1"/>
  <c r="AZ45" i="28" s="1"/>
  <c r="BA45" i="28" s="1"/>
  <c r="BB45" i="28" s="1"/>
  <c r="BC45" i="28" s="1"/>
  <c r="BD45" i="28" s="1"/>
  <c r="BE45" i="28" s="1"/>
  <c r="BF45" i="28" s="1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U48" i="28" s="1"/>
  <c r="T45" i="28"/>
  <c r="S45" i="28"/>
  <c r="R45" i="28"/>
  <c r="Q45" i="28"/>
  <c r="P45" i="28"/>
  <c r="O45" i="28"/>
  <c r="N45" i="28"/>
  <c r="M45" i="28"/>
  <c r="M48" i="28" s="1"/>
  <c r="L45" i="28"/>
  <c r="K45" i="28"/>
  <c r="J45" i="28"/>
  <c r="I45" i="28"/>
  <c r="H45" i="28"/>
  <c r="G45" i="28"/>
  <c r="F45" i="28"/>
  <c r="F51" i="28" s="1"/>
  <c r="AO37" i="28"/>
  <c r="AP37" i="28" s="1"/>
  <c r="AQ37" i="28" s="1"/>
  <c r="AR37" i="28" s="1"/>
  <c r="AS37" i="28" s="1"/>
  <c r="AT37" i="28" s="1"/>
  <c r="AU37" i="28" s="1"/>
  <c r="AV37" i="28" s="1"/>
  <c r="AW37" i="28" s="1"/>
  <c r="AX37" i="28" s="1"/>
  <c r="AY37" i="28" s="1"/>
  <c r="AZ37" i="28" s="1"/>
  <c r="BA37" i="28" s="1"/>
  <c r="BB37" i="28" s="1"/>
  <c r="BC37" i="28" s="1"/>
  <c r="BD37" i="28" s="1"/>
  <c r="AN37" i="28"/>
  <c r="AM37" i="28"/>
  <c r="AL37" i="28"/>
  <c r="AK37" i="28"/>
  <c r="AJ37" i="28"/>
  <c r="AI37" i="28"/>
  <c r="AH37" i="28"/>
  <c r="AG37" i="28"/>
  <c r="AG40" i="28" s="1"/>
  <c r="AF37" i="28"/>
  <c r="AE37" i="28"/>
  <c r="AE40" i="28" s="1"/>
  <c r="AD37" i="28"/>
  <c r="AC37" i="28"/>
  <c r="AB37" i="28"/>
  <c r="AA37" i="28"/>
  <c r="AA40" i="28" s="1"/>
  <c r="Z37" i="28"/>
  <c r="Y37" i="28"/>
  <c r="X37" i="28"/>
  <c r="X40" i="28" s="1"/>
  <c r="W37" i="28"/>
  <c r="W40" i="28" s="1"/>
  <c r="V37" i="28"/>
  <c r="U37" i="28"/>
  <c r="T37" i="28"/>
  <c r="S37" i="28"/>
  <c r="R37" i="28"/>
  <c r="Q37" i="28"/>
  <c r="P37" i="28"/>
  <c r="O37" i="28"/>
  <c r="N37" i="28"/>
  <c r="M37" i="28"/>
  <c r="L37" i="28"/>
  <c r="L40" i="28" s="1"/>
  <c r="K37" i="28"/>
  <c r="K40" i="28" s="1"/>
  <c r="J37" i="28"/>
  <c r="J40" i="28" s="1"/>
  <c r="I37" i="28"/>
  <c r="H37" i="28"/>
  <c r="G37" i="28"/>
  <c r="G40" i="28" s="1"/>
  <c r="F37" i="28"/>
  <c r="F29" i="28"/>
  <c r="F21" i="28"/>
  <c r="F13" i="28"/>
  <c r="C34" i="28"/>
  <c r="V29" i="28"/>
  <c r="U29" i="28"/>
  <c r="T29" i="28"/>
  <c r="S29" i="28"/>
  <c r="S32" i="28" s="1"/>
  <c r="R29" i="28"/>
  <c r="R32" i="28" s="1"/>
  <c r="Q29" i="28"/>
  <c r="Q32" i="28" s="1"/>
  <c r="P29" i="28"/>
  <c r="P32" i="28" s="1"/>
  <c r="O29" i="28"/>
  <c r="O32" i="28" s="1"/>
  <c r="N29" i="28"/>
  <c r="N32" i="28" s="1"/>
  <c r="M29" i="28"/>
  <c r="L29" i="28"/>
  <c r="K29" i="28"/>
  <c r="K32" i="28" s="1"/>
  <c r="J29" i="28"/>
  <c r="J32" i="28" s="1"/>
  <c r="I29" i="28"/>
  <c r="I32" i="28" s="1"/>
  <c r="H29" i="28"/>
  <c r="H32" i="28" s="1"/>
  <c r="G29" i="28"/>
  <c r="G32" i="28" s="1"/>
  <c r="G21" i="28"/>
  <c r="AD21" i="28"/>
  <c r="AC21" i="28"/>
  <c r="AB21" i="28"/>
  <c r="AB24" i="28" s="1"/>
  <c r="AA21" i="28"/>
  <c r="Z21" i="28"/>
  <c r="Z24" i="28" s="1"/>
  <c r="Y21" i="28"/>
  <c r="X21" i="28"/>
  <c r="X24" i="28" s="1"/>
  <c r="W21" i="28"/>
  <c r="W24" i="28" s="1"/>
  <c r="V21" i="28"/>
  <c r="U21" i="28"/>
  <c r="T21" i="28"/>
  <c r="T24" i="28" s="1"/>
  <c r="S21" i="28"/>
  <c r="R21" i="28"/>
  <c r="R24" i="28" s="1"/>
  <c r="Q21" i="28"/>
  <c r="P21" i="28"/>
  <c r="P24" i="28" s="1"/>
  <c r="O21" i="28"/>
  <c r="O24" i="28" s="1"/>
  <c r="N21" i="28"/>
  <c r="M21" i="28"/>
  <c r="L21" i="28"/>
  <c r="L24" i="28" s="1"/>
  <c r="K21" i="28"/>
  <c r="J21" i="28"/>
  <c r="J24" i="28" s="1"/>
  <c r="I21" i="28"/>
  <c r="H21" i="28"/>
  <c r="H24" i="28" s="1"/>
  <c r="C58" i="28"/>
  <c r="C50" i="28"/>
  <c r="C42" i="28"/>
  <c r="C26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C18" i="28"/>
  <c r="W13" i="28" s="1"/>
  <c r="AL65" i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AG66" i="1"/>
  <c r="AG110" i="1"/>
  <c r="AF110" i="1"/>
  <c r="AE110" i="1"/>
  <c r="AD110" i="1"/>
  <c r="AC110" i="1"/>
  <c r="AB110" i="1"/>
  <c r="AC66" i="1"/>
  <c r="AD66" i="1"/>
  <c r="AE66" i="1"/>
  <c r="AG26" i="1"/>
  <c r="AG27" i="1" s="1"/>
  <c r="AG8" i="1"/>
  <c r="AG9" i="1" s="1"/>
  <c r="AG106" i="1" s="1"/>
  <c r="AG11" i="1"/>
  <c r="AG41" i="1"/>
  <c r="AG55" i="1"/>
  <c r="AG59" i="1"/>
  <c r="AG85" i="1"/>
  <c r="AG88" i="1" s="1"/>
  <c r="AG102" i="1"/>
  <c r="AG105" i="1"/>
  <c r="AG116" i="1"/>
  <c r="AG124" i="1"/>
  <c r="AG134" i="1"/>
  <c r="AG142" i="1"/>
  <c r="AG149" i="1"/>
  <c r="H18" i="28" l="1"/>
  <c r="H14" i="28"/>
  <c r="P18" i="28"/>
  <c r="P14" i="28"/>
  <c r="I14" i="28"/>
  <c r="I18" i="28"/>
  <c r="R18" i="28"/>
  <c r="R14" i="28"/>
  <c r="K18" i="28"/>
  <c r="K14" i="28"/>
  <c r="Q16" i="28"/>
  <c r="Q18" i="28"/>
  <c r="Q14" i="28"/>
  <c r="S14" i="28"/>
  <c r="S18" i="28"/>
  <c r="L14" i="28"/>
  <c r="L18" i="28"/>
  <c r="T14" i="28"/>
  <c r="T18" i="28"/>
  <c r="F16" i="28"/>
  <c r="F17" i="28" s="1"/>
  <c r="F14" i="28"/>
  <c r="F15" i="28" s="1"/>
  <c r="F18" i="28"/>
  <c r="F19" i="28" s="1"/>
  <c r="M14" i="28"/>
  <c r="M18" i="28"/>
  <c r="U14" i="28"/>
  <c r="U18" i="28"/>
  <c r="W16" i="28"/>
  <c r="W14" i="28"/>
  <c r="W18" i="28"/>
  <c r="N14" i="28"/>
  <c r="N18" i="28"/>
  <c r="V16" i="28"/>
  <c r="V18" i="28"/>
  <c r="V14" i="28"/>
  <c r="J14" i="28"/>
  <c r="J18" i="28"/>
  <c r="G14" i="28"/>
  <c r="G18" i="28"/>
  <c r="O18" i="28"/>
  <c r="O14" i="28"/>
  <c r="AK106" i="1"/>
  <c r="AJ79" i="1"/>
  <c r="AJ89" i="1" s="1"/>
  <c r="AK124" i="1"/>
  <c r="AJ173" i="1"/>
  <c r="AJ174" i="1" s="1"/>
  <c r="AG33" i="1"/>
  <c r="AH173" i="1"/>
  <c r="AH174" i="1" s="1"/>
  <c r="AI173" i="1"/>
  <c r="AI174" i="1" s="1"/>
  <c r="AI79" i="1"/>
  <c r="AI89" i="1" s="1"/>
  <c r="AH143" i="1"/>
  <c r="AH144" i="1" s="1"/>
  <c r="AI168" i="1" s="1"/>
  <c r="AH167" i="1"/>
  <c r="AH75" i="1"/>
  <c r="AH76" i="1" s="1"/>
  <c r="AH33" i="1"/>
  <c r="AH111" i="1"/>
  <c r="AH112" i="1" s="1"/>
  <c r="DH40" i="28"/>
  <c r="DH41" i="28" s="1"/>
  <c r="CX53" i="28"/>
  <c r="CW56" i="28"/>
  <c r="CW57" i="28" s="1"/>
  <c r="CX65" i="28"/>
  <c r="CX66" i="28" s="1"/>
  <c r="CY62" i="28"/>
  <c r="CW40" i="28"/>
  <c r="CW41" i="28" s="1"/>
  <c r="CX37" i="28"/>
  <c r="L64" i="28"/>
  <c r="M64" i="28" s="1"/>
  <c r="N64" i="28" s="1"/>
  <c r="O64" i="28" s="1"/>
  <c r="P64" i="28" s="1"/>
  <c r="Q64" i="28" s="1"/>
  <c r="R64" i="28" s="1"/>
  <c r="S64" i="28" s="1"/>
  <c r="T64" i="28" s="1"/>
  <c r="U64" i="28" s="1"/>
  <c r="V64" i="28" s="1"/>
  <c r="W64" i="28" s="1"/>
  <c r="X64" i="28" s="1"/>
  <c r="Y64" i="28" s="1"/>
  <c r="Z64" i="28" s="1"/>
  <c r="AA64" i="28" s="1"/>
  <c r="AB64" i="28" s="1"/>
  <c r="AC64" i="28" s="1"/>
  <c r="AD64" i="28" s="1"/>
  <c r="AE64" i="28" s="1"/>
  <c r="AF64" i="28" s="1"/>
  <c r="AG64" i="28" s="1"/>
  <c r="AH64" i="28" s="1"/>
  <c r="AI64" i="28" s="1"/>
  <c r="AJ64" i="28" s="1"/>
  <c r="AK64" i="28" s="1"/>
  <c r="AL64" i="28" s="1"/>
  <c r="AM64" i="28" s="1"/>
  <c r="AN64" i="28" s="1"/>
  <c r="AO64" i="28" s="1"/>
  <c r="AP64" i="28" s="1"/>
  <c r="AQ64" i="28" s="1"/>
  <c r="AR64" i="28" s="1"/>
  <c r="AS64" i="28" s="1"/>
  <c r="AT64" i="28" s="1"/>
  <c r="AU64" i="28" s="1"/>
  <c r="AV64" i="28" s="1"/>
  <c r="AW64" i="28" s="1"/>
  <c r="AX64" i="28" s="1"/>
  <c r="AY64" i="28" s="1"/>
  <c r="AZ64" i="28" s="1"/>
  <c r="BA64" i="28" s="1"/>
  <c r="BB64" i="28" s="1"/>
  <c r="BC64" i="28" s="1"/>
  <c r="BD64" i="28" s="1"/>
  <c r="BE64" i="28" s="1"/>
  <c r="BF64" i="28" s="1"/>
  <c r="BG64" i="28" s="1"/>
  <c r="BH64" i="28" s="1"/>
  <c r="BI64" i="28" s="1"/>
  <c r="BJ64" i="28" s="1"/>
  <c r="BK64" i="28" s="1"/>
  <c r="BL64" i="28" s="1"/>
  <c r="BM64" i="28" s="1"/>
  <c r="BN64" i="28" s="1"/>
  <c r="BO64" i="28" s="1"/>
  <c r="BP64" i="28" s="1"/>
  <c r="BQ64" i="28" s="1"/>
  <c r="BR64" i="28" s="1"/>
  <c r="BS64" i="28" s="1"/>
  <c r="BT64" i="28" s="1"/>
  <c r="BU64" i="28" s="1"/>
  <c r="BV64" i="28" s="1"/>
  <c r="BW64" i="28" s="1"/>
  <c r="BX64" i="28" s="1"/>
  <c r="BY64" i="28" s="1"/>
  <c r="BZ64" i="28" s="1"/>
  <c r="CA64" i="28" s="1"/>
  <c r="CB64" i="28" s="1"/>
  <c r="CC64" i="28" s="1"/>
  <c r="CD64" i="28" s="1"/>
  <c r="CE64" i="28" s="1"/>
  <c r="CF64" i="28" s="1"/>
  <c r="CG64" i="28" s="1"/>
  <c r="CH64" i="28" s="1"/>
  <c r="CI64" i="28" s="1"/>
  <c r="CJ64" i="28" s="1"/>
  <c r="CK64" i="28" s="1"/>
  <c r="CL64" i="28" s="1"/>
  <c r="CM64" i="28" s="1"/>
  <c r="CN64" i="28" s="1"/>
  <c r="CO64" i="28" s="1"/>
  <c r="CP64" i="28" s="1"/>
  <c r="CQ64" i="28" s="1"/>
  <c r="CR64" i="28" s="1"/>
  <c r="CS64" i="28" s="1"/>
  <c r="CT64" i="28" s="1"/>
  <c r="CU64" i="28" s="1"/>
  <c r="CV64" i="28" s="1"/>
  <c r="CW64" i="28" s="1"/>
  <c r="CX64" i="28" s="1"/>
  <c r="I68" i="28"/>
  <c r="J68" i="28" s="1"/>
  <c r="K68" i="28" s="1"/>
  <c r="L68" i="28" s="1"/>
  <c r="M68" i="28" s="1"/>
  <c r="N68" i="28" s="1"/>
  <c r="O68" i="28" s="1"/>
  <c r="P68" i="28" s="1"/>
  <c r="Q68" i="28" s="1"/>
  <c r="R68" i="28" s="1"/>
  <c r="S68" i="28" s="1"/>
  <c r="T68" i="28" s="1"/>
  <c r="U68" i="28" s="1"/>
  <c r="V68" i="28" s="1"/>
  <c r="W68" i="28" s="1"/>
  <c r="X68" i="28" s="1"/>
  <c r="Y68" i="28" s="1"/>
  <c r="Z68" i="28" s="1"/>
  <c r="AA68" i="28" s="1"/>
  <c r="AB68" i="28" s="1"/>
  <c r="AC68" i="28" s="1"/>
  <c r="AD68" i="28" s="1"/>
  <c r="AE68" i="28" s="1"/>
  <c r="AF68" i="28" s="1"/>
  <c r="AG68" i="28" s="1"/>
  <c r="AH68" i="28" s="1"/>
  <c r="AI68" i="28" s="1"/>
  <c r="AJ68" i="28" s="1"/>
  <c r="AK68" i="28" s="1"/>
  <c r="AL68" i="28" s="1"/>
  <c r="AM68" i="28" s="1"/>
  <c r="AN68" i="28" s="1"/>
  <c r="AO68" i="28" s="1"/>
  <c r="AP68" i="28" s="1"/>
  <c r="AQ68" i="28" s="1"/>
  <c r="AR68" i="28" s="1"/>
  <c r="AS68" i="28" s="1"/>
  <c r="AT68" i="28" s="1"/>
  <c r="AU68" i="28" s="1"/>
  <c r="AV68" i="28" s="1"/>
  <c r="AW68" i="28" s="1"/>
  <c r="AX68" i="28" s="1"/>
  <c r="AY68" i="28" s="1"/>
  <c r="AZ68" i="28" s="1"/>
  <c r="BA68" i="28" s="1"/>
  <c r="BB68" i="28" s="1"/>
  <c r="BC68" i="28" s="1"/>
  <c r="BD68" i="28" s="1"/>
  <c r="BE68" i="28" s="1"/>
  <c r="BF68" i="28" s="1"/>
  <c r="BG68" i="28" s="1"/>
  <c r="BH68" i="28" s="1"/>
  <c r="BI68" i="28" s="1"/>
  <c r="BJ68" i="28" s="1"/>
  <c r="BK68" i="28" s="1"/>
  <c r="BL68" i="28" s="1"/>
  <c r="BM68" i="28" s="1"/>
  <c r="BN68" i="28" s="1"/>
  <c r="BO68" i="28" s="1"/>
  <c r="BP68" i="28" s="1"/>
  <c r="BQ68" i="28" s="1"/>
  <c r="BR68" i="28" s="1"/>
  <c r="BS68" i="28" s="1"/>
  <c r="BT68" i="28" s="1"/>
  <c r="BU68" i="28" s="1"/>
  <c r="BV68" i="28" s="1"/>
  <c r="BW68" i="28" s="1"/>
  <c r="BX68" i="28" s="1"/>
  <c r="BY68" i="28" s="1"/>
  <c r="BZ68" i="28" s="1"/>
  <c r="CA68" i="28" s="1"/>
  <c r="CB68" i="28" s="1"/>
  <c r="CC68" i="28" s="1"/>
  <c r="CD68" i="28" s="1"/>
  <c r="CE68" i="28" s="1"/>
  <c r="CF68" i="28" s="1"/>
  <c r="CG68" i="28" s="1"/>
  <c r="CH68" i="28" s="1"/>
  <c r="CI68" i="28" s="1"/>
  <c r="CJ68" i="28" s="1"/>
  <c r="CK68" i="28" s="1"/>
  <c r="CL68" i="28" s="1"/>
  <c r="CM68" i="28" s="1"/>
  <c r="CN68" i="28" s="1"/>
  <c r="CO68" i="28" s="1"/>
  <c r="CP68" i="28" s="1"/>
  <c r="CQ68" i="28" s="1"/>
  <c r="CR68" i="28" s="1"/>
  <c r="CS68" i="28" s="1"/>
  <c r="CT68" i="28" s="1"/>
  <c r="CU68" i="28" s="1"/>
  <c r="CV68" i="28" s="1"/>
  <c r="CW68" i="28" s="1"/>
  <c r="CX68" i="28" s="1"/>
  <c r="K64" i="28"/>
  <c r="J66" i="28"/>
  <c r="K66" i="28" s="1"/>
  <c r="L66" i="28" s="1"/>
  <c r="M66" i="28" s="1"/>
  <c r="N66" i="28" s="1"/>
  <c r="O66" i="28" s="1"/>
  <c r="P66" i="28" s="1"/>
  <c r="Q66" i="28" s="1"/>
  <c r="R66" i="28" s="1"/>
  <c r="S66" i="28" s="1"/>
  <c r="T66" i="28" s="1"/>
  <c r="U66" i="28" s="1"/>
  <c r="V66" i="28" s="1"/>
  <c r="W66" i="28" s="1"/>
  <c r="X66" i="28" s="1"/>
  <c r="Y66" i="28" s="1"/>
  <c r="Z66" i="28" s="1"/>
  <c r="AA66" i="28" s="1"/>
  <c r="AB66" i="28" s="1"/>
  <c r="AC66" i="28" s="1"/>
  <c r="AD66" i="28" s="1"/>
  <c r="AE66" i="28" s="1"/>
  <c r="AF66" i="28" s="1"/>
  <c r="AG66" i="28" s="1"/>
  <c r="AH66" i="28" s="1"/>
  <c r="AI66" i="28" s="1"/>
  <c r="AJ66" i="28" s="1"/>
  <c r="AK66" i="28" s="1"/>
  <c r="AL66" i="28" s="1"/>
  <c r="AM66" i="28" s="1"/>
  <c r="AN66" i="28" s="1"/>
  <c r="AO66" i="28" s="1"/>
  <c r="AP66" i="28" s="1"/>
  <c r="AQ66" i="28" s="1"/>
  <c r="AR66" i="28" s="1"/>
  <c r="AS66" i="28" s="1"/>
  <c r="AT66" i="28" s="1"/>
  <c r="AU66" i="28" s="1"/>
  <c r="AV66" i="28" s="1"/>
  <c r="AW66" i="28" s="1"/>
  <c r="AX66" i="28" s="1"/>
  <c r="AY66" i="28" s="1"/>
  <c r="AZ66" i="28" s="1"/>
  <c r="BA66" i="28" s="1"/>
  <c r="BB66" i="28" s="1"/>
  <c r="BC66" i="28" s="1"/>
  <c r="BD66" i="28" s="1"/>
  <c r="BE66" i="28" s="1"/>
  <c r="BF66" i="28" s="1"/>
  <c r="BG66" i="28" s="1"/>
  <c r="BH66" i="28" s="1"/>
  <c r="BI66" i="28" s="1"/>
  <c r="BJ66" i="28" s="1"/>
  <c r="BK66" i="28" s="1"/>
  <c r="BL66" i="28" s="1"/>
  <c r="BM66" i="28" s="1"/>
  <c r="BN66" i="28" s="1"/>
  <c r="BO66" i="28" s="1"/>
  <c r="BP66" i="28" s="1"/>
  <c r="BQ66" i="28" s="1"/>
  <c r="BR66" i="28" s="1"/>
  <c r="BS66" i="28" s="1"/>
  <c r="BT66" i="28" s="1"/>
  <c r="BU66" i="28" s="1"/>
  <c r="BV66" i="28" s="1"/>
  <c r="BW66" i="28" s="1"/>
  <c r="BX66" i="28" s="1"/>
  <c r="BY66" i="28" s="1"/>
  <c r="BZ66" i="28" s="1"/>
  <c r="CA66" i="28" s="1"/>
  <c r="CB66" i="28" s="1"/>
  <c r="CC66" i="28" s="1"/>
  <c r="CD66" i="28" s="1"/>
  <c r="CE66" i="28" s="1"/>
  <c r="CF66" i="28" s="1"/>
  <c r="CG66" i="28" s="1"/>
  <c r="CH66" i="28" s="1"/>
  <c r="CI66" i="28" s="1"/>
  <c r="CJ66" i="28" s="1"/>
  <c r="CK66" i="28" s="1"/>
  <c r="CL66" i="28" s="1"/>
  <c r="CM66" i="28" s="1"/>
  <c r="CN66" i="28" s="1"/>
  <c r="CO66" i="28" s="1"/>
  <c r="CP66" i="28" s="1"/>
  <c r="CQ66" i="28" s="1"/>
  <c r="CR66" i="28" s="1"/>
  <c r="CS66" i="28" s="1"/>
  <c r="CT66" i="28" s="1"/>
  <c r="CU66" i="28" s="1"/>
  <c r="CV66" i="28" s="1"/>
  <c r="J64" i="28"/>
  <c r="T40" i="28"/>
  <c r="BE37" i="28"/>
  <c r="BF37" i="28" s="1"/>
  <c r="BG37" i="28" s="1"/>
  <c r="BH37" i="28" s="1"/>
  <c r="BI37" i="28" s="1"/>
  <c r="BJ37" i="28" s="1"/>
  <c r="BK37" i="28" s="1"/>
  <c r="BL37" i="28" s="1"/>
  <c r="BM37" i="28" s="1"/>
  <c r="BN37" i="28" s="1"/>
  <c r="BO37" i="28" s="1"/>
  <c r="BP37" i="28" s="1"/>
  <c r="BQ37" i="28" s="1"/>
  <c r="BR37" i="28" s="1"/>
  <c r="BS37" i="28" s="1"/>
  <c r="BT37" i="28" s="1"/>
  <c r="BU37" i="28" s="1"/>
  <c r="BV37" i="28" s="1"/>
  <c r="BW37" i="28" s="1"/>
  <c r="BX37" i="28" s="1"/>
  <c r="BY37" i="28" s="1"/>
  <c r="BZ37" i="28" s="1"/>
  <c r="CA37" i="28" s="1"/>
  <c r="CB37" i="28" s="1"/>
  <c r="CC37" i="28" s="1"/>
  <c r="CD37" i="28" s="1"/>
  <c r="CE37" i="28" s="1"/>
  <c r="CF37" i="28" s="1"/>
  <c r="CG37" i="28" s="1"/>
  <c r="CH37" i="28" s="1"/>
  <c r="CI37" i="28" s="1"/>
  <c r="CJ37" i="28" s="1"/>
  <c r="CK37" i="28" s="1"/>
  <c r="CL37" i="28" s="1"/>
  <c r="CM37" i="28" s="1"/>
  <c r="CN37" i="28" s="1"/>
  <c r="CO37" i="28" s="1"/>
  <c r="CP37" i="28" s="1"/>
  <c r="CQ37" i="28" s="1"/>
  <c r="CR37" i="28" s="1"/>
  <c r="CS37" i="28" s="1"/>
  <c r="CT37" i="28" s="1"/>
  <c r="CU37" i="28" s="1"/>
  <c r="CV37" i="28" s="1"/>
  <c r="P40" i="28"/>
  <c r="O40" i="28"/>
  <c r="I24" i="28"/>
  <c r="G24" i="28"/>
  <c r="AB56" i="28"/>
  <c r="AC56" i="28"/>
  <c r="AF40" i="28"/>
  <c r="U24" i="28"/>
  <c r="Y24" i="28"/>
  <c r="AC24" i="28"/>
  <c r="M24" i="28"/>
  <c r="Q24" i="28"/>
  <c r="U56" i="28"/>
  <c r="Q40" i="28"/>
  <c r="R40" i="28"/>
  <c r="K24" i="28"/>
  <c r="S24" i="28"/>
  <c r="AA24" i="28"/>
  <c r="F24" i="28"/>
  <c r="N24" i="28"/>
  <c r="V24" i="28"/>
  <c r="AD24" i="28"/>
  <c r="Y40" i="28"/>
  <c r="I40" i="28"/>
  <c r="Z40" i="28"/>
  <c r="BG45" i="28"/>
  <c r="BH45" i="28" s="1"/>
  <c r="BI45" i="28" s="1"/>
  <c r="BJ45" i="28" s="1"/>
  <c r="BK45" i="28" s="1"/>
  <c r="BL45" i="28" s="1"/>
  <c r="BM45" i="28" s="1"/>
  <c r="BN45" i="28" s="1"/>
  <c r="BO45" i="28" s="1"/>
  <c r="BP45" i="28" s="1"/>
  <c r="BQ45" i="28" s="1"/>
  <c r="BR45" i="28" s="1"/>
  <c r="BS45" i="28" s="1"/>
  <c r="BT45" i="28" s="1"/>
  <c r="BU45" i="28" s="1"/>
  <c r="BV45" i="28" s="1"/>
  <c r="BW45" i="28" s="1"/>
  <c r="BX45" i="28" s="1"/>
  <c r="BY45" i="28" s="1"/>
  <c r="BZ45" i="28" s="1"/>
  <c r="CA45" i="28" s="1"/>
  <c r="CB45" i="28" s="1"/>
  <c r="CC45" i="28" s="1"/>
  <c r="CD45" i="28" s="1"/>
  <c r="CE45" i="28" s="1"/>
  <c r="CF45" i="28" s="1"/>
  <c r="CG45" i="28" s="1"/>
  <c r="CH45" i="28" s="1"/>
  <c r="CI45" i="28" s="1"/>
  <c r="CJ45" i="28" s="1"/>
  <c r="CK45" i="28" s="1"/>
  <c r="CL45" i="28" s="1"/>
  <c r="CM45" i="28" s="1"/>
  <c r="CN45" i="28" s="1"/>
  <c r="CO45" i="28" s="1"/>
  <c r="CP45" i="28" s="1"/>
  <c r="CQ45" i="28" s="1"/>
  <c r="CR45" i="28" s="1"/>
  <c r="CS45" i="28" s="1"/>
  <c r="CT45" i="28" s="1"/>
  <c r="CU45" i="28" s="1"/>
  <c r="CV45" i="28" s="1"/>
  <c r="CW45" i="28" s="1"/>
  <c r="BC56" i="28"/>
  <c r="BH56" i="28"/>
  <c r="BK56" i="28"/>
  <c r="L56" i="28"/>
  <c r="M56" i="28"/>
  <c r="AK56" i="28"/>
  <c r="AR56" i="28"/>
  <c r="AS56" i="28"/>
  <c r="H56" i="28"/>
  <c r="AN56" i="28"/>
  <c r="O56" i="28"/>
  <c r="AE56" i="28"/>
  <c r="AU56" i="28"/>
  <c r="G56" i="28"/>
  <c r="W56" i="28"/>
  <c r="AM56" i="28"/>
  <c r="X56" i="28"/>
  <c r="P56" i="28"/>
  <c r="AF56" i="28"/>
  <c r="AV56" i="28"/>
  <c r="T56" i="28"/>
  <c r="AJ56" i="28"/>
  <c r="AZ56" i="28"/>
  <c r="BM53" i="28"/>
  <c r="BA56" i="28"/>
  <c r="BI56" i="28"/>
  <c r="F59" i="28"/>
  <c r="F56" i="28"/>
  <c r="F57" i="28" s="1"/>
  <c r="N56" i="28"/>
  <c r="V56" i="28"/>
  <c r="AD56" i="28"/>
  <c r="AL56" i="28"/>
  <c r="AT56" i="28"/>
  <c r="BB56" i="28"/>
  <c r="BJ56" i="28"/>
  <c r="BL56" i="28"/>
  <c r="I56" i="28"/>
  <c r="Q56" i="28"/>
  <c r="Y56" i="28"/>
  <c r="AG56" i="28"/>
  <c r="AO56" i="28"/>
  <c r="AW56" i="28"/>
  <c r="BE56" i="28"/>
  <c r="BD56" i="28"/>
  <c r="J56" i="28"/>
  <c r="R56" i="28"/>
  <c r="Z56" i="28"/>
  <c r="AH56" i="28"/>
  <c r="AP56" i="28"/>
  <c r="AX56" i="28"/>
  <c r="BF56" i="28"/>
  <c r="BG56" i="28"/>
  <c r="F48" i="28"/>
  <c r="F49" i="28" s="1"/>
  <c r="H40" i="28"/>
  <c r="S40" i="28"/>
  <c r="AB40" i="28"/>
  <c r="AH40" i="28"/>
  <c r="M40" i="28"/>
  <c r="U40" i="28"/>
  <c r="AC40" i="28"/>
  <c r="N40" i="28"/>
  <c r="V40" i="28"/>
  <c r="AD40" i="28"/>
  <c r="F40" i="28"/>
  <c r="T32" i="28"/>
  <c r="L32" i="28"/>
  <c r="F32" i="28"/>
  <c r="M32" i="28"/>
  <c r="U32" i="28"/>
  <c r="V32" i="28"/>
  <c r="W29" i="28"/>
  <c r="AE21" i="28"/>
  <c r="G16" i="28"/>
  <c r="P16" i="28"/>
  <c r="J16" i="28"/>
  <c r="R16" i="28"/>
  <c r="H16" i="28"/>
  <c r="N16" i="28"/>
  <c r="L16" i="28"/>
  <c r="O16" i="28"/>
  <c r="I16" i="28"/>
  <c r="K16" i="28"/>
  <c r="S16" i="28"/>
  <c r="T16" i="28"/>
  <c r="M16" i="28"/>
  <c r="U16" i="28"/>
  <c r="AG143" i="1"/>
  <c r="AG144" i="1" s="1"/>
  <c r="AG111" i="1"/>
  <c r="AG112" i="1" s="1"/>
  <c r="AG75" i="1"/>
  <c r="AG76" i="1" s="1"/>
  <c r="AG82" i="1" s="1"/>
  <c r="AF134" i="1"/>
  <c r="AE134" i="1"/>
  <c r="AD134" i="1"/>
  <c r="AC134" i="1"/>
  <c r="AB134" i="1"/>
  <c r="A12" i="29"/>
  <c r="AF26" i="1"/>
  <c r="AE26" i="1"/>
  <c r="AD26" i="1"/>
  <c r="AC26" i="1"/>
  <c r="AB26" i="1"/>
  <c r="E11" i="5"/>
  <c r="F11" i="5" s="1"/>
  <c r="G15" i="28" l="1"/>
  <c r="AI166" i="1"/>
  <c r="AI170" i="1" s="1"/>
  <c r="AI176" i="1" s="1"/>
  <c r="AH168" i="1"/>
  <c r="AH82" i="1"/>
  <c r="AH79" i="1"/>
  <c r="AH89" i="1" s="1"/>
  <c r="AH166" i="1" s="1"/>
  <c r="M72" i="28"/>
  <c r="U71" i="28"/>
  <c r="U73" i="28"/>
  <c r="M73" i="28"/>
  <c r="T73" i="28"/>
  <c r="CX45" i="28"/>
  <c r="CW48" i="28"/>
  <c r="U72" i="28"/>
  <c r="I72" i="28"/>
  <c r="F47" i="28"/>
  <c r="G47" i="28" s="1"/>
  <c r="F72" i="28"/>
  <c r="K72" i="28"/>
  <c r="F33" i="28"/>
  <c r="F73" i="28"/>
  <c r="CY64" i="28"/>
  <c r="CZ62" i="28"/>
  <c r="CY68" i="28"/>
  <c r="CY65" i="28"/>
  <c r="CY66" i="28" s="1"/>
  <c r="CY37" i="28"/>
  <c r="CX40" i="28"/>
  <c r="CX41" i="28" s="1"/>
  <c r="CY53" i="28"/>
  <c r="CX56" i="28"/>
  <c r="CX57" i="28" s="1"/>
  <c r="AF21" i="28"/>
  <c r="AE24" i="28"/>
  <c r="BN53" i="28"/>
  <c r="BM56" i="28"/>
  <c r="Q72" i="28"/>
  <c r="Q48" i="28"/>
  <c r="Q73" i="28" s="1"/>
  <c r="S72" i="28"/>
  <c r="S48" i="28"/>
  <c r="S73" i="28" s="1"/>
  <c r="I48" i="28"/>
  <c r="I73" i="28" s="1"/>
  <c r="H48" i="28"/>
  <c r="H73" i="28" s="1"/>
  <c r="H72" i="28"/>
  <c r="O48" i="28"/>
  <c r="O73" i="28" s="1"/>
  <c r="O72" i="28"/>
  <c r="V71" i="28"/>
  <c r="V48" i="28"/>
  <c r="V73" i="28" s="1"/>
  <c r="L48" i="28"/>
  <c r="L73" i="28" s="1"/>
  <c r="L72" i="28"/>
  <c r="K48" i="28"/>
  <c r="K73" i="28" s="1"/>
  <c r="G48" i="28"/>
  <c r="G51" i="28"/>
  <c r="R72" i="28"/>
  <c r="R48" i="28"/>
  <c r="R73" i="28" s="1"/>
  <c r="P48" i="28"/>
  <c r="P73" i="28" s="1"/>
  <c r="P72" i="28"/>
  <c r="J72" i="28"/>
  <c r="J48" i="28"/>
  <c r="J73" i="28" s="1"/>
  <c r="T48" i="28"/>
  <c r="T72" i="28"/>
  <c r="T71" i="28"/>
  <c r="N72" i="28"/>
  <c r="N48" i="28"/>
  <c r="N73" i="28" s="1"/>
  <c r="AI40" i="28"/>
  <c r="X29" i="28"/>
  <c r="W32" i="28"/>
  <c r="H15" i="28"/>
  <c r="I15" i="28" s="1"/>
  <c r="J15" i="28" s="1"/>
  <c r="K15" i="28" s="1"/>
  <c r="L15" i="28" s="1"/>
  <c r="M15" i="28" s="1"/>
  <c r="N15" i="28" s="1"/>
  <c r="O15" i="28" s="1"/>
  <c r="P15" i="28" s="1"/>
  <c r="Q15" i="28" s="1"/>
  <c r="R15" i="28" s="1"/>
  <c r="S15" i="28" s="1"/>
  <c r="T15" i="28" s="1"/>
  <c r="U15" i="28" s="1"/>
  <c r="V15" i="28" s="1"/>
  <c r="G17" i="28"/>
  <c r="H17" i="28" s="1"/>
  <c r="I17" i="28" s="1"/>
  <c r="J17" i="28" s="1"/>
  <c r="K17" i="28" s="1"/>
  <c r="L17" i="28" s="1"/>
  <c r="M17" i="28" s="1"/>
  <c r="N17" i="28" s="1"/>
  <c r="O17" i="28" s="1"/>
  <c r="P17" i="28" s="1"/>
  <c r="Q17" i="28" s="1"/>
  <c r="R17" i="28" s="1"/>
  <c r="S17" i="28" s="1"/>
  <c r="T17" i="28" s="1"/>
  <c r="U17" i="28" s="1"/>
  <c r="V17" i="28" s="1"/>
  <c r="F35" i="28"/>
  <c r="G35" i="28" s="1"/>
  <c r="H35" i="28" s="1"/>
  <c r="I35" i="28" s="1"/>
  <c r="G19" i="28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T19" i="28" s="1"/>
  <c r="U19" i="28" s="1"/>
  <c r="V19" i="28" s="1"/>
  <c r="F31" i="28"/>
  <c r="G31" i="28" s="1"/>
  <c r="H31" i="28" s="1"/>
  <c r="I31" i="28" s="1"/>
  <c r="Y13" i="28"/>
  <c r="X16" i="28"/>
  <c r="G33" i="28"/>
  <c r="H33" i="28" s="1"/>
  <c r="I33" i="28" s="1"/>
  <c r="AG79" i="1"/>
  <c r="AG89" i="1" s="1"/>
  <c r="G11" i="5"/>
  <c r="N10" i="34"/>
  <c r="M10" i="34"/>
  <c r="L10" i="34"/>
  <c r="K10" i="34"/>
  <c r="J10" i="34"/>
  <c r="I10" i="34"/>
  <c r="H10" i="34"/>
  <c r="G10" i="34"/>
  <c r="F10" i="34"/>
  <c r="E10" i="34"/>
  <c r="D10" i="34"/>
  <c r="C10" i="34"/>
  <c r="G14" i="23"/>
  <c r="AF27" i="1"/>
  <c r="AF8" i="1"/>
  <c r="AF9" i="1" s="1"/>
  <c r="AF106" i="1" s="1"/>
  <c r="AF41" i="1"/>
  <c r="G23" i="31" s="1"/>
  <c r="AF55" i="1"/>
  <c r="AF59" i="1"/>
  <c r="AF85" i="1"/>
  <c r="AF88" i="1" s="1"/>
  <c r="AF102" i="1"/>
  <c r="AF105" i="1"/>
  <c r="AF116" i="1"/>
  <c r="AF124" i="1"/>
  <c r="AF142" i="1"/>
  <c r="AF149" i="1"/>
  <c r="H23" i="31"/>
  <c r="D57" i="5"/>
  <c r="D60" i="5" s="1"/>
  <c r="D62" i="5" s="1"/>
  <c r="K68" i="5"/>
  <c r="J68" i="5"/>
  <c r="I68" i="5"/>
  <c r="H68" i="5"/>
  <c r="G68" i="5"/>
  <c r="F68" i="5"/>
  <c r="E68" i="5"/>
  <c r="D68" i="5"/>
  <c r="K67" i="5"/>
  <c r="K69" i="5" s="1"/>
  <c r="J67" i="5"/>
  <c r="J69" i="5" s="1"/>
  <c r="I67" i="5"/>
  <c r="I69" i="5" s="1"/>
  <c r="H67" i="5"/>
  <c r="G67" i="5"/>
  <c r="G69" i="5" s="1"/>
  <c r="F67" i="5"/>
  <c r="F69" i="5" s="1"/>
  <c r="E67" i="5"/>
  <c r="E69" i="5" s="1"/>
  <c r="D67" i="5"/>
  <c r="D69" i="5" s="1"/>
  <c r="K64" i="5"/>
  <c r="J64" i="5"/>
  <c r="I64" i="5"/>
  <c r="H64" i="5"/>
  <c r="G64" i="5"/>
  <c r="F64" i="5"/>
  <c r="E64" i="5"/>
  <c r="D64" i="5"/>
  <c r="K63" i="5"/>
  <c r="K65" i="5" s="1"/>
  <c r="J63" i="5"/>
  <c r="I63" i="5"/>
  <c r="H63" i="5"/>
  <c r="H65" i="5" s="1"/>
  <c r="G63" i="5"/>
  <c r="G65" i="5" s="1"/>
  <c r="F63" i="5"/>
  <c r="F65" i="5" s="1"/>
  <c r="E63" i="5"/>
  <c r="E65" i="5" s="1"/>
  <c r="D63" i="5"/>
  <c r="D65" i="5" s="1"/>
  <c r="K61" i="5"/>
  <c r="J61" i="5"/>
  <c r="I61" i="5"/>
  <c r="H61" i="5"/>
  <c r="G61" i="5"/>
  <c r="F61" i="5"/>
  <c r="E61" i="5"/>
  <c r="D61" i="5"/>
  <c r="K58" i="5"/>
  <c r="J58" i="5"/>
  <c r="I58" i="5"/>
  <c r="H58" i="5"/>
  <c r="G58" i="5"/>
  <c r="F58" i="5"/>
  <c r="E58" i="5"/>
  <c r="D58" i="5"/>
  <c r="X95" i="5"/>
  <c r="T92" i="5"/>
  <c r="K92" i="5"/>
  <c r="J92" i="5"/>
  <c r="I92" i="5"/>
  <c r="H92" i="5"/>
  <c r="G92" i="5"/>
  <c r="F92" i="5"/>
  <c r="E92" i="5"/>
  <c r="D92" i="5"/>
  <c r="N86" i="5"/>
  <c r="R82" i="5"/>
  <c r="E79" i="5"/>
  <c r="F79" i="5" s="1"/>
  <c r="G79" i="5" s="1"/>
  <c r="H79" i="5" s="1"/>
  <c r="I79" i="5" s="1"/>
  <c r="J79" i="5" s="1"/>
  <c r="K79" i="5" s="1"/>
  <c r="NG7" i="33"/>
  <c r="NG9" i="33" s="1"/>
  <c r="NG17" i="33" s="1"/>
  <c r="NF7" i="33"/>
  <c r="NF9" i="33" s="1"/>
  <c r="NF17" i="33" s="1"/>
  <c r="NE7" i="33"/>
  <c r="NE9" i="33" s="1"/>
  <c r="NE17" i="33" s="1"/>
  <c r="ND7" i="33"/>
  <c r="ND9" i="33" s="1"/>
  <c r="ND17" i="33" s="1"/>
  <c r="NC7" i="33"/>
  <c r="NC9" i="33" s="1"/>
  <c r="NC17" i="33" s="1"/>
  <c r="NB7" i="33"/>
  <c r="NB9" i="33" s="1"/>
  <c r="NB17" i="33" s="1"/>
  <c r="NA7" i="33"/>
  <c r="NA9" i="33" s="1"/>
  <c r="NA17" i="33" s="1"/>
  <c r="MZ7" i="33"/>
  <c r="MZ9" i="33" s="1"/>
  <c r="MZ17" i="33" s="1"/>
  <c r="MY7" i="33"/>
  <c r="MY9" i="33" s="1"/>
  <c r="MY17" i="33" s="1"/>
  <c r="MX7" i="33"/>
  <c r="MX9" i="33" s="1"/>
  <c r="MX17" i="33" s="1"/>
  <c r="MW7" i="33"/>
  <c r="MW9" i="33" s="1"/>
  <c r="MW17" i="33" s="1"/>
  <c r="MV7" i="33"/>
  <c r="MV9" i="33" s="1"/>
  <c r="MV17" i="33" s="1"/>
  <c r="MU7" i="33"/>
  <c r="MU9" i="33" s="1"/>
  <c r="MU17" i="33" s="1"/>
  <c r="MT7" i="33"/>
  <c r="MT9" i="33" s="1"/>
  <c r="MT17" i="33" s="1"/>
  <c r="MS7" i="33"/>
  <c r="MS9" i="33" s="1"/>
  <c r="MS17" i="33" s="1"/>
  <c r="MR7" i="33"/>
  <c r="MR9" i="33" s="1"/>
  <c r="MR17" i="33" s="1"/>
  <c r="MQ7" i="33"/>
  <c r="MQ9" i="33" s="1"/>
  <c r="MQ17" i="33" s="1"/>
  <c r="MP7" i="33"/>
  <c r="MP9" i="33" s="1"/>
  <c r="MP17" i="33" s="1"/>
  <c r="MO7" i="33"/>
  <c r="MO9" i="33" s="1"/>
  <c r="MO17" i="33" s="1"/>
  <c r="MN7" i="33"/>
  <c r="MN9" i="33" s="1"/>
  <c r="MN17" i="33" s="1"/>
  <c r="MM7" i="33"/>
  <c r="MM9" i="33" s="1"/>
  <c r="MM17" i="33" s="1"/>
  <c r="ML7" i="33"/>
  <c r="ML9" i="33" s="1"/>
  <c r="ML17" i="33" s="1"/>
  <c r="MK7" i="33"/>
  <c r="MK9" i="33" s="1"/>
  <c r="MK17" i="33" s="1"/>
  <c r="MJ7" i="33"/>
  <c r="MJ9" i="33" s="1"/>
  <c r="MJ17" i="33" s="1"/>
  <c r="MI7" i="33"/>
  <c r="MI9" i="33" s="1"/>
  <c r="MI17" i="33" s="1"/>
  <c r="MH7" i="33"/>
  <c r="MH9" i="33" s="1"/>
  <c r="MH17" i="33" s="1"/>
  <c r="MG7" i="33"/>
  <c r="MG9" i="33" s="1"/>
  <c r="MG17" i="33" s="1"/>
  <c r="MF7" i="33"/>
  <c r="MF9" i="33" s="1"/>
  <c r="MF17" i="33" s="1"/>
  <c r="ME7" i="33"/>
  <c r="ME9" i="33" s="1"/>
  <c r="ME17" i="33" s="1"/>
  <c r="MD7" i="33"/>
  <c r="MD9" i="33" s="1"/>
  <c r="MD17" i="33" s="1"/>
  <c r="MC7" i="33"/>
  <c r="MC9" i="33" s="1"/>
  <c r="MC17" i="33" s="1"/>
  <c r="MB7" i="33"/>
  <c r="MB9" i="33" s="1"/>
  <c r="MB17" i="33" s="1"/>
  <c r="MA7" i="33"/>
  <c r="MA9" i="33" s="1"/>
  <c r="MA17" i="33" s="1"/>
  <c r="LZ7" i="33"/>
  <c r="LZ9" i="33" s="1"/>
  <c r="LZ17" i="33" s="1"/>
  <c r="LY7" i="33"/>
  <c r="LY9" i="33" s="1"/>
  <c r="LY17" i="33" s="1"/>
  <c r="LX7" i="33"/>
  <c r="LX9" i="33" s="1"/>
  <c r="LX17" i="33" s="1"/>
  <c r="LW7" i="33"/>
  <c r="LW9" i="33" s="1"/>
  <c r="LW17" i="33" s="1"/>
  <c r="LV7" i="33"/>
  <c r="LV9" i="33" s="1"/>
  <c r="LV17" i="33" s="1"/>
  <c r="LU7" i="33"/>
  <c r="LU9" i="33" s="1"/>
  <c r="LU17" i="33" s="1"/>
  <c r="LT7" i="33"/>
  <c r="LT9" i="33" s="1"/>
  <c r="LT17" i="33" s="1"/>
  <c r="LS7" i="33"/>
  <c r="LS9" i="33" s="1"/>
  <c r="LS17" i="33" s="1"/>
  <c r="LR7" i="33"/>
  <c r="LR9" i="33" s="1"/>
  <c r="LR17" i="33" s="1"/>
  <c r="LQ7" i="33"/>
  <c r="LQ9" i="33" s="1"/>
  <c r="LQ17" i="33" s="1"/>
  <c r="LP7" i="33"/>
  <c r="LP9" i="33" s="1"/>
  <c r="LP17" i="33" s="1"/>
  <c r="LO7" i="33"/>
  <c r="LO9" i="33" s="1"/>
  <c r="LO17" i="33" s="1"/>
  <c r="LN7" i="33"/>
  <c r="LN9" i="33" s="1"/>
  <c r="LN17" i="33" s="1"/>
  <c r="LM7" i="33"/>
  <c r="LM9" i="33" s="1"/>
  <c r="LM17" i="33" s="1"/>
  <c r="LL7" i="33"/>
  <c r="LL9" i="33" s="1"/>
  <c r="LL17" i="33" s="1"/>
  <c r="LK7" i="33"/>
  <c r="LK9" i="33" s="1"/>
  <c r="LK17" i="33" s="1"/>
  <c r="LJ7" i="33"/>
  <c r="LJ9" i="33" s="1"/>
  <c r="LJ17" i="33" s="1"/>
  <c r="LI7" i="33"/>
  <c r="LI9" i="33" s="1"/>
  <c r="LI17" i="33" s="1"/>
  <c r="LH7" i="33"/>
  <c r="LH9" i="33" s="1"/>
  <c r="LH17" i="33" s="1"/>
  <c r="LG7" i="33"/>
  <c r="LG9" i="33" s="1"/>
  <c r="LG17" i="33" s="1"/>
  <c r="LF7" i="33"/>
  <c r="LF9" i="33" s="1"/>
  <c r="LF17" i="33" s="1"/>
  <c r="LE7" i="33"/>
  <c r="LE9" i="33" s="1"/>
  <c r="LE17" i="33" s="1"/>
  <c r="LD7" i="33"/>
  <c r="LD9" i="33" s="1"/>
  <c r="LD17" i="33" s="1"/>
  <c r="LC7" i="33"/>
  <c r="LC9" i="33" s="1"/>
  <c r="LC17" i="33" s="1"/>
  <c r="LB7" i="33"/>
  <c r="LB9" i="33" s="1"/>
  <c r="LB17" i="33" s="1"/>
  <c r="LA7" i="33"/>
  <c r="LA9" i="33" s="1"/>
  <c r="LA17" i="33" s="1"/>
  <c r="KZ7" i="33"/>
  <c r="KZ9" i="33" s="1"/>
  <c r="KZ17" i="33" s="1"/>
  <c r="KY7" i="33"/>
  <c r="KY9" i="33" s="1"/>
  <c r="KY17" i="33" s="1"/>
  <c r="KX7" i="33"/>
  <c r="KX9" i="33" s="1"/>
  <c r="KX17" i="33" s="1"/>
  <c r="KW7" i="33"/>
  <c r="KW9" i="33" s="1"/>
  <c r="KW17" i="33" s="1"/>
  <c r="KV7" i="33"/>
  <c r="KV9" i="33" s="1"/>
  <c r="KV17" i="33" s="1"/>
  <c r="KU7" i="33"/>
  <c r="KU9" i="33" s="1"/>
  <c r="KU17" i="33" s="1"/>
  <c r="KT7" i="33"/>
  <c r="KT9" i="33" s="1"/>
  <c r="KT17" i="33" s="1"/>
  <c r="KS7" i="33"/>
  <c r="KS9" i="33" s="1"/>
  <c r="KS17" i="33" s="1"/>
  <c r="KR7" i="33"/>
  <c r="KR9" i="33" s="1"/>
  <c r="KR17" i="33" s="1"/>
  <c r="KQ7" i="33"/>
  <c r="KQ9" i="33" s="1"/>
  <c r="KQ17" i="33" s="1"/>
  <c r="KP7" i="33"/>
  <c r="KP9" i="33" s="1"/>
  <c r="KP17" i="33" s="1"/>
  <c r="KO7" i="33"/>
  <c r="KO9" i="33" s="1"/>
  <c r="KO17" i="33" s="1"/>
  <c r="KN7" i="33"/>
  <c r="KN9" i="33" s="1"/>
  <c r="KN17" i="33" s="1"/>
  <c r="KM7" i="33"/>
  <c r="KM9" i="33" s="1"/>
  <c r="KM17" i="33" s="1"/>
  <c r="KL7" i="33"/>
  <c r="KL9" i="33" s="1"/>
  <c r="KL17" i="33" s="1"/>
  <c r="KK7" i="33"/>
  <c r="KK9" i="33" s="1"/>
  <c r="KK17" i="33" s="1"/>
  <c r="KJ7" i="33"/>
  <c r="KJ9" i="33" s="1"/>
  <c r="KJ17" i="33" s="1"/>
  <c r="KI7" i="33"/>
  <c r="KI9" i="33" s="1"/>
  <c r="KI17" i="33" s="1"/>
  <c r="KH7" i="33"/>
  <c r="KH9" i="33" s="1"/>
  <c r="KH17" i="33" s="1"/>
  <c r="KG7" i="33"/>
  <c r="KG9" i="33" s="1"/>
  <c r="KG17" i="33" s="1"/>
  <c r="KF7" i="33"/>
  <c r="KF9" i="33" s="1"/>
  <c r="KF17" i="33" s="1"/>
  <c r="KE7" i="33"/>
  <c r="KE9" i="33" s="1"/>
  <c r="KE17" i="33" s="1"/>
  <c r="KD7" i="33"/>
  <c r="KD9" i="33" s="1"/>
  <c r="KD17" i="33" s="1"/>
  <c r="KC7" i="33"/>
  <c r="KC9" i="33" s="1"/>
  <c r="KC17" i="33" s="1"/>
  <c r="KB7" i="33"/>
  <c r="KB9" i="33" s="1"/>
  <c r="KB17" i="33" s="1"/>
  <c r="KA7" i="33"/>
  <c r="KA9" i="33" s="1"/>
  <c r="KA17" i="33" s="1"/>
  <c r="JZ7" i="33"/>
  <c r="JZ9" i="33" s="1"/>
  <c r="JZ17" i="33" s="1"/>
  <c r="JY7" i="33"/>
  <c r="JY9" i="33" s="1"/>
  <c r="JY17" i="33" s="1"/>
  <c r="JX7" i="33"/>
  <c r="JX9" i="33" s="1"/>
  <c r="JX17" i="33" s="1"/>
  <c r="JW7" i="33"/>
  <c r="JW9" i="33" s="1"/>
  <c r="JW17" i="33" s="1"/>
  <c r="JV7" i="33"/>
  <c r="JV9" i="33" s="1"/>
  <c r="JV17" i="33" s="1"/>
  <c r="JU7" i="33"/>
  <c r="JU9" i="33" s="1"/>
  <c r="JU17" i="33" s="1"/>
  <c r="JT7" i="33"/>
  <c r="JT9" i="33" s="1"/>
  <c r="JT17" i="33" s="1"/>
  <c r="JS7" i="33"/>
  <c r="JS9" i="33" s="1"/>
  <c r="JS17" i="33" s="1"/>
  <c r="JR7" i="33"/>
  <c r="JR9" i="33" s="1"/>
  <c r="JR17" i="33" s="1"/>
  <c r="JQ7" i="33"/>
  <c r="JQ9" i="33" s="1"/>
  <c r="JQ17" i="33" s="1"/>
  <c r="JP7" i="33"/>
  <c r="JP9" i="33" s="1"/>
  <c r="JP17" i="33" s="1"/>
  <c r="JO7" i="33"/>
  <c r="JO9" i="33" s="1"/>
  <c r="JO17" i="33" s="1"/>
  <c r="JN7" i="33"/>
  <c r="JN9" i="33" s="1"/>
  <c r="JN17" i="33" s="1"/>
  <c r="JM7" i="33"/>
  <c r="JM9" i="33" s="1"/>
  <c r="JM17" i="33" s="1"/>
  <c r="JL7" i="33"/>
  <c r="JL9" i="33" s="1"/>
  <c r="JL17" i="33" s="1"/>
  <c r="JK7" i="33"/>
  <c r="JK9" i="33" s="1"/>
  <c r="JK17" i="33" s="1"/>
  <c r="JJ7" i="33"/>
  <c r="JJ9" i="33" s="1"/>
  <c r="JJ17" i="33" s="1"/>
  <c r="JI7" i="33"/>
  <c r="JI9" i="33" s="1"/>
  <c r="JI17" i="33" s="1"/>
  <c r="JH7" i="33"/>
  <c r="JH9" i="33" s="1"/>
  <c r="JH17" i="33" s="1"/>
  <c r="JG7" i="33"/>
  <c r="JG9" i="33" s="1"/>
  <c r="JG17" i="33" s="1"/>
  <c r="JF7" i="33"/>
  <c r="JF9" i="33" s="1"/>
  <c r="JF17" i="33" s="1"/>
  <c r="JE7" i="33"/>
  <c r="JE9" i="33" s="1"/>
  <c r="JE17" i="33" s="1"/>
  <c r="JD7" i="33"/>
  <c r="JD9" i="33" s="1"/>
  <c r="JD17" i="33" s="1"/>
  <c r="JC7" i="33"/>
  <c r="JC9" i="33" s="1"/>
  <c r="JC17" i="33" s="1"/>
  <c r="JB7" i="33"/>
  <c r="JB9" i="33" s="1"/>
  <c r="JB17" i="33" s="1"/>
  <c r="JA7" i="33"/>
  <c r="JA9" i="33" s="1"/>
  <c r="JA17" i="33" s="1"/>
  <c r="IZ7" i="33"/>
  <c r="IZ9" i="33" s="1"/>
  <c r="IZ17" i="33" s="1"/>
  <c r="IY7" i="33"/>
  <c r="IY9" i="33" s="1"/>
  <c r="IY17" i="33" s="1"/>
  <c r="IX7" i="33"/>
  <c r="IX9" i="33" s="1"/>
  <c r="IX17" i="33" s="1"/>
  <c r="IW7" i="33"/>
  <c r="IW9" i="33" s="1"/>
  <c r="IW17" i="33" s="1"/>
  <c r="IV7" i="33"/>
  <c r="IV9" i="33" s="1"/>
  <c r="IV17" i="33" s="1"/>
  <c r="IU7" i="33"/>
  <c r="IU9" i="33" s="1"/>
  <c r="IU17" i="33" s="1"/>
  <c r="IT7" i="33"/>
  <c r="IT9" i="33" s="1"/>
  <c r="IT17" i="33" s="1"/>
  <c r="IS7" i="33"/>
  <c r="IS9" i="33" s="1"/>
  <c r="IS17" i="33" s="1"/>
  <c r="IR7" i="33"/>
  <c r="IR9" i="33" s="1"/>
  <c r="IR17" i="33" s="1"/>
  <c r="IQ7" i="33"/>
  <c r="IQ9" i="33" s="1"/>
  <c r="IQ17" i="33" s="1"/>
  <c r="IP7" i="33"/>
  <c r="IP9" i="33" s="1"/>
  <c r="IP17" i="33" s="1"/>
  <c r="IO7" i="33"/>
  <c r="IO9" i="33" s="1"/>
  <c r="IO17" i="33" s="1"/>
  <c r="IN7" i="33"/>
  <c r="IN9" i="33" s="1"/>
  <c r="IN17" i="33" s="1"/>
  <c r="IM7" i="33"/>
  <c r="IM9" i="33" s="1"/>
  <c r="IM17" i="33" s="1"/>
  <c r="IL7" i="33"/>
  <c r="IL9" i="33" s="1"/>
  <c r="IL17" i="33" s="1"/>
  <c r="IK7" i="33"/>
  <c r="IK9" i="33" s="1"/>
  <c r="IK17" i="33" s="1"/>
  <c r="IJ7" i="33"/>
  <c r="IJ9" i="33" s="1"/>
  <c r="IJ17" i="33" s="1"/>
  <c r="II7" i="33"/>
  <c r="II9" i="33" s="1"/>
  <c r="II17" i="33" s="1"/>
  <c r="IH7" i="33"/>
  <c r="IH9" i="33" s="1"/>
  <c r="IH17" i="33" s="1"/>
  <c r="IG7" i="33"/>
  <c r="IG9" i="33" s="1"/>
  <c r="IG17" i="33" s="1"/>
  <c r="IF7" i="33"/>
  <c r="IF9" i="33" s="1"/>
  <c r="IF17" i="33" s="1"/>
  <c r="IE7" i="33"/>
  <c r="IE9" i="33" s="1"/>
  <c r="IE17" i="33" s="1"/>
  <c r="ID7" i="33"/>
  <c r="ID9" i="33" s="1"/>
  <c r="ID17" i="33" s="1"/>
  <c r="IC7" i="33"/>
  <c r="IC9" i="33" s="1"/>
  <c r="IC17" i="33" s="1"/>
  <c r="IB7" i="33"/>
  <c r="IB9" i="33" s="1"/>
  <c r="IB17" i="33" s="1"/>
  <c r="IA7" i="33"/>
  <c r="IA9" i="33" s="1"/>
  <c r="IA17" i="33" s="1"/>
  <c r="HZ7" i="33"/>
  <c r="HZ9" i="33" s="1"/>
  <c r="HZ17" i="33" s="1"/>
  <c r="HY7" i="33"/>
  <c r="HY9" i="33" s="1"/>
  <c r="HY17" i="33" s="1"/>
  <c r="HX7" i="33"/>
  <c r="HX9" i="33" s="1"/>
  <c r="HX17" i="33" s="1"/>
  <c r="HW7" i="33"/>
  <c r="HW9" i="33" s="1"/>
  <c r="HW17" i="33" s="1"/>
  <c r="HV7" i="33"/>
  <c r="HV9" i="33" s="1"/>
  <c r="HV17" i="33" s="1"/>
  <c r="HU7" i="33"/>
  <c r="HU9" i="33" s="1"/>
  <c r="HU17" i="33" s="1"/>
  <c r="HT7" i="33"/>
  <c r="HT9" i="33" s="1"/>
  <c r="HT17" i="33" s="1"/>
  <c r="HS7" i="33"/>
  <c r="HS9" i="33" s="1"/>
  <c r="HS17" i="33" s="1"/>
  <c r="HR7" i="33"/>
  <c r="HR9" i="33" s="1"/>
  <c r="HR17" i="33" s="1"/>
  <c r="HQ7" i="33"/>
  <c r="HQ9" i="33" s="1"/>
  <c r="HQ17" i="33" s="1"/>
  <c r="HP7" i="33"/>
  <c r="HP9" i="33" s="1"/>
  <c r="HP17" i="33" s="1"/>
  <c r="HO7" i="33"/>
  <c r="HO9" i="33" s="1"/>
  <c r="HO17" i="33" s="1"/>
  <c r="HN7" i="33"/>
  <c r="HN9" i="33" s="1"/>
  <c r="HN17" i="33" s="1"/>
  <c r="HM7" i="33"/>
  <c r="HM9" i="33" s="1"/>
  <c r="HM17" i="33" s="1"/>
  <c r="HL7" i="33"/>
  <c r="HL9" i="33" s="1"/>
  <c r="HL17" i="33" s="1"/>
  <c r="HK7" i="33"/>
  <c r="HK9" i="33" s="1"/>
  <c r="HK17" i="33" s="1"/>
  <c r="HJ7" i="33"/>
  <c r="HJ9" i="33" s="1"/>
  <c r="HJ17" i="33" s="1"/>
  <c r="HI7" i="33"/>
  <c r="HI9" i="33" s="1"/>
  <c r="HI17" i="33" s="1"/>
  <c r="HH7" i="33"/>
  <c r="HH9" i="33" s="1"/>
  <c r="HH17" i="33" s="1"/>
  <c r="HG7" i="33"/>
  <c r="HG9" i="33" s="1"/>
  <c r="HG17" i="33" s="1"/>
  <c r="HF7" i="33"/>
  <c r="HF9" i="33" s="1"/>
  <c r="HF17" i="33" s="1"/>
  <c r="HE7" i="33"/>
  <c r="HE9" i="33" s="1"/>
  <c r="HE17" i="33" s="1"/>
  <c r="HD7" i="33"/>
  <c r="HD9" i="33" s="1"/>
  <c r="HD17" i="33" s="1"/>
  <c r="HC7" i="33"/>
  <c r="HC9" i="33" s="1"/>
  <c r="HC17" i="33" s="1"/>
  <c r="HB7" i="33"/>
  <c r="HB9" i="33" s="1"/>
  <c r="HB17" i="33" s="1"/>
  <c r="HA7" i="33"/>
  <c r="HA9" i="33" s="1"/>
  <c r="HA17" i="33" s="1"/>
  <c r="GZ7" i="33"/>
  <c r="GZ9" i="33" s="1"/>
  <c r="GZ17" i="33" s="1"/>
  <c r="GY7" i="33"/>
  <c r="GY9" i="33" s="1"/>
  <c r="GY17" i="33" s="1"/>
  <c r="GX7" i="33"/>
  <c r="GX9" i="33" s="1"/>
  <c r="GX17" i="33" s="1"/>
  <c r="GW7" i="33"/>
  <c r="GW9" i="33" s="1"/>
  <c r="GW17" i="33" s="1"/>
  <c r="GV7" i="33"/>
  <c r="GV9" i="33" s="1"/>
  <c r="GV17" i="33" s="1"/>
  <c r="GU7" i="33"/>
  <c r="GU9" i="33" s="1"/>
  <c r="GU17" i="33" s="1"/>
  <c r="GT7" i="33"/>
  <c r="GT9" i="33" s="1"/>
  <c r="GT17" i="33" s="1"/>
  <c r="GS7" i="33"/>
  <c r="GS9" i="33" s="1"/>
  <c r="GS17" i="33" s="1"/>
  <c r="GR7" i="33"/>
  <c r="GR9" i="33" s="1"/>
  <c r="GR17" i="33" s="1"/>
  <c r="GQ7" i="33"/>
  <c r="GQ9" i="33" s="1"/>
  <c r="GQ17" i="33" s="1"/>
  <c r="GP7" i="33"/>
  <c r="GP9" i="33" s="1"/>
  <c r="GP17" i="33" s="1"/>
  <c r="GO7" i="33"/>
  <c r="GO9" i="33" s="1"/>
  <c r="GO17" i="33" s="1"/>
  <c r="GN7" i="33"/>
  <c r="GN9" i="33" s="1"/>
  <c r="GN17" i="33" s="1"/>
  <c r="GM7" i="33"/>
  <c r="GM9" i="33" s="1"/>
  <c r="GM17" i="33" s="1"/>
  <c r="GL7" i="33"/>
  <c r="GL9" i="33" s="1"/>
  <c r="GL17" i="33" s="1"/>
  <c r="GK7" i="33"/>
  <c r="GK9" i="33" s="1"/>
  <c r="GK17" i="33" s="1"/>
  <c r="GJ7" i="33"/>
  <c r="GJ9" i="33" s="1"/>
  <c r="GJ17" i="33" s="1"/>
  <c r="GI7" i="33"/>
  <c r="GI9" i="33" s="1"/>
  <c r="GI17" i="33" s="1"/>
  <c r="GH7" i="33"/>
  <c r="GH9" i="33" s="1"/>
  <c r="GH17" i="33" s="1"/>
  <c r="GG7" i="33"/>
  <c r="GG9" i="33" s="1"/>
  <c r="GG17" i="33" s="1"/>
  <c r="GF7" i="33"/>
  <c r="GF9" i="33" s="1"/>
  <c r="GF17" i="33" s="1"/>
  <c r="GE7" i="33"/>
  <c r="GE9" i="33" s="1"/>
  <c r="GE17" i="33" s="1"/>
  <c r="GD7" i="33"/>
  <c r="GD9" i="33" s="1"/>
  <c r="GD17" i="33" s="1"/>
  <c r="GC7" i="33"/>
  <c r="GC9" i="33" s="1"/>
  <c r="GC17" i="33" s="1"/>
  <c r="GB7" i="33"/>
  <c r="GB9" i="33" s="1"/>
  <c r="GB17" i="33" s="1"/>
  <c r="GA7" i="33"/>
  <c r="GA9" i="33" s="1"/>
  <c r="GA17" i="33" s="1"/>
  <c r="FZ7" i="33"/>
  <c r="FZ9" i="33" s="1"/>
  <c r="FZ17" i="33" s="1"/>
  <c r="FY7" i="33"/>
  <c r="FY9" i="33" s="1"/>
  <c r="FY17" i="33" s="1"/>
  <c r="FX7" i="33"/>
  <c r="FX9" i="33" s="1"/>
  <c r="FX17" i="33" s="1"/>
  <c r="FW7" i="33"/>
  <c r="FW9" i="33" s="1"/>
  <c r="FW17" i="33" s="1"/>
  <c r="FV7" i="33"/>
  <c r="FV9" i="33" s="1"/>
  <c r="FV17" i="33" s="1"/>
  <c r="FU7" i="33"/>
  <c r="FU9" i="33" s="1"/>
  <c r="FU17" i="33" s="1"/>
  <c r="FT7" i="33"/>
  <c r="FT9" i="33" s="1"/>
  <c r="FT17" i="33" s="1"/>
  <c r="FS7" i="33"/>
  <c r="FS9" i="33" s="1"/>
  <c r="FS17" i="33" s="1"/>
  <c r="FR7" i="33"/>
  <c r="FR9" i="33" s="1"/>
  <c r="FR17" i="33" s="1"/>
  <c r="FQ7" i="33"/>
  <c r="FQ9" i="33" s="1"/>
  <c r="FQ17" i="33" s="1"/>
  <c r="FP7" i="33"/>
  <c r="FP9" i="33" s="1"/>
  <c r="FP17" i="33" s="1"/>
  <c r="FO7" i="33"/>
  <c r="FO9" i="33" s="1"/>
  <c r="FO17" i="33" s="1"/>
  <c r="FN7" i="33"/>
  <c r="FN9" i="33" s="1"/>
  <c r="FN17" i="33" s="1"/>
  <c r="FM7" i="33"/>
  <c r="FM9" i="33" s="1"/>
  <c r="FM17" i="33" s="1"/>
  <c r="FL7" i="33"/>
  <c r="FL9" i="33" s="1"/>
  <c r="FL17" i="33" s="1"/>
  <c r="FK7" i="33"/>
  <c r="FK9" i="33" s="1"/>
  <c r="FK17" i="33" s="1"/>
  <c r="FJ7" i="33"/>
  <c r="FJ9" i="33" s="1"/>
  <c r="FJ17" i="33" s="1"/>
  <c r="FI7" i="33"/>
  <c r="FI9" i="33" s="1"/>
  <c r="FI17" i="33" s="1"/>
  <c r="FH7" i="33"/>
  <c r="FH9" i="33" s="1"/>
  <c r="FH17" i="33" s="1"/>
  <c r="FG7" i="33"/>
  <c r="FG9" i="33" s="1"/>
  <c r="FG17" i="33" s="1"/>
  <c r="FF7" i="33"/>
  <c r="FF9" i="33" s="1"/>
  <c r="FF17" i="33" s="1"/>
  <c r="FE7" i="33"/>
  <c r="FE9" i="33" s="1"/>
  <c r="FE17" i="33" s="1"/>
  <c r="FD7" i="33"/>
  <c r="FD9" i="33" s="1"/>
  <c r="FD17" i="33" s="1"/>
  <c r="FC7" i="33"/>
  <c r="FC9" i="33" s="1"/>
  <c r="FC17" i="33" s="1"/>
  <c r="FB7" i="33"/>
  <c r="FB9" i="33" s="1"/>
  <c r="FB17" i="33" s="1"/>
  <c r="FA7" i="33"/>
  <c r="FA9" i="33" s="1"/>
  <c r="FA17" i="33" s="1"/>
  <c r="EZ7" i="33"/>
  <c r="EZ9" i="33" s="1"/>
  <c r="EZ17" i="33" s="1"/>
  <c r="EY7" i="33"/>
  <c r="EY9" i="33" s="1"/>
  <c r="EY17" i="33" s="1"/>
  <c r="EX7" i="33"/>
  <c r="EX9" i="33" s="1"/>
  <c r="EX17" i="33" s="1"/>
  <c r="EW7" i="33"/>
  <c r="EW9" i="33" s="1"/>
  <c r="EW17" i="33" s="1"/>
  <c r="EV7" i="33"/>
  <c r="EV9" i="33" s="1"/>
  <c r="EV17" i="33" s="1"/>
  <c r="EU7" i="33"/>
  <c r="EU9" i="33" s="1"/>
  <c r="EU17" i="33" s="1"/>
  <c r="ET7" i="33"/>
  <c r="ET9" i="33" s="1"/>
  <c r="ET17" i="33" s="1"/>
  <c r="ES7" i="33"/>
  <c r="ES9" i="33" s="1"/>
  <c r="ES17" i="33" s="1"/>
  <c r="ER7" i="33"/>
  <c r="ER9" i="33" s="1"/>
  <c r="ER17" i="33" s="1"/>
  <c r="EQ7" i="33"/>
  <c r="EQ9" i="33" s="1"/>
  <c r="EQ17" i="33" s="1"/>
  <c r="EP7" i="33"/>
  <c r="EP9" i="33" s="1"/>
  <c r="EP17" i="33" s="1"/>
  <c r="EO7" i="33"/>
  <c r="EO9" i="33" s="1"/>
  <c r="EO17" i="33" s="1"/>
  <c r="EN7" i="33"/>
  <c r="EN9" i="33" s="1"/>
  <c r="EN17" i="33" s="1"/>
  <c r="EM7" i="33"/>
  <c r="EM9" i="33" s="1"/>
  <c r="EM17" i="33" s="1"/>
  <c r="EL7" i="33"/>
  <c r="EL9" i="33" s="1"/>
  <c r="EL17" i="33" s="1"/>
  <c r="EK7" i="33"/>
  <c r="EK9" i="33" s="1"/>
  <c r="EK17" i="33" s="1"/>
  <c r="EJ7" i="33"/>
  <c r="EJ9" i="33" s="1"/>
  <c r="EJ17" i="33" s="1"/>
  <c r="EI7" i="33"/>
  <c r="EI9" i="33" s="1"/>
  <c r="EI17" i="33" s="1"/>
  <c r="EH7" i="33"/>
  <c r="EH9" i="33" s="1"/>
  <c r="EH17" i="33" s="1"/>
  <c r="EG7" i="33"/>
  <c r="EG9" i="33" s="1"/>
  <c r="EG17" i="33" s="1"/>
  <c r="EF7" i="33"/>
  <c r="EF9" i="33" s="1"/>
  <c r="EF17" i="33" s="1"/>
  <c r="EE7" i="33"/>
  <c r="EE9" i="33" s="1"/>
  <c r="EE17" i="33" s="1"/>
  <c r="ED7" i="33"/>
  <c r="ED9" i="33" s="1"/>
  <c r="ED17" i="33" s="1"/>
  <c r="EC7" i="33"/>
  <c r="EC9" i="33" s="1"/>
  <c r="EC17" i="33" s="1"/>
  <c r="EB7" i="33"/>
  <c r="EB9" i="33" s="1"/>
  <c r="EB17" i="33" s="1"/>
  <c r="EA7" i="33"/>
  <c r="EA9" i="33" s="1"/>
  <c r="EA17" i="33" s="1"/>
  <c r="DZ7" i="33"/>
  <c r="DZ9" i="33" s="1"/>
  <c r="DZ17" i="33" s="1"/>
  <c r="DY7" i="33"/>
  <c r="DY9" i="33" s="1"/>
  <c r="DY17" i="33" s="1"/>
  <c r="DX7" i="33"/>
  <c r="DX9" i="33" s="1"/>
  <c r="DX17" i="33" s="1"/>
  <c r="DW7" i="33"/>
  <c r="DW9" i="33" s="1"/>
  <c r="DW17" i="33" s="1"/>
  <c r="DV7" i="33"/>
  <c r="DV9" i="33" s="1"/>
  <c r="DV17" i="33" s="1"/>
  <c r="DU7" i="33"/>
  <c r="DU9" i="33" s="1"/>
  <c r="DU17" i="33" s="1"/>
  <c r="DT7" i="33"/>
  <c r="DT9" i="33" s="1"/>
  <c r="DT17" i="33" s="1"/>
  <c r="DS7" i="33"/>
  <c r="DS9" i="33" s="1"/>
  <c r="DS17" i="33" s="1"/>
  <c r="DR7" i="33"/>
  <c r="DR9" i="33" s="1"/>
  <c r="DR17" i="33" s="1"/>
  <c r="DQ7" i="33"/>
  <c r="DQ9" i="33" s="1"/>
  <c r="DQ17" i="33" s="1"/>
  <c r="DP7" i="33"/>
  <c r="DP9" i="33" s="1"/>
  <c r="DP17" i="33" s="1"/>
  <c r="DO7" i="33"/>
  <c r="DO9" i="33" s="1"/>
  <c r="DO17" i="33" s="1"/>
  <c r="DN7" i="33"/>
  <c r="DN9" i="33" s="1"/>
  <c r="DN17" i="33" s="1"/>
  <c r="DM7" i="33"/>
  <c r="DM9" i="33" s="1"/>
  <c r="DM17" i="33" s="1"/>
  <c r="DL7" i="33"/>
  <c r="DL9" i="33" s="1"/>
  <c r="DL17" i="33" s="1"/>
  <c r="DK7" i="33"/>
  <c r="DK9" i="33" s="1"/>
  <c r="DK17" i="33" s="1"/>
  <c r="DJ7" i="33"/>
  <c r="DJ9" i="33" s="1"/>
  <c r="DJ17" i="33" s="1"/>
  <c r="DI7" i="33"/>
  <c r="DI9" i="33" s="1"/>
  <c r="DI17" i="33" s="1"/>
  <c r="DH7" i="33"/>
  <c r="DH9" i="33" s="1"/>
  <c r="DH17" i="33" s="1"/>
  <c r="DG7" i="33"/>
  <c r="DG9" i="33" s="1"/>
  <c r="DG17" i="33" s="1"/>
  <c r="DF7" i="33"/>
  <c r="DF9" i="33" s="1"/>
  <c r="DF17" i="33" s="1"/>
  <c r="DE7" i="33"/>
  <c r="DE9" i="33" s="1"/>
  <c r="DE17" i="33" s="1"/>
  <c r="DD7" i="33"/>
  <c r="DD9" i="33" s="1"/>
  <c r="DD17" i="33" s="1"/>
  <c r="DC7" i="33"/>
  <c r="DC9" i="33" s="1"/>
  <c r="DC17" i="33" s="1"/>
  <c r="DB7" i="33"/>
  <c r="DB9" i="33" s="1"/>
  <c r="DB17" i="33" s="1"/>
  <c r="DA7" i="33"/>
  <c r="DA9" i="33" s="1"/>
  <c r="DA17" i="33" s="1"/>
  <c r="CZ7" i="33"/>
  <c r="CZ9" i="33" s="1"/>
  <c r="CZ17" i="33" s="1"/>
  <c r="CY7" i="33"/>
  <c r="CY9" i="33" s="1"/>
  <c r="CY17" i="33" s="1"/>
  <c r="CX7" i="33"/>
  <c r="CX9" i="33" s="1"/>
  <c r="CX17" i="33" s="1"/>
  <c r="CW7" i="33"/>
  <c r="CW9" i="33" s="1"/>
  <c r="CW17" i="33" s="1"/>
  <c r="CV7" i="33"/>
  <c r="CV9" i="33" s="1"/>
  <c r="CV17" i="33" s="1"/>
  <c r="CU7" i="33"/>
  <c r="CU9" i="33" s="1"/>
  <c r="CU17" i="33" s="1"/>
  <c r="CT7" i="33"/>
  <c r="CT9" i="33" s="1"/>
  <c r="CT17" i="33" s="1"/>
  <c r="CS7" i="33"/>
  <c r="CS9" i="33" s="1"/>
  <c r="CS17" i="33" s="1"/>
  <c r="CR7" i="33"/>
  <c r="CR9" i="33" s="1"/>
  <c r="CR17" i="33" s="1"/>
  <c r="CQ7" i="33"/>
  <c r="CQ9" i="33" s="1"/>
  <c r="CQ17" i="33" s="1"/>
  <c r="CP7" i="33"/>
  <c r="CP9" i="33" s="1"/>
  <c r="CP17" i="33" s="1"/>
  <c r="CO7" i="33"/>
  <c r="CO9" i="33" s="1"/>
  <c r="CO17" i="33" s="1"/>
  <c r="CN7" i="33"/>
  <c r="CN9" i="33" s="1"/>
  <c r="CN17" i="33" s="1"/>
  <c r="CM7" i="33"/>
  <c r="CM9" i="33" s="1"/>
  <c r="CM17" i="33" s="1"/>
  <c r="CL7" i="33"/>
  <c r="CL9" i="33" s="1"/>
  <c r="CL17" i="33" s="1"/>
  <c r="CK7" i="33"/>
  <c r="CK9" i="33" s="1"/>
  <c r="CK17" i="33" s="1"/>
  <c r="CJ7" i="33"/>
  <c r="CJ9" i="33" s="1"/>
  <c r="CJ17" i="33" s="1"/>
  <c r="CI7" i="33"/>
  <c r="CI9" i="33" s="1"/>
  <c r="CI17" i="33" s="1"/>
  <c r="CH7" i="33"/>
  <c r="CH9" i="33" s="1"/>
  <c r="CH17" i="33" s="1"/>
  <c r="CG7" i="33"/>
  <c r="CG9" i="33" s="1"/>
  <c r="CG17" i="33" s="1"/>
  <c r="CF7" i="33"/>
  <c r="CF9" i="33" s="1"/>
  <c r="CF17" i="33" s="1"/>
  <c r="CE7" i="33"/>
  <c r="CE9" i="33" s="1"/>
  <c r="CE17" i="33" s="1"/>
  <c r="CD7" i="33"/>
  <c r="CD9" i="33" s="1"/>
  <c r="CD17" i="33" s="1"/>
  <c r="CC7" i="33"/>
  <c r="CC9" i="33" s="1"/>
  <c r="CC17" i="33" s="1"/>
  <c r="CB7" i="33"/>
  <c r="CB9" i="33" s="1"/>
  <c r="CB17" i="33" s="1"/>
  <c r="CA7" i="33"/>
  <c r="CA9" i="33" s="1"/>
  <c r="CA17" i="33" s="1"/>
  <c r="BZ7" i="33"/>
  <c r="BZ9" i="33" s="1"/>
  <c r="BZ17" i="33" s="1"/>
  <c r="BY7" i="33"/>
  <c r="BY9" i="33" s="1"/>
  <c r="BY17" i="33" s="1"/>
  <c r="BX7" i="33"/>
  <c r="BX9" i="33" s="1"/>
  <c r="BX17" i="33" s="1"/>
  <c r="BW7" i="33"/>
  <c r="BW9" i="33" s="1"/>
  <c r="BW17" i="33" s="1"/>
  <c r="BV7" i="33"/>
  <c r="BV9" i="33" s="1"/>
  <c r="BV17" i="33" s="1"/>
  <c r="BU7" i="33"/>
  <c r="BU9" i="33" s="1"/>
  <c r="BU17" i="33" s="1"/>
  <c r="BT7" i="33"/>
  <c r="BT9" i="33" s="1"/>
  <c r="BT17" i="33" s="1"/>
  <c r="BS7" i="33"/>
  <c r="BS9" i="33" s="1"/>
  <c r="BS17" i="33" s="1"/>
  <c r="BR7" i="33"/>
  <c r="BR9" i="33" s="1"/>
  <c r="BR17" i="33" s="1"/>
  <c r="BQ7" i="33"/>
  <c r="BQ9" i="33" s="1"/>
  <c r="BQ17" i="33" s="1"/>
  <c r="BP7" i="33"/>
  <c r="BP9" i="33" s="1"/>
  <c r="BP17" i="33" s="1"/>
  <c r="BO7" i="33"/>
  <c r="BO9" i="33" s="1"/>
  <c r="BO17" i="33" s="1"/>
  <c r="BN7" i="33"/>
  <c r="BN9" i="33" s="1"/>
  <c r="BN17" i="33" s="1"/>
  <c r="BM7" i="33"/>
  <c r="BM9" i="33" s="1"/>
  <c r="BM17" i="33" s="1"/>
  <c r="BL7" i="33"/>
  <c r="BL9" i="33" s="1"/>
  <c r="BL17" i="33" s="1"/>
  <c r="BK7" i="33"/>
  <c r="BK9" i="33" s="1"/>
  <c r="BK17" i="33" s="1"/>
  <c r="BJ7" i="33"/>
  <c r="BJ9" i="33" s="1"/>
  <c r="BJ17" i="33" s="1"/>
  <c r="BI7" i="33"/>
  <c r="BI9" i="33" s="1"/>
  <c r="BI17" i="33" s="1"/>
  <c r="BH7" i="33"/>
  <c r="BH9" i="33" s="1"/>
  <c r="BH17" i="33" s="1"/>
  <c r="BG7" i="33"/>
  <c r="BG9" i="33" s="1"/>
  <c r="BG17" i="33" s="1"/>
  <c r="BF7" i="33"/>
  <c r="BF9" i="33" s="1"/>
  <c r="BF17" i="33" s="1"/>
  <c r="BE7" i="33"/>
  <c r="BE9" i="33" s="1"/>
  <c r="BE17" i="33" s="1"/>
  <c r="BD7" i="33"/>
  <c r="BD9" i="33" s="1"/>
  <c r="BD17" i="33" s="1"/>
  <c r="BC7" i="33"/>
  <c r="BC9" i="33" s="1"/>
  <c r="BC17" i="33" s="1"/>
  <c r="BB7" i="33"/>
  <c r="BB9" i="33" s="1"/>
  <c r="BB17" i="33" s="1"/>
  <c r="BA7" i="33"/>
  <c r="BA9" i="33" s="1"/>
  <c r="BA17" i="33" s="1"/>
  <c r="AZ7" i="33"/>
  <c r="AZ9" i="33" s="1"/>
  <c r="AZ17" i="33" s="1"/>
  <c r="AY7" i="33"/>
  <c r="AY9" i="33" s="1"/>
  <c r="AY17" i="33" s="1"/>
  <c r="AX7" i="33"/>
  <c r="AX9" i="33" s="1"/>
  <c r="AX17" i="33" s="1"/>
  <c r="AW7" i="33"/>
  <c r="AW9" i="33" s="1"/>
  <c r="AW17" i="33" s="1"/>
  <c r="AV7" i="33"/>
  <c r="AV9" i="33" s="1"/>
  <c r="AV17" i="33" s="1"/>
  <c r="AU7" i="33"/>
  <c r="AU9" i="33" s="1"/>
  <c r="AU17" i="33" s="1"/>
  <c r="AT7" i="33"/>
  <c r="AT9" i="33" s="1"/>
  <c r="AT17" i="33" s="1"/>
  <c r="AS7" i="33"/>
  <c r="AS9" i="33" s="1"/>
  <c r="AS17" i="33" s="1"/>
  <c r="AR7" i="33"/>
  <c r="AR9" i="33" s="1"/>
  <c r="AR17" i="33" s="1"/>
  <c r="AQ7" i="33"/>
  <c r="AQ9" i="33" s="1"/>
  <c r="AQ17" i="33" s="1"/>
  <c r="AP7" i="33"/>
  <c r="AP9" i="33" s="1"/>
  <c r="AP17" i="33" s="1"/>
  <c r="AO7" i="33"/>
  <c r="AO9" i="33" s="1"/>
  <c r="AO17" i="33" s="1"/>
  <c r="AN7" i="33"/>
  <c r="AN9" i="33" s="1"/>
  <c r="AN17" i="33" s="1"/>
  <c r="AM7" i="33"/>
  <c r="AM9" i="33" s="1"/>
  <c r="AM17" i="33" s="1"/>
  <c r="AL7" i="33"/>
  <c r="AL9" i="33" s="1"/>
  <c r="AL17" i="33" s="1"/>
  <c r="AK7" i="33"/>
  <c r="AK9" i="33" s="1"/>
  <c r="AK17" i="33" s="1"/>
  <c r="AJ7" i="33"/>
  <c r="AJ9" i="33" s="1"/>
  <c r="AJ17" i="33" s="1"/>
  <c r="AI7" i="33"/>
  <c r="AI9" i="33" s="1"/>
  <c r="AI17" i="33" s="1"/>
  <c r="AH7" i="33"/>
  <c r="AH9" i="33" s="1"/>
  <c r="AH17" i="33" s="1"/>
  <c r="AG7" i="33"/>
  <c r="AG9" i="33" s="1"/>
  <c r="AG17" i="33" s="1"/>
  <c r="AF7" i="33"/>
  <c r="AF9" i="33" s="1"/>
  <c r="AF17" i="33" s="1"/>
  <c r="AE7" i="33"/>
  <c r="AE9" i="33" s="1"/>
  <c r="AE17" i="33" s="1"/>
  <c r="AD7" i="33"/>
  <c r="AD9" i="33" s="1"/>
  <c r="AD17" i="33" s="1"/>
  <c r="AC7" i="33"/>
  <c r="AC9" i="33" s="1"/>
  <c r="AC17" i="33" s="1"/>
  <c r="AB7" i="33"/>
  <c r="AB9" i="33" s="1"/>
  <c r="AB17" i="33" s="1"/>
  <c r="AA7" i="33"/>
  <c r="AA9" i="33" s="1"/>
  <c r="AA17" i="33" s="1"/>
  <c r="Z7" i="33"/>
  <c r="Z9" i="33" s="1"/>
  <c r="Z17" i="33" s="1"/>
  <c r="Y7" i="33"/>
  <c r="Y9" i="33" s="1"/>
  <c r="Y17" i="33" s="1"/>
  <c r="X7" i="33"/>
  <c r="X9" i="33" s="1"/>
  <c r="X17" i="33" s="1"/>
  <c r="W7" i="33"/>
  <c r="W9" i="33" s="1"/>
  <c r="W17" i="33" s="1"/>
  <c r="V7" i="33"/>
  <c r="V9" i="33" s="1"/>
  <c r="V17" i="33" s="1"/>
  <c r="U7" i="33"/>
  <c r="U9" i="33" s="1"/>
  <c r="U17" i="33" s="1"/>
  <c r="T7" i="33"/>
  <c r="T9" i="33" s="1"/>
  <c r="T17" i="33" s="1"/>
  <c r="S7" i="33"/>
  <c r="S9" i="33" s="1"/>
  <c r="S17" i="33" s="1"/>
  <c r="R7" i="33"/>
  <c r="R9" i="33" s="1"/>
  <c r="R17" i="33" s="1"/>
  <c r="Q7" i="33"/>
  <c r="Q9" i="33" s="1"/>
  <c r="Q17" i="33" s="1"/>
  <c r="P7" i="33"/>
  <c r="P9" i="33" s="1"/>
  <c r="P17" i="33" s="1"/>
  <c r="O7" i="33"/>
  <c r="O9" i="33" s="1"/>
  <c r="O17" i="33" s="1"/>
  <c r="N7" i="33"/>
  <c r="N9" i="33" s="1"/>
  <c r="N17" i="33" s="1"/>
  <c r="M7" i="33"/>
  <c r="M9" i="33" s="1"/>
  <c r="M17" i="33" s="1"/>
  <c r="L7" i="33"/>
  <c r="L9" i="33" s="1"/>
  <c r="L17" i="33" s="1"/>
  <c r="K7" i="33"/>
  <c r="K9" i="33" s="1"/>
  <c r="K17" i="33" s="1"/>
  <c r="J7" i="33"/>
  <c r="J9" i="33" s="1"/>
  <c r="J17" i="33" s="1"/>
  <c r="I7" i="33"/>
  <c r="I9" i="33" s="1"/>
  <c r="I17" i="33" s="1"/>
  <c r="H7" i="33"/>
  <c r="H9" i="33" s="1"/>
  <c r="H17" i="33" s="1"/>
  <c r="G7" i="33"/>
  <c r="G9" i="33" s="1"/>
  <c r="G17" i="33" s="1"/>
  <c r="F7" i="33"/>
  <c r="F9" i="33" s="1"/>
  <c r="F17" i="33" s="1"/>
  <c r="E7" i="33"/>
  <c r="E9" i="33" s="1"/>
  <c r="E17" i="33" s="1"/>
  <c r="D7" i="33"/>
  <c r="D9" i="33" s="1"/>
  <c r="D17" i="33" s="1"/>
  <c r="NG1" i="33"/>
  <c r="NF1" i="33"/>
  <c r="NE1" i="33"/>
  <c r="ND1" i="33"/>
  <c r="NC1" i="33"/>
  <c r="NB1" i="33"/>
  <c r="NA1" i="33"/>
  <c r="MZ1" i="33"/>
  <c r="MY1" i="33"/>
  <c r="MX1" i="33"/>
  <c r="MW1" i="33"/>
  <c r="MV1" i="33"/>
  <c r="MU1" i="33"/>
  <c r="MT1" i="33"/>
  <c r="MS1" i="33"/>
  <c r="MR1" i="33"/>
  <c r="MQ1" i="33"/>
  <c r="MP1" i="33"/>
  <c r="MO1" i="33"/>
  <c r="MN1" i="33"/>
  <c r="MM1" i="33"/>
  <c r="ML1" i="33"/>
  <c r="MK1" i="33"/>
  <c r="MJ1" i="33"/>
  <c r="MI1" i="33"/>
  <c r="MH1" i="33"/>
  <c r="MG1" i="33"/>
  <c r="MF1" i="33"/>
  <c r="ME1" i="33"/>
  <c r="MD1" i="33"/>
  <c r="MC1" i="33"/>
  <c r="MB1" i="33"/>
  <c r="MA1" i="33"/>
  <c r="LZ1" i="33"/>
  <c r="LY1" i="33"/>
  <c r="LX1" i="33"/>
  <c r="LW1" i="33"/>
  <c r="LV1" i="33"/>
  <c r="LU1" i="33"/>
  <c r="LT1" i="33"/>
  <c r="LS1" i="33"/>
  <c r="LR1" i="33"/>
  <c r="LQ1" i="33"/>
  <c r="LP1" i="33"/>
  <c r="LO1" i="33"/>
  <c r="LN1" i="33"/>
  <c r="LM1" i="33"/>
  <c r="LL1" i="33"/>
  <c r="LK1" i="33"/>
  <c r="LJ1" i="33"/>
  <c r="LI1" i="33"/>
  <c r="LH1" i="33"/>
  <c r="LG1" i="33"/>
  <c r="LF1" i="33"/>
  <c r="LE1" i="33"/>
  <c r="LD1" i="33"/>
  <c r="LC1" i="33"/>
  <c r="LB1" i="33"/>
  <c r="LA1" i="33"/>
  <c r="KZ1" i="33"/>
  <c r="KY1" i="33"/>
  <c r="KX1" i="33"/>
  <c r="KW1" i="33"/>
  <c r="KV1" i="33"/>
  <c r="KU1" i="33"/>
  <c r="KT1" i="33"/>
  <c r="KS1" i="33"/>
  <c r="KR1" i="33"/>
  <c r="KQ1" i="33"/>
  <c r="KP1" i="33"/>
  <c r="KO1" i="33"/>
  <c r="KN1" i="33"/>
  <c r="KM1" i="33"/>
  <c r="KL1" i="33"/>
  <c r="KK1" i="33"/>
  <c r="KJ1" i="33"/>
  <c r="KI1" i="33"/>
  <c r="KH1" i="33"/>
  <c r="KG1" i="33"/>
  <c r="KF1" i="33"/>
  <c r="KE1" i="33"/>
  <c r="KD1" i="33"/>
  <c r="KC1" i="33"/>
  <c r="KB1" i="33"/>
  <c r="KA1" i="33"/>
  <c r="JZ1" i="33"/>
  <c r="JY1" i="33"/>
  <c r="JX1" i="33"/>
  <c r="JW1" i="33"/>
  <c r="JV1" i="33"/>
  <c r="JU1" i="33"/>
  <c r="JT1" i="33"/>
  <c r="JS1" i="33"/>
  <c r="JR1" i="33"/>
  <c r="JQ1" i="33"/>
  <c r="JP1" i="33"/>
  <c r="JO1" i="33"/>
  <c r="JN1" i="33"/>
  <c r="JM1" i="33"/>
  <c r="JL1" i="33"/>
  <c r="JK1" i="33"/>
  <c r="JJ1" i="33"/>
  <c r="JI1" i="33"/>
  <c r="JH1" i="33"/>
  <c r="JG1" i="33"/>
  <c r="JF1" i="33"/>
  <c r="JE1" i="33"/>
  <c r="JD1" i="33"/>
  <c r="JC1" i="33"/>
  <c r="JB1" i="33"/>
  <c r="JA1" i="33"/>
  <c r="IZ1" i="33"/>
  <c r="IY1" i="33"/>
  <c r="IX1" i="33"/>
  <c r="IW1" i="33"/>
  <c r="IV1" i="33"/>
  <c r="IU1" i="33"/>
  <c r="IT1" i="33"/>
  <c r="IS1" i="33"/>
  <c r="IR1" i="33"/>
  <c r="IQ1" i="33"/>
  <c r="IP1" i="33"/>
  <c r="IO1" i="33"/>
  <c r="IN1" i="33"/>
  <c r="IM1" i="33"/>
  <c r="IL1" i="33"/>
  <c r="IK1" i="33"/>
  <c r="IJ1" i="33"/>
  <c r="II1" i="33"/>
  <c r="IH1" i="33"/>
  <c r="IG1" i="33"/>
  <c r="IF1" i="33"/>
  <c r="IE1" i="33"/>
  <c r="ID1" i="33"/>
  <c r="IC1" i="33"/>
  <c r="IB1" i="33"/>
  <c r="IA1" i="33"/>
  <c r="HZ1" i="33"/>
  <c r="HY1" i="33"/>
  <c r="HX1" i="33"/>
  <c r="HW1" i="33"/>
  <c r="HV1" i="33"/>
  <c r="HU1" i="33"/>
  <c r="HT1" i="33"/>
  <c r="HS1" i="33"/>
  <c r="HR1" i="33"/>
  <c r="HQ1" i="33"/>
  <c r="HP1" i="33"/>
  <c r="HO1" i="33"/>
  <c r="HN1" i="33"/>
  <c r="HM1" i="33"/>
  <c r="HL1" i="33"/>
  <c r="HK1" i="33"/>
  <c r="HJ1" i="33"/>
  <c r="HI1" i="33"/>
  <c r="HH1" i="33"/>
  <c r="HG1" i="33"/>
  <c r="HF1" i="33"/>
  <c r="HE1" i="33"/>
  <c r="HD1" i="33"/>
  <c r="HC1" i="33"/>
  <c r="HB1" i="33"/>
  <c r="HA1" i="33"/>
  <c r="GZ1" i="33"/>
  <c r="GY1" i="33"/>
  <c r="GX1" i="33"/>
  <c r="GW1" i="33"/>
  <c r="GV1" i="33"/>
  <c r="GU1" i="33"/>
  <c r="GT1" i="33"/>
  <c r="GS1" i="33"/>
  <c r="GR1" i="33"/>
  <c r="GQ1" i="33"/>
  <c r="GP1" i="33"/>
  <c r="GO1" i="33"/>
  <c r="GN1" i="33"/>
  <c r="GM1" i="33"/>
  <c r="GL1" i="33"/>
  <c r="GK1" i="33"/>
  <c r="GJ1" i="33"/>
  <c r="GI1" i="33"/>
  <c r="GH1" i="33"/>
  <c r="GG1" i="33"/>
  <c r="GF1" i="33"/>
  <c r="GE1" i="33"/>
  <c r="GD1" i="33"/>
  <c r="GC1" i="33"/>
  <c r="GB1" i="33"/>
  <c r="GA1" i="33"/>
  <c r="FZ1" i="33"/>
  <c r="FY1" i="33"/>
  <c r="FX1" i="33"/>
  <c r="FW1" i="33"/>
  <c r="FV1" i="33"/>
  <c r="FU1" i="33"/>
  <c r="FT1" i="33"/>
  <c r="FS1" i="33"/>
  <c r="FR1" i="33"/>
  <c r="FQ1" i="33"/>
  <c r="FP1" i="33"/>
  <c r="FO1" i="33"/>
  <c r="FN1" i="33"/>
  <c r="FM1" i="33"/>
  <c r="FL1" i="33"/>
  <c r="FK1" i="33"/>
  <c r="FJ1" i="33"/>
  <c r="FI1" i="33"/>
  <c r="FH1" i="33"/>
  <c r="FG1" i="33"/>
  <c r="FF1" i="33"/>
  <c r="FE1" i="33"/>
  <c r="FD1" i="33"/>
  <c r="FC1" i="33"/>
  <c r="FB1" i="33"/>
  <c r="FA1" i="33"/>
  <c r="EZ1" i="33"/>
  <c r="EY1" i="33"/>
  <c r="EX1" i="33"/>
  <c r="EW1" i="33"/>
  <c r="EV1" i="33"/>
  <c r="EU1" i="33"/>
  <c r="ET1" i="33"/>
  <c r="ES1" i="33"/>
  <c r="ER1" i="33"/>
  <c r="EQ1" i="33"/>
  <c r="EP1" i="33"/>
  <c r="EO1" i="33"/>
  <c r="EN1" i="33"/>
  <c r="EM1" i="33"/>
  <c r="EL1" i="33"/>
  <c r="EK1" i="33"/>
  <c r="EJ1" i="33"/>
  <c r="EI1" i="33"/>
  <c r="EH1" i="33"/>
  <c r="EG1" i="33"/>
  <c r="EF1" i="33"/>
  <c r="EE1" i="33"/>
  <c r="ED1" i="33"/>
  <c r="EC1" i="33"/>
  <c r="EB1" i="33"/>
  <c r="EA1" i="33"/>
  <c r="DZ1" i="33"/>
  <c r="DY1" i="33"/>
  <c r="DX1" i="33"/>
  <c r="DW1" i="33"/>
  <c r="DV1" i="33"/>
  <c r="DU1" i="33"/>
  <c r="DT1" i="33"/>
  <c r="DS1" i="33"/>
  <c r="DR1" i="33"/>
  <c r="DQ1" i="33"/>
  <c r="DP1" i="33"/>
  <c r="DO1" i="33"/>
  <c r="DN1" i="33"/>
  <c r="DM1" i="33"/>
  <c r="DL1" i="33"/>
  <c r="DK1" i="33"/>
  <c r="DJ1" i="33"/>
  <c r="DI1" i="33"/>
  <c r="DH1" i="33"/>
  <c r="DG1" i="33"/>
  <c r="DF1" i="33"/>
  <c r="DE1" i="33"/>
  <c r="DD1" i="33"/>
  <c r="DC1" i="33"/>
  <c r="DB1" i="33"/>
  <c r="DA1" i="33"/>
  <c r="CZ1" i="33"/>
  <c r="CY1" i="33"/>
  <c r="CX1" i="33"/>
  <c r="CW1" i="33"/>
  <c r="CV1" i="33"/>
  <c r="CU1" i="33"/>
  <c r="CT1" i="33"/>
  <c r="CS1" i="33"/>
  <c r="CR1" i="33"/>
  <c r="CQ1" i="33"/>
  <c r="CP1" i="33"/>
  <c r="CO1" i="33"/>
  <c r="CN1" i="33"/>
  <c r="CM1" i="33"/>
  <c r="CL1" i="33"/>
  <c r="CK1" i="33"/>
  <c r="CJ1" i="33"/>
  <c r="CI1" i="33"/>
  <c r="CH1" i="33"/>
  <c r="CG1" i="33"/>
  <c r="CF1" i="33"/>
  <c r="CE1" i="33"/>
  <c r="CD1" i="33"/>
  <c r="CC1" i="33"/>
  <c r="CB1" i="33"/>
  <c r="CA1" i="33"/>
  <c r="BZ1" i="33"/>
  <c r="BY1" i="33"/>
  <c r="BX1" i="33"/>
  <c r="BW1" i="33"/>
  <c r="BV1" i="33"/>
  <c r="BU1" i="33"/>
  <c r="BT1" i="33"/>
  <c r="BS1" i="33"/>
  <c r="BR1" i="33"/>
  <c r="BQ1" i="33"/>
  <c r="BP1" i="33"/>
  <c r="BO1" i="33"/>
  <c r="BN1" i="33"/>
  <c r="BM1" i="33"/>
  <c r="BL1" i="33"/>
  <c r="BK1" i="33"/>
  <c r="BJ1" i="33"/>
  <c r="BI1" i="33"/>
  <c r="BH1" i="33"/>
  <c r="BG1" i="33"/>
  <c r="BF1" i="33"/>
  <c r="BE1" i="33"/>
  <c r="BD1" i="33"/>
  <c r="BC1" i="33"/>
  <c r="BB1" i="33"/>
  <c r="BA1" i="33"/>
  <c r="AZ1" i="33"/>
  <c r="AY1" i="33"/>
  <c r="AX1" i="33"/>
  <c r="AW1" i="33"/>
  <c r="AV1" i="33"/>
  <c r="AU1" i="33"/>
  <c r="AT1" i="33"/>
  <c r="AS1" i="33"/>
  <c r="AR1" i="33"/>
  <c r="AQ1" i="33"/>
  <c r="AP1" i="33"/>
  <c r="AO1" i="33"/>
  <c r="AN1" i="33"/>
  <c r="AM1" i="33"/>
  <c r="AL1" i="33"/>
  <c r="AK1" i="33"/>
  <c r="AJ1" i="33"/>
  <c r="AI1" i="33"/>
  <c r="AH1" i="33"/>
  <c r="AG1" i="33"/>
  <c r="AF1" i="33"/>
  <c r="AE1" i="33"/>
  <c r="AD1" i="33"/>
  <c r="AC1" i="33"/>
  <c r="AB1" i="33"/>
  <c r="AA1" i="33"/>
  <c r="Z1" i="33"/>
  <c r="Y1" i="33"/>
  <c r="X1" i="33"/>
  <c r="W1" i="33"/>
  <c r="V1" i="33"/>
  <c r="U1" i="33"/>
  <c r="T1" i="33"/>
  <c r="S1" i="33"/>
  <c r="R1" i="33"/>
  <c r="Q1" i="33"/>
  <c r="P1" i="33"/>
  <c r="O1" i="33"/>
  <c r="N1" i="33"/>
  <c r="M1" i="33"/>
  <c r="L1" i="33"/>
  <c r="K1" i="33"/>
  <c r="J1" i="33"/>
  <c r="I1" i="33"/>
  <c r="H1" i="33"/>
  <c r="G1" i="33"/>
  <c r="F1" i="33"/>
  <c r="E1" i="33"/>
  <c r="D1" i="33"/>
  <c r="E55" i="5"/>
  <c r="F55" i="5" s="1"/>
  <c r="G55" i="5" s="1"/>
  <c r="H55" i="5" s="1"/>
  <c r="I55" i="5" s="1"/>
  <c r="J55" i="5" s="1"/>
  <c r="K55" i="5" s="1"/>
  <c r="Y18" i="28" l="1"/>
  <c r="Y14" i="28"/>
  <c r="AH170" i="1"/>
  <c r="AH176" i="1" s="1"/>
  <c r="G49" i="28"/>
  <c r="H49" i="28" s="1"/>
  <c r="I49" i="28" s="1"/>
  <c r="J49" i="28" s="1"/>
  <c r="K49" i="28" s="1"/>
  <c r="L49" i="28" s="1"/>
  <c r="M49" i="28" s="1"/>
  <c r="N49" i="28" s="1"/>
  <c r="O49" i="28" s="1"/>
  <c r="P49" i="28" s="1"/>
  <c r="Q49" i="28" s="1"/>
  <c r="R49" i="28" s="1"/>
  <c r="S49" i="28" s="1"/>
  <c r="T49" i="28" s="1"/>
  <c r="U49" i="28" s="1"/>
  <c r="V49" i="28" s="1"/>
  <c r="G73" i="28"/>
  <c r="W73" i="28"/>
  <c r="CX48" i="28"/>
  <c r="CY45" i="28"/>
  <c r="G72" i="28"/>
  <c r="CZ53" i="28"/>
  <c r="CY56" i="28"/>
  <c r="CY57" i="28" s="1"/>
  <c r="CZ37" i="28"/>
  <c r="CY40" i="28"/>
  <c r="CY41" i="28" s="1"/>
  <c r="DA62" i="28"/>
  <c r="CZ65" i="28"/>
  <c r="CZ66" i="28" s="1"/>
  <c r="CZ64" i="28"/>
  <c r="CZ68" i="28"/>
  <c r="AG21" i="28"/>
  <c r="AH21" i="28" s="1"/>
  <c r="AF24" i="28"/>
  <c r="BO53" i="28"/>
  <c r="BN56" i="28"/>
  <c r="H47" i="28"/>
  <c r="I47" i="28" s="1"/>
  <c r="J47" i="28" s="1"/>
  <c r="K47" i="28" s="1"/>
  <c r="L47" i="28" s="1"/>
  <c r="M47" i="28" s="1"/>
  <c r="N47" i="28" s="1"/>
  <c r="O47" i="28" s="1"/>
  <c r="P47" i="28" s="1"/>
  <c r="Q47" i="28" s="1"/>
  <c r="R47" i="28" s="1"/>
  <c r="S47" i="28" s="1"/>
  <c r="T47" i="28" s="1"/>
  <c r="U47" i="28" s="1"/>
  <c r="V47" i="28" s="1"/>
  <c r="W71" i="28"/>
  <c r="W48" i="28"/>
  <c r="H51" i="28"/>
  <c r="I51" i="28" s="1"/>
  <c r="J51" i="28" s="1"/>
  <c r="K51" i="28" s="1"/>
  <c r="L51" i="28" s="1"/>
  <c r="M51" i="28" s="1"/>
  <c r="N51" i="28" s="1"/>
  <c r="O51" i="28" s="1"/>
  <c r="P51" i="28" s="1"/>
  <c r="Q51" i="28" s="1"/>
  <c r="R51" i="28" s="1"/>
  <c r="S51" i="28" s="1"/>
  <c r="T51" i="28" s="1"/>
  <c r="U51" i="28" s="1"/>
  <c r="V51" i="28" s="1"/>
  <c r="X48" i="28"/>
  <c r="AJ40" i="28"/>
  <c r="Y29" i="28"/>
  <c r="X32" i="28"/>
  <c r="X71" i="28"/>
  <c r="J31" i="28"/>
  <c r="K31" i="28" s="1"/>
  <c r="L31" i="28" s="1"/>
  <c r="M31" i="28" s="1"/>
  <c r="N31" i="28" s="1"/>
  <c r="O31" i="28" s="1"/>
  <c r="P31" i="28" s="1"/>
  <c r="Q31" i="28" s="1"/>
  <c r="R31" i="28" s="1"/>
  <c r="S31" i="28" s="1"/>
  <c r="T31" i="28" s="1"/>
  <c r="U31" i="28" s="1"/>
  <c r="V31" i="28" s="1"/>
  <c r="W31" i="28" s="1"/>
  <c r="J33" i="28"/>
  <c r="K33" i="28" s="1"/>
  <c r="L33" i="28" s="1"/>
  <c r="M33" i="28" s="1"/>
  <c r="N33" i="28" s="1"/>
  <c r="O33" i="28" s="1"/>
  <c r="P33" i="28" s="1"/>
  <c r="Q33" i="28" s="1"/>
  <c r="R33" i="28" s="1"/>
  <c r="S33" i="28" s="1"/>
  <c r="T33" i="28" s="1"/>
  <c r="U33" i="28" s="1"/>
  <c r="V33" i="28" s="1"/>
  <c r="W33" i="28" s="1"/>
  <c r="J35" i="28"/>
  <c r="K35" i="28" s="1"/>
  <c r="L35" i="28" s="1"/>
  <c r="M35" i="28" s="1"/>
  <c r="N35" i="28" s="1"/>
  <c r="O35" i="28" s="1"/>
  <c r="P35" i="28" s="1"/>
  <c r="Q35" i="28" s="1"/>
  <c r="R35" i="28" s="1"/>
  <c r="S35" i="28" s="1"/>
  <c r="T35" i="28" s="1"/>
  <c r="U35" i="28" s="1"/>
  <c r="V35" i="28" s="1"/>
  <c r="W35" i="28" s="1"/>
  <c r="Z13" i="28"/>
  <c r="Y16" i="28"/>
  <c r="H11" i="5"/>
  <c r="H33" i="31"/>
  <c r="AF75" i="1"/>
  <c r="AF76" i="1" s="1"/>
  <c r="AF82" i="1" s="1"/>
  <c r="AF111" i="1"/>
  <c r="AF112" i="1" s="1"/>
  <c r="AF143" i="1"/>
  <c r="AF144" i="1" s="1"/>
  <c r="AF33" i="1"/>
  <c r="K82" i="5"/>
  <c r="MO18" i="33"/>
  <c r="H18" i="33"/>
  <c r="P18" i="33"/>
  <c r="X18" i="33"/>
  <c r="AF18" i="33"/>
  <c r="AN18" i="33"/>
  <c r="AV18" i="33"/>
  <c r="BD18" i="33"/>
  <c r="BL18" i="33"/>
  <c r="BT18" i="33"/>
  <c r="CB18" i="33"/>
  <c r="CJ18" i="33"/>
  <c r="CR18" i="33"/>
  <c r="CZ18" i="33"/>
  <c r="DH18" i="33"/>
  <c r="DP18" i="33"/>
  <c r="DX18" i="33"/>
  <c r="EF18" i="33"/>
  <c r="EN18" i="33"/>
  <c r="EV18" i="33"/>
  <c r="FD18" i="33"/>
  <c r="FL18" i="33"/>
  <c r="FT18" i="33"/>
  <c r="GB18" i="33"/>
  <c r="GJ18" i="33"/>
  <c r="GR18" i="33"/>
  <c r="GZ18" i="33"/>
  <c r="HH18" i="33"/>
  <c r="HP18" i="33"/>
  <c r="HX18" i="33"/>
  <c r="IF18" i="33"/>
  <c r="IN18" i="33"/>
  <c r="IV18" i="33"/>
  <c r="JD18" i="33"/>
  <c r="JL18" i="33"/>
  <c r="JT18" i="33"/>
  <c r="KB18" i="33"/>
  <c r="KJ18" i="33"/>
  <c r="KR18" i="33"/>
  <c r="KZ18" i="33"/>
  <c r="LH18" i="33"/>
  <c r="LP18" i="33"/>
  <c r="LX18" i="33"/>
  <c r="MF18" i="33"/>
  <c r="MN18" i="33"/>
  <c r="MV18" i="33"/>
  <c r="ND18" i="33"/>
  <c r="MD18" i="33"/>
  <c r="J18" i="33"/>
  <c r="R18" i="33"/>
  <c r="Z18" i="33"/>
  <c r="AH18" i="33"/>
  <c r="AP18" i="33"/>
  <c r="AX18" i="33"/>
  <c r="BF18" i="33"/>
  <c r="BN18" i="33"/>
  <c r="CD18" i="33"/>
  <c r="CL18" i="33"/>
  <c r="CT18" i="33"/>
  <c r="DJ18" i="33"/>
  <c r="DR18" i="33"/>
  <c r="DZ18" i="33"/>
  <c r="EP18" i="33"/>
  <c r="EX18" i="33"/>
  <c r="FF18" i="33"/>
  <c r="FV18" i="33"/>
  <c r="GD18" i="33"/>
  <c r="GL18" i="33"/>
  <c r="HB18" i="33"/>
  <c r="HJ18" i="33"/>
  <c r="HR18" i="33"/>
  <c r="IH18" i="33"/>
  <c r="IP18" i="33"/>
  <c r="IX18" i="33"/>
  <c r="JN18" i="33"/>
  <c r="JV18" i="33"/>
  <c r="KD18" i="33"/>
  <c r="KT18" i="33"/>
  <c r="LB18" i="33"/>
  <c r="LJ18" i="33"/>
  <c r="LZ18" i="33"/>
  <c r="MH18" i="33"/>
  <c r="NF18" i="33"/>
  <c r="LM18" i="33"/>
  <c r="BH18" i="33"/>
  <c r="DT18" i="33"/>
  <c r="GF18" i="33"/>
  <c r="IR18" i="33"/>
  <c r="LD18" i="33"/>
  <c r="MJ18" i="33"/>
  <c r="GO18" i="33"/>
  <c r="HU18" i="33"/>
  <c r="JA18" i="33"/>
  <c r="KG18" i="33"/>
  <c r="MS18" i="33"/>
  <c r="F18" i="33"/>
  <c r="V18" i="33"/>
  <c r="AL18" i="33"/>
  <c r="BB18" i="33"/>
  <c r="BR18" i="33"/>
  <c r="CP18" i="33"/>
  <c r="DF18" i="33"/>
  <c r="DV18" i="33"/>
  <c r="EL18" i="33"/>
  <c r="FJ18" i="33"/>
  <c r="FZ18" i="33"/>
  <c r="GH18" i="33"/>
  <c r="GP18" i="33"/>
  <c r="GX18" i="33"/>
  <c r="HN18" i="33"/>
  <c r="HV18" i="33"/>
  <c r="ID18" i="33"/>
  <c r="IL18" i="33"/>
  <c r="IT18" i="33"/>
  <c r="JB18" i="33"/>
  <c r="JJ18" i="33"/>
  <c r="JZ18" i="33"/>
  <c r="KH18" i="33"/>
  <c r="KP18" i="33"/>
  <c r="KX18" i="33"/>
  <c r="LF18" i="33"/>
  <c r="LN18" i="33"/>
  <c r="LV18" i="33"/>
  <c r="ML18" i="33"/>
  <c r="MT18" i="33"/>
  <c r="NB18" i="33"/>
  <c r="BQ18" i="33"/>
  <c r="CW18" i="33"/>
  <c r="EC18" i="33"/>
  <c r="FI18" i="33"/>
  <c r="N18" i="33"/>
  <c r="AD18" i="33"/>
  <c r="AT18" i="33"/>
  <c r="BJ18" i="33"/>
  <c r="BZ18" i="33"/>
  <c r="CX18" i="33"/>
  <c r="DN18" i="33"/>
  <c r="ED18" i="33"/>
  <c r="FB18" i="33"/>
  <c r="FR18" i="33"/>
  <c r="CS18" i="33"/>
  <c r="FE18" i="33"/>
  <c r="HQ18" i="33"/>
  <c r="KC18" i="33"/>
  <c r="DB18" i="33"/>
  <c r="EH18" i="33"/>
  <c r="FN18" i="33"/>
  <c r="GT18" i="33"/>
  <c r="HZ18" i="33"/>
  <c r="JF18" i="33"/>
  <c r="KL18" i="33"/>
  <c r="LR18" i="33"/>
  <c r="MP18" i="33"/>
  <c r="MX18" i="33"/>
  <c r="BV18" i="33"/>
  <c r="E82" i="5"/>
  <c r="J65" i="5"/>
  <c r="J82" i="5" s="1"/>
  <c r="K93" i="5"/>
  <c r="D93" i="5"/>
  <c r="D82" i="5"/>
  <c r="F82" i="5"/>
  <c r="G82" i="5"/>
  <c r="E93" i="5"/>
  <c r="F93" i="5"/>
  <c r="G93" i="5"/>
  <c r="D80" i="5"/>
  <c r="D84" i="5"/>
  <c r="D101" i="5"/>
  <c r="D87" i="5"/>
  <c r="X82" i="5"/>
  <c r="H69" i="5"/>
  <c r="I65" i="5"/>
  <c r="I93" i="5" s="1"/>
  <c r="D66" i="5"/>
  <c r="AA18" i="33"/>
  <c r="BO18" i="33"/>
  <c r="CU18" i="33"/>
  <c r="EI18" i="33"/>
  <c r="FW18" i="33"/>
  <c r="HC18" i="33"/>
  <c r="II18" i="33"/>
  <c r="IY18" i="33"/>
  <c r="KE18" i="33"/>
  <c r="MQ18" i="33"/>
  <c r="HK18" i="33"/>
  <c r="I18" i="33"/>
  <c r="Q18" i="33"/>
  <c r="Y18" i="33"/>
  <c r="AG18" i="33"/>
  <c r="AO18" i="33"/>
  <c r="AW18" i="33"/>
  <c r="BE18" i="33"/>
  <c r="BM18" i="33"/>
  <c r="CC18" i="33"/>
  <c r="CK18" i="33"/>
  <c r="DI18" i="33"/>
  <c r="DQ18" i="33"/>
  <c r="DY18" i="33"/>
  <c r="EO18" i="33"/>
  <c r="EW18" i="33"/>
  <c r="FU18" i="33"/>
  <c r="GC18" i="33"/>
  <c r="GK18" i="33"/>
  <c r="HA18" i="33"/>
  <c r="HI18" i="33"/>
  <c r="IG18" i="33"/>
  <c r="IO18" i="33"/>
  <c r="IW18" i="33"/>
  <c r="JM18" i="33"/>
  <c r="JU18" i="33"/>
  <c r="KS18" i="33"/>
  <c r="LA18" i="33"/>
  <c r="LI18" i="33"/>
  <c r="LY18" i="33"/>
  <c r="MG18" i="33"/>
  <c r="NE18" i="33"/>
  <c r="S18" i="33"/>
  <c r="BW18" i="33"/>
  <c r="DK18" i="33"/>
  <c r="EY18" i="33"/>
  <c r="GM18" i="33"/>
  <c r="HS18" i="33"/>
  <c r="JG18" i="33"/>
  <c r="KM18" i="33"/>
  <c r="LK18" i="33"/>
  <c r="MA18" i="33"/>
  <c r="NG18" i="33"/>
  <c r="L18" i="33"/>
  <c r="T18" i="33"/>
  <c r="AB18" i="33"/>
  <c r="AJ18" i="33"/>
  <c r="AR18" i="33"/>
  <c r="AZ18" i="33"/>
  <c r="BX18" i="33"/>
  <c r="CF18" i="33"/>
  <c r="CN18" i="33"/>
  <c r="DD18" i="33"/>
  <c r="DL18" i="33"/>
  <c r="EJ18" i="33"/>
  <c r="ER18" i="33"/>
  <c r="EZ18" i="33"/>
  <c r="FP18" i="33"/>
  <c r="FX18" i="33"/>
  <c r="GV18" i="33"/>
  <c r="HD18" i="33"/>
  <c r="HL18" i="33"/>
  <c r="IB18" i="33"/>
  <c r="IJ18" i="33"/>
  <c r="JH18" i="33"/>
  <c r="JP18" i="33"/>
  <c r="JX18" i="33"/>
  <c r="KN18" i="33"/>
  <c r="KV18" i="33"/>
  <c r="LT18" i="33"/>
  <c r="MB18" i="33"/>
  <c r="MZ18" i="33"/>
  <c r="AQ18" i="33"/>
  <c r="CM18" i="33"/>
  <c r="EA18" i="33"/>
  <c r="FO18" i="33"/>
  <c r="GU18" i="33"/>
  <c r="IA18" i="33"/>
  <c r="JO18" i="33"/>
  <c r="KU18" i="33"/>
  <c r="LS18" i="33"/>
  <c r="E18" i="33"/>
  <c r="M18" i="33"/>
  <c r="U18" i="33"/>
  <c r="AC18" i="33"/>
  <c r="AK18" i="33"/>
  <c r="AS18" i="33"/>
  <c r="BA18" i="33"/>
  <c r="BI18" i="33"/>
  <c r="CG18" i="33"/>
  <c r="CO18" i="33"/>
  <c r="DE18" i="33"/>
  <c r="DM18" i="33"/>
  <c r="DU18" i="33"/>
  <c r="ES18" i="33"/>
  <c r="FA18" i="33"/>
  <c r="FY18" i="33"/>
  <c r="GG18" i="33"/>
  <c r="HE18" i="33"/>
  <c r="HM18" i="33"/>
  <c r="IK18" i="33"/>
  <c r="IS18" i="33"/>
  <c r="JQ18" i="33"/>
  <c r="JY18" i="33"/>
  <c r="KW18" i="33"/>
  <c r="LE18" i="33"/>
  <c r="MC18" i="33"/>
  <c r="MK18" i="33"/>
  <c r="K18" i="33"/>
  <c r="AY18" i="33"/>
  <c r="DC18" i="33"/>
  <c r="FG18" i="33"/>
  <c r="JW18" i="33"/>
  <c r="AI18" i="33"/>
  <c r="CE18" i="33"/>
  <c r="EQ18" i="33"/>
  <c r="MY18" i="33"/>
  <c r="G18" i="33"/>
  <c r="O18" i="33"/>
  <c r="W18" i="33"/>
  <c r="AE18" i="33"/>
  <c r="AM18" i="33"/>
  <c r="AU18" i="33"/>
  <c r="MR18" i="33"/>
  <c r="LU18" i="33"/>
  <c r="BP18" i="33"/>
  <c r="EB18" i="33"/>
  <c r="GN18" i="33"/>
  <c r="ET18" i="33"/>
  <c r="JR18" i="33"/>
  <c r="BY18" i="33"/>
  <c r="EK18" i="33"/>
  <c r="GE18" i="33"/>
  <c r="IQ18" i="33"/>
  <c r="KK18" i="33"/>
  <c r="MW18" i="33"/>
  <c r="DA18" i="33"/>
  <c r="FM18" i="33"/>
  <c r="HY18" i="33"/>
  <c r="IZ18" i="33"/>
  <c r="LL18" i="33"/>
  <c r="CH18" i="33"/>
  <c r="HF18" i="33"/>
  <c r="JI18" i="33"/>
  <c r="LC18" i="33"/>
  <c r="CV18" i="33"/>
  <c r="FH18" i="33"/>
  <c r="BG18" i="33"/>
  <c r="DS18" i="33"/>
  <c r="GW18" i="33"/>
  <c r="BU18" i="33"/>
  <c r="EG18" i="33"/>
  <c r="FQ18" i="33"/>
  <c r="GS18" i="33"/>
  <c r="HT18" i="33"/>
  <c r="IC18" i="33"/>
  <c r="JE18" i="33"/>
  <c r="KF18" i="33"/>
  <c r="KO18" i="33"/>
  <c r="LQ18" i="33"/>
  <c r="MI18" i="33"/>
  <c r="NA18" i="33"/>
  <c r="BC18" i="33"/>
  <c r="BK18" i="33"/>
  <c r="BS18" i="33"/>
  <c r="CA18" i="33"/>
  <c r="CI18" i="33"/>
  <c r="CQ18" i="33"/>
  <c r="CY18" i="33"/>
  <c r="DG18" i="33"/>
  <c r="DO18" i="33"/>
  <c r="DW18" i="33"/>
  <c r="EE18" i="33"/>
  <c r="EM18" i="33"/>
  <c r="EU18" i="33"/>
  <c r="FC18" i="33"/>
  <c r="FK18" i="33"/>
  <c r="FS18" i="33"/>
  <c r="GA18" i="33"/>
  <c r="GI18" i="33"/>
  <c r="GQ18" i="33"/>
  <c r="GY18" i="33"/>
  <c r="HG18" i="33"/>
  <c r="HO18" i="33"/>
  <c r="HW18" i="33"/>
  <c r="IE18" i="33"/>
  <c r="IM18" i="33"/>
  <c r="IU18" i="33"/>
  <c r="JC18" i="33"/>
  <c r="JK18" i="33"/>
  <c r="JS18" i="33"/>
  <c r="KA18" i="33"/>
  <c r="KI18" i="33"/>
  <c r="KQ18" i="33"/>
  <c r="KY18" i="33"/>
  <c r="LG18" i="33"/>
  <c r="LO18" i="33"/>
  <c r="LW18" i="33"/>
  <c r="ME18" i="33"/>
  <c r="MM18" i="33"/>
  <c r="MU18" i="33"/>
  <c r="NC18" i="33"/>
  <c r="Z18" i="28" l="1"/>
  <c r="Z14" i="28"/>
  <c r="X73" i="28"/>
  <c r="CZ45" i="28"/>
  <c r="CY48" i="28"/>
  <c r="DA37" i="28"/>
  <c r="CZ40" i="28"/>
  <c r="CZ41" i="28" s="1"/>
  <c r="DA53" i="28"/>
  <c r="CZ56" i="28"/>
  <c r="CZ57" i="28" s="1"/>
  <c r="DB62" i="28"/>
  <c r="DA65" i="28"/>
  <c r="DA66" i="28" s="1"/>
  <c r="DA64" i="28"/>
  <c r="DA68" i="28"/>
  <c r="W47" i="28"/>
  <c r="X47" i="28" s="1"/>
  <c r="AG24" i="28"/>
  <c r="W49" i="28"/>
  <c r="X49" i="28" s="1"/>
  <c r="BP53" i="28"/>
  <c r="BO56" i="28"/>
  <c r="W51" i="28"/>
  <c r="X51" i="28" s="1"/>
  <c r="AK40" i="28"/>
  <c r="Z29" i="28"/>
  <c r="Y32" i="28"/>
  <c r="X31" i="28"/>
  <c r="X35" i="28"/>
  <c r="X33" i="28"/>
  <c r="AA13" i="28"/>
  <c r="Z16" i="28"/>
  <c r="AG173" i="1"/>
  <c r="AG174" i="1" s="1"/>
  <c r="I11" i="5"/>
  <c r="G24" i="31"/>
  <c r="AF79" i="1"/>
  <c r="AF89" i="1" s="1"/>
  <c r="AF166" i="1" s="1"/>
  <c r="AG167" i="1"/>
  <c r="J93" i="5"/>
  <c r="I82" i="5"/>
  <c r="H93" i="5"/>
  <c r="H82" i="5"/>
  <c r="AA14" i="28" l="1"/>
  <c r="AA18" i="28"/>
  <c r="DA45" i="28"/>
  <c r="CZ48" i="28"/>
  <c r="Y73" i="28"/>
  <c r="DB53" i="28"/>
  <c r="DA56" i="28"/>
  <c r="DA57" i="28" s="1"/>
  <c r="DB68" i="28"/>
  <c r="DC62" i="28"/>
  <c r="DB65" i="28"/>
  <c r="DB66" i="28" s="1"/>
  <c r="DB64" i="28"/>
  <c r="DB37" i="28"/>
  <c r="DA40" i="28"/>
  <c r="DA41" i="28" s="1"/>
  <c r="AI21" i="28"/>
  <c r="AH24" i="28"/>
  <c r="BQ53" i="28"/>
  <c r="BP56" i="28"/>
  <c r="Y47" i="28"/>
  <c r="Y48" i="28"/>
  <c r="Y49" i="28" s="1"/>
  <c r="Y51" i="28"/>
  <c r="AL40" i="28"/>
  <c r="AA29" i="28"/>
  <c r="Z32" i="28"/>
  <c r="Y33" i="28"/>
  <c r="Y31" i="28"/>
  <c r="Y35" i="28"/>
  <c r="AB13" i="28"/>
  <c r="AA16" i="28"/>
  <c r="J11" i="5"/>
  <c r="H12" i="31"/>
  <c r="CV1" i="28"/>
  <c r="CV2" i="28" s="1"/>
  <c r="CU1" i="28"/>
  <c r="CU2" i="28" s="1"/>
  <c r="CT1" i="28"/>
  <c r="CT2" i="28" s="1"/>
  <c r="CS1" i="28"/>
  <c r="CS2" i="28" s="1"/>
  <c r="CR1" i="28"/>
  <c r="CR2" i="28" s="1"/>
  <c r="CQ1" i="28"/>
  <c r="CQ2" i="28" s="1"/>
  <c r="CP1" i="28"/>
  <c r="CP2" i="28" s="1"/>
  <c r="CO1" i="28"/>
  <c r="CO2" i="28" s="1"/>
  <c r="CN1" i="28"/>
  <c r="CN2" i="28" s="1"/>
  <c r="CM1" i="28"/>
  <c r="CM2" i="28" s="1"/>
  <c r="CL1" i="28"/>
  <c r="CL2" i="28" s="1"/>
  <c r="CK1" i="28"/>
  <c r="CK2" i="28" s="1"/>
  <c r="CJ1" i="28"/>
  <c r="CJ2" i="28" s="1"/>
  <c r="CI1" i="28"/>
  <c r="CI2" i="28" s="1"/>
  <c r="CH1" i="28"/>
  <c r="CH2" i="28" s="1"/>
  <c r="CG1" i="28"/>
  <c r="CG2" i="28" s="1"/>
  <c r="CF1" i="28"/>
  <c r="CF2" i="28" s="1"/>
  <c r="CE1" i="28"/>
  <c r="CE2" i="28" s="1"/>
  <c r="CD1" i="28"/>
  <c r="CD2" i="28" s="1"/>
  <c r="CC1" i="28"/>
  <c r="CC2" i="28" s="1"/>
  <c r="CB1" i="28"/>
  <c r="CB2" i="28" s="1"/>
  <c r="CA1" i="28"/>
  <c r="CA2" i="28" s="1"/>
  <c r="BZ1" i="28"/>
  <c r="BZ2" i="28" s="1"/>
  <c r="BY1" i="28"/>
  <c r="BY2" i="28" s="1"/>
  <c r="BX1" i="28"/>
  <c r="BX2" i="28" s="1"/>
  <c r="BW1" i="28"/>
  <c r="BW2" i="28" s="1"/>
  <c r="BV1" i="28"/>
  <c r="BV2" i="28" s="1"/>
  <c r="BU1" i="28"/>
  <c r="BU2" i="28" s="1"/>
  <c r="BT1" i="28"/>
  <c r="BT2" i="28" s="1"/>
  <c r="BS1" i="28"/>
  <c r="BS2" i="28" s="1"/>
  <c r="BR1" i="28"/>
  <c r="BR2" i="28" s="1"/>
  <c r="BQ1" i="28"/>
  <c r="BQ2" i="28" s="1"/>
  <c r="BP1" i="28"/>
  <c r="BP2" i="28" s="1"/>
  <c r="BO1" i="28"/>
  <c r="BO2" i="28" s="1"/>
  <c r="BN1" i="28"/>
  <c r="BN2" i="28" s="1"/>
  <c r="BM1" i="28"/>
  <c r="BM2" i="28" s="1"/>
  <c r="BL1" i="28"/>
  <c r="BL2" i="28" s="1"/>
  <c r="BK1" i="28"/>
  <c r="BK2" i="28" s="1"/>
  <c r="BJ1" i="28"/>
  <c r="BJ2" i="28" s="1"/>
  <c r="BI1" i="28"/>
  <c r="BI2" i="28" s="1"/>
  <c r="BH1" i="28"/>
  <c r="BH2" i="28" s="1"/>
  <c r="BG1" i="28"/>
  <c r="BG2" i="28" s="1"/>
  <c r="BF1" i="28"/>
  <c r="BF2" i="28" s="1"/>
  <c r="BE1" i="28"/>
  <c r="BE2" i="28" s="1"/>
  <c r="BD1" i="28"/>
  <c r="BD2" i="28" s="1"/>
  <c r="BC1" i="28"/>
  <c r="BC2" i="28" s="1"/>
  <c r="BB1" i="28"/>
  <c r="BB2" i="28" s="1"/>
  <c r="BA1" i="28"/>
  <c r="BA2" i="28" s="1"/>
  <c r="AZ1" i="28"/>
  <c r="AZ2" i="28" s="1"/>
  <c r="AY1" i="28"/>
  <c r="AY2" i="28" s="1"/>
  <c r="AX1" i="28"/>
  <c r="AX2" i="28" s="1"/>
  <c r="AW1" i="28"/>
  <c r="AW2" i="28" s="1"/>
  <c r="AV1" i="28"/>
  <c r="AV2" i="28" s="1"/>
  <c r="AU1" i="28"/>
  <c r="AU2" i="28" s="1"/>
  <c r="AT1" i="28"/>
  <c r="AT2" i="28" s="1"/>
  <c r="AS1" i="28"/>
  <c r="AS2" i="28" s="1"/>
  <c r="AR1" i="28"/>
  <c r="AR2" i="28" s="1"/>
  <c r="AQ1" i="28"/>
  <c r="AQ2" i="28" s="1"/>
  <c r="AP1" i="28"/>
  <c r="AP2" i="28" s="1"/>
  <c r="AO1" i="28"/>
  <c r="AO2" i="28" s="1"/>
  <c r="AN1" i="28"/>
  <c r="AN2" i="28" s="1"/>
  <c r="AM1" i="28"/>
  <c r="AM2" i="28" s="1"/>
  <c r="AL1" i="28"/>
  <c r="AL2" i="28" s="1"/>
  <c r="AK1" i="28"/>
  <c r="AK2" i="28" s="1"/>
  <c r="AJ1" i="28"/>
  <c r="AJ2" i="28" s="1"/>
  <c r="AI1" i="28"/>
  <c r="AI2" i="28" s="1"/>
  <c r="AH1" i="28"/>
  <c r="AH2" i="28" s="1"/>
  <c r="AG1" i="28"/>
  <c r="AG2" i="28" s="1"/>
  <c r="AF1" i="28"/>
  <c r="AF2" i="28" s="1"/>
  <c r="AE1" i="28"/>
  <c r="AE2" i="28" s="1"/>
  <c r="AD1" i="28"/>
  <c r="AD2" i="28" s="1"/>
  <c r="AC1" i="28"/>
  <c r="AC2" i="28" s="1"/>
  <c r="AB1" i="28"/>
  <c r="AB2" i="28" s="1"/>
  <c r="AA1" i="28"/>
  <c r="AA2" i="28" s="1"/>
  <c r="Z1" i="28"/>
  <c r="Z2" i="28" s="1"/>
  <c r="Y1" i="28"/>
  <c r="Y2" i="28" s="1"/>
  <c r="X1" i="28"/>
  <c r="X2" i="28" s="1"/>
  <c r="W1" i="28"/>
  <c r="W2" i="28" s="1"/>
  <c r="V1" i="28"/>
  <c r="V2" i="28" s="1"/>
  <c r="U1" i="28"/>
  <c r="U2" i="28" s="1"/>
  <c r="T1" i="28"/>
  <c r="T2" i="28" s="1"/>
  <c r="S1" i="28"/>
  <c r="S2" i="28" s="1"/>
  <c r="R1" i="28"/>
  <c r="R2" i="28" s="1"/>
  <c r="Q1" i="28"/>
  <c r="Q2" i="28" s="1"/>
  <c r="AR72" i="1"/>
  <c r="BD72" i="1" s="1"/>
  <c r="BP72" i="1" s="1"/>
  <c r="CB72" i="1" s="1"/>
  <c r="CN72" i="1" s="1"/>
  <c r="CZ72" i="1" s="1"/>
  <c r="AQ72" i="1"/>
  <c r="BC72" i="1" s="1"/>
  <c r="BO72" i="1" s="1"/>
  <c r="CA72" i="1" s="1"/>
  <c r="CM72" i="1" s="1"/>
  <c r="CY72" i="1" s="1"/>
  <c r="AP72" i="1"/>
  <c r="BB72" i="1" s="1"/>
  <c r="BN72" i="1" s="1"/>
  <c r="BZ72" i="1" s="1"/>
  <c r="CL72" i="1" s="1"/>
  <c r="CX72" i="1" s="1"/>
  <c r="AO72" i="1"/>
  <c r="BA72" i="1" s="1"/>
  <c r="BM72" i="1" s="1"/>
  <c r="BY72" i="1" s="1"/>
  <c r="CK72" i="1" s="1"/>
  <c r="CW72" i="1" s="1"/>
  <c r="AN72" i="1"/>
  <c r="AZ72" i="1" s="1"/>
  <c r="BL72" i="1" s="1"/>
  <c r="BX72" i="1" s="1"/>
  <c r="CJ72" i="1" s="1"/>
  <c r="CV72" i="1" s="1"/>
  <c r="AM72" i="1"/>
  <c r="AY72" i="1" s="1"/>
  <c r="BK72" i="1" s="1"/>
  <c r="BW72" i="1" s="1"/>
  <c r="CI72" i="1" s="1"/>
  <c r="CU72" i="1" s="1"/>
  <c r="DG72" i="1" s="1"/>
  <c r="AL72" i="1"/>
  <c r="AX72" i="1" s="1"/>
  <c r="BJ72" i="1" s="1"/>
  <c r="BV72" i="1" s="1"/>
  <c r="CH72" i="1" s="1"/>
  <c r="CT72" i="1" s="1"/>
  <c r="DF72" i="1" s="1"/>
  <c r="AW72" i="1"/>
  <c r="BI72" i="1" s="1"/>
  <c r="BU72" i="1" s="1"/>
  <c r="CG72" i="1" s="1"/>
  <c r="CS72" i="1" s="1"/>
  <c r="DE72" i="1" s="1"/>
  <c r="AV72" i="1"/>
  <c r="BH72" i="1" s="1"/>
  <c r="BT72" i="1" s="1"/>
  <c r="CF72" i="1" s="1"/>
  <c r="CR72" i="1" s="1"/>
  <c r="DD72" i="1" s="1"/>
  <c r="AU72" i="1"/>
  <c r="BG72" i="1" s="1"/>
  <c r="BS72" i="1" s="1"/>
  <c r="CE72" i="1" s="1"/>
  <c r="CQ72" i="1" s="1"/>
  <c r="DC72" i="1" s="1"/>
  <c r="AT72" i="1"/>
  <c r="BF72" i="1" s="1"/>
  <c r="BR72" i="1" s="1"/>
  <c r="CD72" i="1" s="1"/>
  <c r="CP72" i="1" s="1"/>
  <c r="DB72" i="1" s="1"/>
  <c r="AS72" i="1"/>
  <c r="BE72" i="1" s="1"/>
  <c r="BQ72" i="1" s="1"/>
  <c r="CC72" i="1" s="1"/>
  <c r="CO72" i="1" s="1"/>
  <c r="DA72" i="1" s="1"/>
  <c r="F12" i="31"/>
  <c r="E12" i="31"/>
  <c r="D12" i="31"/>
  <c r="C12" i="31"/>
  <c r="C13" i="31"/>
  <c r="D13" i="31"/>
  <c r="E13" i="31"/>
  <c r="F13" i="31"/>
  <c r="F18" i="31"/>
  <c r="E18" i="31"/>
  <c r="D18" i="31"/>
  <c r="F17" i="31"/>
  <c r="E17" i="31"/>
  <c r="D17" i="31"/>
  <c r="F16" i="31"/>
  <c r="E16" i="31"/>
  <c r="D16" i="31"/>
  <c r="C16" i="31"/>
  <c r="C17" i="31"/>
  <c r="C18" i="31"/>
  <c r="C18" i="32"/>
  <c r="D18" i="32"/>
  <c r="E18" i="32"/>
  <c r="F18" i="32"/>
  <c r="C19" i="32"/>
  <c r="D19" i="32"/>
  <c r="E19" i="32"/>
  <c r="F19" i="32"/>
  <c r="C20" i="32"/>
  <c r="D20" i="32"/>
  <c r="E20" i="32"/>
  <c r="F20" i="32"/>
  <c r="F17" i="32"/>
  <c r="E17" i="32"/>
  <c r="D17" i="32"/>
  <c r="C17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P10" i="1"/>
  <c r="J4" i="29"/>
  <c r="AF12" i="1" s="1"/>
  <c r="G15" i="32" s="1"/>
  <c r="I4" i="29"/>
  <c r="AE12" i="1" s="1"/>
  <c r="F15" i="32" s="1"/>
  <c r="H4" i="29"/>
  <c r="AD12" i="1" s="1"/>
  <c r="E15" i="32" s="1"/>
  <c r="G4" i="29"/>
  <c r="AC12" i="1" s="1"/>
  <c r="D15" i="32" s="1"/>
  <c r="F4" i="29"/>
  <c r="AB12" i="1" s="1"/>
  <c r="C15" i="32" s="1"/>
  <c r="O4" i="29"/>
  <c r="G40" i="29"/>
  <c r="H40" i="29" s="1"/>
  <c r="I40" i="29" s="1"/>
  <c r="S9" i="28"/>
  <c r="S71" i="28" s="1"/>
  <c r="N10" i="31"/>
  <c r="M10" i="31"/>
  <c r="L10" i="31"/>
  <c r="K10" i="31"/>
  <c r="J10" i="31"/>
  <c r="I10" i="31"/>
  <c r="H10" i="31"/>
  <c r="G10" i="31"/>
  <c r="F10" i="31"/>
  <c r="E10" i="31"/>
  <c r="D10" i="31"/>
  <c r="C10" i="31"/>
  <c r="AK12" i="1" l="1"/>
  <c r="P9" i="29"/>
  <c r="O9" i="29"/>
  <c r="AB14" i="28"/>
  <c r="AB18" i="28"/>
  <c r="AJ12" i="1"/>
  <c r="K15" i="32" s="1"/>
  <c r="L15" i="32"/>
  <c r="Y71" i="28"/>
  <c r="DA48" i="28"/>
  <c r="DB45" i="28"/>
  <c r="Z71" i="28"/>
  <c r="Z33" i="28"/>
  <c r="DC68" i="28"/>
  <c r="DC64" i="28"/>
  <c r="DD62" i="28"/>
  <c r="DC65" i="28"/>
  <c r="DC66" i="28" s="1"/>
  <c r="DC37" i="28"/>
  <c r="DB40" i="28"/>
  <c r="DB41" i="28" s="1"/>
  <c r="DC53" i="28"/>
  <c r="DB56" i="28"/>
  <c r="DB57" i="28" s="1"/>
  <c r="AJ21" i="28"/>
  <c r="AI24" i="28"/>
  <c r="BR53" i="28"/>
  <c r="BQ56" i="28"/>
  <c r="Z47" i="28"/>
  <c r="Z48" i="28"/>
  <c r="Z49" i="28" s="1"/>
  <c r="Z51" i="28"/>
  <c r="AM40" i="28"/>
  <c r="AB29" i="28"/>
  <c r="AA32" i="28"/>
  <c r="Z31" i="28"/>
  <c r="Z35" i="28"/>
  <c r="AC13" i="28"/>
  <c r="AB16" i="28"/>
  <c r="H19" i="32"/>
  <c r="K11" i="5"/>
  <c r="C21" i="31"/>
  <c r="F20" i="31"/>
  <c r="D21" i="31"/>
  <c r="E21" i="31"/>
  <c r="F21" i="31"/>
  <c r="C20" i="31"/>
  <c r="G17" i="31"/>
  <c r="D20" i="31"/>
  <c r="E20" i="31"/>
  <c r="E14" i="31"/>
  <c r="E19" i="31" s="1"/>
  <c r="D14" i="31"/>
  <c r="D19" i="31" s="1"/>
  <c r="G16" i="31"/>
  <c r="F14" i="31"/>
  <c r="F19" i="31" s="1"/>
  <c r="C14" i="31"/>
  <c r="C19" i="31" s="1"/>
  <c r="AK6" i="1" l="1"/>
  <c r="AC14" i="28"/>
  <c r="AC18" i="28"/>
  <c r="DC45" i="28"/>
  <c r="DB48" i="28"/>
  <c r="Z73" i="28"/>
  <c r="AA33" i="28"/>
  <c r="DD68" i="28"/>
  <c r="DE62" i="28"/>
  <c r="DD65" i="28"/>
  <c r="DD66" i="28" s="1"/>
  <c r="DD64" i="28"/>
  <c r="DD37" i="28"/>
  <c r="DC40" i="28"/>
  <c r="DC41" i="28" s="1"/>
  <c r="DD53" i="28"/>
  <c r="DC56" i="28"/>
  <c r="DC57" i="28" s="1"/>
  <c r="AK21" i="28"/>
  <c r="AJ24" i="28"/>
  <c r="BS53" i="28"/>
  <c r="BR56" i="28"/>
  <c r="AA47" i="28"/>
  <c r="AA48" i="28"/>
  <c r="AA49" i="28" s="1"/>
  <c r="AA51" i="28"/>
  <c r="AN40" i="28"/>
  <c r="AC29" i="28"/>
  <c r="AB32" i="28"/>
  <c r="AA31" i="28"/>
  <c r="AA35" i="28"/>
  <c r="AD13" i="28"/>
  <c r="AC16" i="28"/>
  <c r="G19" i="32"/>
  <c r="H17" i="31"/>
  <c r="AK23" i="1" l="1"/>
  <c r="AK24" i="1"/>
  <c r="AK22" i="1"/>
  <c r="AD14" i="28"/>
  <c r="AD18" i="28"/>
  <c r="AB72" i="28"/>
  <c r="AA73" i="28"/>
  <c r="AA71" i="28"/>
  <c r="DC48" i="28"/>
  <c r="DD45" i="28"/>
  <c r="AB33" i="28"/>
  <c r="DE53" i="28"/>
  <c r="DD56" i="28"/>
  <c r="DD57" i="28" s="1"/>
  <c r="DE68" i="28"/>
  <c r="DF62" i="28"/>
  <c r="DE64" i="28"/>
  <c r="DE65" i="28"/>
  <c r="DE66" i="28" s="1"/>
  <c r="DE37" i="28"/>
  <c r="DD40" i="28"/>
  <c r="DD41" i="28" s="1"/>
  <c r="AL21" i="28"/>
  <c r="AK24" i="28"/>
  <c r="BT53" i="28"/>
  <c r="BS56" i="28"/>
  <c r="AB48" i="28"/>
  <c r="AB49" i="28" s="1"/>
  <c r="AB51" i="28"/>
  <c r="AB47" i="28"/>
  <c r="AC48" i="28"/>
  <c r="AO40" i="28"/>
  <c r="AD29" i="28"/>
  <c r="AC32" i="28"/>
  <c r="AB31" i="28"/>
  <c r="AB35" i="28"/>
  <c r="AE13" i="28"/>
  <c r="AD16" i="28"/>
  <c r="I18" i="30"/>
  <c r="H18" i="30"/>
  <c r="G18" i="30"/>
  <c r="F18" i="30"/>
  <c r="I15" i="30"/>
  <c r="H15" i="30"/>
  <c r="G15" i="30"/>
  <c r="F15" i="30"/>
  <c r="G14" i="30"/>
  <c r="F14" i="30"/>
  <c r="G13" i="30"/>
  <c r="F13" i="30"/>
  <c r="G12" i="30"/>
  <c r="F12" i="30"/>
  <c r="G11" i="30"/>
  <c r="F11" i="30"/>
  <c r="I7" i="30"/>
  <c r="I14" i="30" s="1"/>
  <c r="H7" i="30"/>
  <c r="H14" i="30" s="1"/>
  <c r="I6" i="30"/>
  <c r="I13" i="30" s="1"/>
  <c r="H6" i="30"/>
  <c r="H13" i="30" s="1"/>
  <c r="I5" i="30"/>
  <c r="I12" i="30" s="1"/>
  <c r="H5" i="30"/>
  <c r="H12" i="30" s="1"/>
  <c r="I4" i="30"/>
  <c r="I11" i="30" s="1"/>
  <c r="H4" i="30"/>
  <c r="H11" i="30" s="1"/>
  <c r="J13" i="30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C19" i="29"/>
  <c r="C18" i="29"/>
  <c r="C17" i="29"/>
  <c r="C15" i="29"/>
  <c r="C16" i="29"/>
  <c r="C14" i="29"/>
  <c r="C13" i="29"/>
  <c r="E12" i="29"/>
  <c r="C12" i="29"/>
  <c r="C10" i="29"/>
  <c r="E11" i="29"/>
  <c r="C11" i="29"/>
  <c r="C9" i="29"/>
  <c r="AE14" i="28" l="1"/>
  <c r="AE18" i="28"/>
  <c r="CG28" i="29"/>
  <c r="BY28" i="29"/>
  <c r="BQ28" i="29"/>
  <c r="BI28" i="29"/>
  <c r="BA28" i="29"/>
  <c r="AS28" i="29"/>
  <c r="AK28" i="29"/>
  <c r="AC28" i="29"/>
  <c r="U28" i="29"/>
  <c r="CF28" i="29"/>
  <c r="BX28" i="29"/>
  <c r="BP28" i="29"/>
  <c r="BH28" i="29"/>
  <c r="AZ28" i="29"/>
  <c r="AR28" i="29"/>
  <c r="AJ28" i="29"/>
  <c r="AB28" i="29"/>
  <c r="T28" i="29"/>
  <c r="CE28" i="29"/>
  <c r="BW28" i="29"/>
  <c r="BO28" i="29"/>
  <c r="BG28" i="29"/>
  <c r="AY28" i="29"/>
  <c r="AQ28" i="29"/>
  <c r="AI28" i="29"/>
  <c r="AA28" i="29"/>
  <c r="S28" i="29"/>
  <c r="CD28" i="29"/>
  <c r="BV28" i="29"/>
  <c r="BN28" i="29"/>
  <c r="BF28" i="29"/>
  <c r="AX28" i="29"/>
  <c r="AP28" i="29"/>
  <c r="AH28" i="29"/>
  <c r="Z28" i="29"/>
  <c r="R28" i="29"/>
  <c r="CK28" i="29"/>
  <c r="CC28" i="29"/>
  <c r="BU28" i="29"/>
  <c r="BM28" i="29"/>
  <c r="BE28" i="29"/>
  <c r="AW28" i="29"/>
  <c r="AO28" i="29"/>
  <c r="AG28" i="29"/>
  <c r="Y28" i="29"/>
  <c r="Q28" i="29"/>
  <c r="CJ28" i="29"/>
  <c r="CB28" i="29"/>
  <c r="BT28" i="29"/>
  <c r="BL28" i="29"/>
  <c r="BD28" i="29"/>
  <c r="AV28" i="29"/>
  <c r="AN28" i="29"/>
  <c r="AF28" i="29"/>
  <c r="X28" i="29"/>
  <c r="P28" i="29"/>
  <c r="BK28" i="29"/>
  <c r="AE28" i="29"/>
  <c r="BJ28" i="29"/>
  <c r="AD28" i="29"/>
  <c r="CI28" i="29"/>
  <c r="BC28" i="29"/>
  <c r="W28" i="29"/>
  <c r="CH28" i="29"/>
  <c r="BB28" i="29"/>
  <c r="V28" i="29"/>
  <c r="CA28" i="29"/>
  <c r="AU28" i="29"/>
  <c r="O28" i="29"/>
  <c r="BZ28" i="29"/>
  <c r="AT28" i="29"/>
  <c r="BS28" i="29"/>
  <c r="AM28" i="29"/>
  <c r="AL28" i="29"/>
  <c r="BR28" i="29"/>
  <c r="CG21" i="29"/>
  <c r="BY21" i="29"/>
  <c r="BQ21" i="29"/>
  <c r="BI21" i="29"/>
  <c r="BA21" i="29"/>
  <c r="AS21" i="29"/>
  <c r="AK21" i="29"/>
  <c r="AC21" i="29"/>
  <c r="U21" i="29"/>
  <c r="CF21" i="29"/>
  <c r="BX21" i="29"/>
  <c r="BP21" i="29"/>
  <c r="BH21" i="29"/>
  <c r="AZ21" i="29"/>
  <c r="AR21" i="29"/>
  <c r="AJ21" i="29"/>
  <c r="AB21" i="29"/>
  <c r="T21" i="29"/>
  <c r="CE21" i="29"/>
  <c r="BW21" i="29"/>
  <c r="BO21" i="29"/>
  <c r="BG21" i="29"/>
  <c r="AY21" i="29"/>
  <c r="AQ21" i="29"/>
  <c r="AI21" i="29"/>
  <c r="AA21" i="29"/>
  <c r="S21" i="29"/>
  <c r="CD21" i="29"/>
  <c r="BV21" i="29"/>
  <c r="BN21" i="29"/>
  <c r="BF21" i="29"/>
  <c r="AX21" i="29"/>
  <c r="AP21" i="29"/>
  <c r="AH21" i="29"/>
  <c r="Z21" i="29"/>
  <c r="R21" i="29"/>
  <c r="CK21" i="29"/>
  <c r="CC21" i="29"/>
  <c r="BU21" i="29"/>
  <c r="BM21" i="29"/>
  <c r="BE21" i="29"/>
  <c r="AW21" i="29"/>
  <c r="AO21" i="29"/>
  <c r="AG21" i="29"/>
  <c r="Y21" i="29"/>
  <c r="Q21" i="29"/>
  <c r="CJ21" i="29"/>
  <c r="CB21" i="29"/>
  <c r="BT21" i="29"/>
  <c r="BL21" i="29"/>
  <c r="BD21" i="29"/>
  <c r="AV21" i="29"/>
  <c r="AN21" i="29"/>
  <c r="AF21" i="29"/>
  <c r="X21" i="29"/>
  <c r="P21" i="29"/>
  <c r="CI21" i="29"/>
  <c r="CA21" i="29"/>
  <c r="BS21" i="29"/>
  <c r="BK21" i="29"/>
  <c r="BC21" i="29"/>
  <c r="AU21" i="29"/>
  <c r="AM21" i="29"/>
  <c r="AE21" i="29"/>
  <c r="W21" i="29"/>
  <c r="O21" i="29"/>
  <c r="CH21" i="29"/>
  <c r="V21" i="29"/>
  <c r="BZ21" i="29"/>
  <c r="BR21" i="29"/>
  <c r="AD21" i="29"/>
  <c r="BJ21" i="29"/>
  <c r="BB21" i="29"/>
  <c r="AT21" i="29"/>
  <c r="AL21" i="29"/>
  <c r="CK25" i="29"/>
  <c r="CC25" i="29"/>
  <c r="BU25" i="29"/>
  <c r="BM25" i="29"/>
  <c r="BE25" i="29"/>
  <c r="AW25" i="29"/>
  <c r="AO25" i="29"/>
  <c r="AG25" i="29"/>
  <c r="Y25" i="29"/>
  <c r="Q25" i="29"/>
  <c r="CJ25" i="29"/>
  <c r="CB25" i="29"/>
  <c r="BT25" i="29"/>
  <c r="BL25" i="29"/>
  <c r="BD25" i="29"/>
  <c r="AV25" i="29"/>
  <c r="AN25" i="29"/>
  <c r="AF25" i="29"/>
  <c r="X25" i="29"/>
  <c r="P25" i="29"/>
  <c r="CI25" i="29"/>
  <c r="CA25" i="29"/>
  <c r="BS25" i="29"/>
  <c r="BK25" i="29"/>
  <c r="BC25" i="29"/>
  <c r="AU25" i="29"/>
  <c r="AM25" i="29"/>
  <c r="AE25" i="29"/>
  <c r="W25" i="29"/>
  <c r="O25" i="29"/>
  <c r="CH25" i="29"/>
  <c r="BZ25" i="29"/>
  <c r="BR25" i="29"/>
  <c r="BJ25" i="29"/>
  <c r="BB25" i="29"/>
  <c r="AT25" i="29"/>
  <c r="AL25" i="29"/>
  <c r="AD25" i="29"/>
  <c r="V25" i="29"/>
  <c r="CG25" i="29"/>
  <c r="BY25" i="29"/>
  <c r="BQ25" i="29"/>
  <c r="BI25" i="29"/>
  <c r="BA25" i="29"/>
  <c r="AS25" i="29"/>
  <c r="AK25" i="29"/>
  <c r="AC25" i="29"/>
  <c r="U25" i="29"/>
  <c r="CF25" i="29"/>
  <c r="BX25" i="29"/>
  <c r="BP25" i="29"/>
  <c r="BH25" i="29"/>
  <c r="AZ25" i="29"/>
  <c r="AR25" i="29"/>
  <c r="AJ25" i="29"/>
  <c r="AB25" i="29"/>
  <c r="T25" i="29"/>
  <c r="CE25" i="29"/>
  <c r="BW25" i="29"/>
  <c r="BO25" i="29"/>
  <c r="BG25" i="29"/>
  <c r="AY25" i="29"/>
  <c r="AQ25" i="29"/>
  <c r="AI25" i="29"/>
  <c r="AA25" i="29"/>
  <c r="S25" i="29"/>
  <c r="Z25" i="29"/>
  <c r="CD25" i="29"/>
  <c r="R25" i="29"/>
  <c r="BV25" i="29"/>
  <c r="BN25" i="29"/>
  <c r="BF25" i="29"/>
  <c r="AH25" i="29"/>
  <c r="AX25" i="29"/>
  <c r="AP25" i="29"/>
  <c r="CD33" i="29"/>
  <c r="BV33" i="29"/>
  <c r="BN33" i="29"/>
  <c r="BF33" i="29"/>
  <c r="AX33" i="29"/>
  <c r="AP33" i="29"/>
  <c r="AH33" i="29"/>
  <c r="Z33" i="29"/>
  <c r="R33" i="29"/>
  <c r="CK33" i="29"/>
  <c r="CC33" i="29"/>
  <c r="BU33" i="29"/>
  <c r="BM33" i="29"/>
  <c r="BE33" i="29"/>
  <c r="AW33" i="29"/>
  <c r="AO33" i="29"/>
  <c r="AG33" i="29"/>
  <c r="Y33" i="29"/>
  <c r="Q33" i="29"/>
  <c r="CJ33" i="29"/>
  <c r="CB33" i="29"/>
  <c r="BT33" i="29"/>
  <c r="BL33" i="29"/>
  <c r="BD33" i="29"/>
  <c r="AV33" i="29"/>
  <c r="AN33" i="29"/>
  <c r="AF33" i="29"/>
  <c r="X33" i="29"/>
  <c r="P33" i="29"/>
  <c r="CI33" i="29"/>
  <c r="CA33" i="29"/>
  <c r="BS33" i="29"/>
  <c r="BK33" i="29"/>
  <c r="BC33" i="29"/>
  <c r="AU33" i="29"/>
  <c r="AM33" i="29"/>
  <c r="AE33" i="29"/>
  <c r="W33" i="29"/>
  <c r="O33" i="29"/>
  <c r="CH33" i="29"/>
  <c r="BZ33" i="29"/>
  <c r="BR33" i="29"/>
  <c r="BJ33" i="29"/>
  <c r="BB33" i="29"/>
  <c r="AT33" i="29"/>
  <c r="AL33" i="29"/>
  <c r="AD33" i="29"/>
  <c r="V33" i="29"/>
  <c r="CG33" i="29"/>
  <c r="BY33" i="29"/>
  <c r="BQ33" i="29"/>
  <c r="BI33" i="29"/>
  <c r="BA33" i="29"/>
  <c r="AS33" i="29"/>
  <c r="AK33" i="29"/>
  <c r="AC33" i="29"/>
  <c r="U33" i="29"/>
  <c r="CF33" i="29"/>
  <c r="BX33" i="29"/>
  <c r="BP33" i="29"/>
  <c r="BH33" i="29"/>
  <c r="AZ33" i="29"/>
  <c r="AR33" i="29"/>
  <c r="AJ33" i="29"/>
  <c r="AB33" i="29"/>
  <c r="T33" i="29"/>
  <c r="BW33" i="29"/>
  <c r="BO33" i="29"/>
  <c r="BG33" i="29"/>
  <c r="AY33" i="29"/>
  <c r="AQ33" i="29"/>
  <c r="AI33" i="29"/>
  <c r="AA33" i="29"/>
  <c r="CE33" i="29"/>
  <c r="S33" i="29"/>
  <c r="CJ15" i="29"/>
  <c r="CB15" i="29"/>
  <c r="BT15" i="29"/>
  <c r="BL15" i="29"/>
  <c r="BD15" i="29"/>
  <c r="AV15" i="29"/>
  <c r="AN15" i="29"/>
  <c r="AF15" i="29"/>
  <c r="X15" i="29"/>
  <c r="P15" i="29"/>
  <c r="CI15" i="29"/>
  <c r="CA15" i="29"/>
  <c r="BS15" i="29"/>
  <c r="BK15" i="29"/>
  <c r="BC15" i="29"/>
  <c r="AU15" i="29"/>
  <c r="AM15" i="29"/>
  <c r="AE15" i="29"/>
  <c r="W15" i="29"/>
  <c r="CH15" i="29"/>
  <c r="BZ15" i="29"/>
  <c r="BR15" i="29"/>
  <c r="BJ15" i="29"/>
  <c r="BB15" i="29"/>
  <c r="AT15" i="29"/>
  <c r="AL15" i="29"/>
  <c r="AD15" i="29"/>
  <c r="V15" i="29"/>
  <c r="CG15" i="29"/>
  <c r="BY15" i="29"/>
  <c r="BQ15" i="29"/>
  <c r="BI15" i="29"/>
  <c r="BA15" i="29"/>
  <c r="AS15" i="29"/>
  <c r="AK15" i="29"/>
  <c r="AC15" i="29"/>
  <c r="U15" i="29"/>
  <c r="CF15" i="29"/>
  <c r="BX15" i="29"/>
  <c r="BP15" i="29"/>
  <c r="BH15" i="29"/>
  <c r="AZ15" i="29"/>
  <c r="AR15" i="29"/>
  <c r="AJ15" i="29"/>
  <c r="AB15" i="29"/>
  <c r="T15" i="29"/>
  <c r="CE15" i="29"/>
  <c r="BW15" i="29"/>
  <c r="BO15" i="29"/>
  <c r="BG15" i="29"/>
  <c r="AY15" i="29"/>
  <c r="AQ15" i="29"/>
  <c r="AI15" i="29"/>
  <c r="AA15" i="29"/>
  <c r="S15" i="29"/>
  <c r="BN15" i="29"/>
  <c r="AH15" i="29"/>
  <c r="BM15" i="29"/>
  <c r="AG15" i="29"/>
  <c r="AO15" i="29"/>
  <c r="BF15" i="29"/>
  <c r="Z15" i="29"/>
  <c r="CK15" i="29"/>
  <c r="BE15" i="29"/>
  <c r="Y15" i="29"/>
  <c r="CD15" i="29"/>
  <c r="AX15" i="29"/>
  <c r="R15" i="29"/>
  <c r="CC15" i="29"/>
  <c r="AW15" i="29"/>
  <c r="Q15" i="29"/>
  <c r="BV15" i="29"/>
  <c r="AP15" i="29"/>
  <c r="BU15" i="29"/>
  <c r="CH29" i="29"/>
  <c r="BZ29" i="29"/>
  <c r="BR29" i="29"/>
  <c r="BJ29" i="29"/>
  <c r="BB29" i="29"/>
  <c r="AT29" i="29"/>
  <c r="AL29" i="29"/>
  <c r="AD29" i="29"/>
  <c r="V29" i="29"/>
  <c r="CG29" i="29"/>
  <c r="BY29" i="29"/>
  <c r="BQ29" i="29"/>
  <c r="BI29" i="29"/>
  <c r="BA29" i="29"/>
  <c r="AS29" i="29"/>
  <c r="AK29" i="29"/>
  <c r="AC29" i="29"/>
  <c r="U29" i="29"/>
  <c r="CF29" i="29"/>
  <c r="BX29" i="29"/>
  <c r="BP29" i="29"/>
  <c r="BH29" i="29"/>
  <c r="AZ29" i="29"/>
  <c r="AR29" i="29"/>
  <c r="AJ29" i="29"/>
  <c r="AB29" i="29"/>
  <c r="T29" i="29"/>
  <c r="CE29" i="29"/>
  <c r="BW29" i="29"/>
  <c r="BO29" i="29"/>
  <c r="BG29" i="29"/>
  <c r="AY29" i="29"/>
  <c r="AQ29" i="29"/>
  <c r="AI29" i="29"/>
  <c r="AA29" i="29"/>
  <c r="S29" i="29"/>
  <c r="CD29" i="29"/>
  <c r="BV29" i="29"/>
  <c r="BN29" i="29"/>
  <c r="BF29" i="29"/>
  <c r="AX29" i="29"/>
  <c r="AP29" i="29"/>
  <c r="AH29" i="29"/>
  <c r="Z29" i="29"/>
  <c r="R29" i="29"/>
  <c r="CK29" i="29"/>
  <c r="CC29" i="29"/>
  <c r="BU29" i="29"/>
  <c r="BM29" i="29"/>
  <c r="BE29" i="29"/>
  <c r="AW29" i="29"/>
  <c r="AO29" i="29"/>
  <c r="AG29" i="29"/>
  <c r="Y29" i="29"/>
  <c r="Q29" i="29"/>
  <c r="CB29" i="29"/>
  <c r="AV29" i="29"/>
  <c r="P29" i="29"/>
  <c r="CA29" i="29"/>
  <c r="AU29" i="29"/>
  <c r="O29" i="29"/>
  <c r="BT29" i="29"/>
  <c r="AN29" i="29"/>
  <c r="BS29" i="29"/>
  <c r="AM29" i="29"/>
  <c r="BL29" i="29"/>
  <c r="AF29" i="29"/>
  <c r="BK29" i="29"/>
  <c r="AE29" i="29"/>
  <c r="CJ29" i="29"/>
  <c r="BD29" i="29"/>
  <c r="X29" i="29"/>
  <c r="CI29" i="29"/>
  <c r="BC29" i="29"/>
  <c r="W29" i="29"/>
  <c r="CF20" i="29"/>
  <c r="BX20" i="29"/>
  <c r="BP20" i="29"/>
  <c r="BH20" i="29"/>
  <c r="AZ20" i="29"/>
  <c r="AR20" i="29"/>
  <c r="AJ20" i="29"/>
  <c r="AB20" i="29"/>
  <c r="T20" i="29"/>
  <c r="CE20" i="29"/>
  <c r="BW20" i="29"/>
  <c r="BO20" i="29"/>
  <c r="BG20" i="29"/>
  <c r="AY20" i="29"/>
  <c r="AQ20" i="29"/>
  <c r="AI20" i="29"/>
  <c r="AA20" i="29"/>
  <c r="S20" i="29"/>
  <c r="CD20" i="29"/>
  <c r="BV20" i="29"/>
  <c r="BN20" i="29"/>
  <c r="BF20" i="29"/>
  <c r="AX20" i="29"/>
  <c r="AP20" i="29"/>
  <c r="AH20" i="29"/>
  <c r="Z20" i="29"/>
  <c r="R20" i="29"/>
  <c r="CK20" i="29"/>
  <c r="CC20" i="29"/>
  <c r="BU20" i="29"/>
  <c r="BM20" i="29"/>
  <c r="BE20" i="29"/>
  <c r="AW20" i="29"/>
  <c r="AO20" i="29"/>
  <c r="AG20" i="29"/>
  <c r="Y20" i="29"/>
  <c r="Q20" i="29"/>
  <c r="CJ20" i="29"/>
  <c r="CB20" i="29"/>
  <c r="BT20" i="29"/>
  <c r="BL20" i="29"/>
  <c r="BD20" i="29"/>
  <c r="AV20" i="29"/>
  <c r="AN20" i="29"/>
  <c r="AF20" i="29"/>
  <c r="X20" i="29"/>
  <c r="P20" i="29"/>
  <c r="CI20" i="29"/>
  <c r="CA20" i="29"/>
  <c r="BS20" i="29"/>
  <c r="BK20" i="29"/>
  <c r="BC20" i="29"/>
  <c r="AU20" i="29"/>
  <c r="AM20" i="29"/>
  <c r="AE20" i="29"/>
  <c r="W20" i="29"/>
  <c r="O20" i="29"/>
  <c r="CH20" i="29"/>
  <c r="BZ20" i="29"/>
  <c r="BR20" i="29"/>
  <c r="BJ20" i="29"/>
  <c r="BB20" i="29"/>
  <c r="AT20" i="29"/>
  <c r="AL20" i="29"/>
  <c r="AK20" i="29"/>
  <c r="CG20" i="29"/>
  <c r="AD20" i="29"/>
  <c r="BY20" i="29"/>
  <c r="AC20" i="29"/>
  <c r="BQ20" i="29"/>
  <c r="V20" i="29"/>
  <c r="BI20" i="29"/>
  <c r="U20" i="29"/>
  <c r="BA20" i="29"/>
  <c r="AS20" i="29"/>
  <c r="CE34" i="29"/>
  <c r="BW34" i="29"/>
  <c r="BO34" i="29"/>
  <c r="BG34" i="29"/>
  <c r="AY34" i="29"/>
  <c r="AQ34" i="29"/>
  <c r="AI34" i="29"/>
  <c r="AA34" i="29"/>
  <c r="S34" i="29"/>
  <c r="CD34" i="29"/>
  <c r="BV34" i="29"/>
  <c r="BN34" i="29"/>
  <c r="BF34" i="29"/>
  <c r="AX34" i="29"/>
  <c r="AP34" i="29"/>
  <c r="AH34" i="29"/>
  <c r="Z34" i="29"/>
  <c r="R34" i="29"/>
  <c r="CK34" i="29"/>
  <c r="CC34" i="29"/>
  <c r="BU34" i="29"/>
  <c r="BM34" i="29"/>
  <c r="BE34" i="29"/>
  <c r="AW34" i="29"/>
  <c r="AO34" i="29"/>
  <c r="AG34" i="29"/>
  <c r="Y34" i="29"/>
  <c r="Q34" i="29"/>
  <c r="CJ34" i="29"/>
  <c r="CB34" i="29"/>
  <c r="BT34" i="29"/>
  <c r="BL34" i="29"/>
  <c r="BD34" i="29"/>
  <c r="AV34" i="29"/>
  <c r="AN34" i="29"/>
  <c r="AF34" i="29"/>
  <c r="X34" i="29"/>
  <c r="P34" i="29"/>
  <c r="CI34" i="29"/>
  <c r="CA34" i="29"/>
  <c r="BS34" i="29"/>
  <c r="BK34" i="29"/>
  <c r="BC34" i="29"/>
  <c r="AU34" i="29"/>
  <c r="AM34" i="29"/>
  <c r="AE34" i="29"/>
  <c r="W34" i="29"/>
  <c r="O34" i="29"/>
  <c r="CH34" i="29"/>
  <c r="BZ34" i="29"/>
  <c r="BR34" i="29"/>
  <c r="BJ34" i="29"/>
  <c r="BB34" i="29"/>
  <c r="AT34" i="29"/>
  <c r="AL34" i="29"/>
  <c r="AD34" i="29"/>
  <c r="V34" i="29"/>
  <c r="CG34" i="29"/>
  <c r="BY34" i="29"/>
  <c r="BQ34" i="29"/>
  <c r="BI34" i="29"/>
  <c r="BA34" i="29"/>
  <c r="AS34" i="29"/>
  <c r="AK34" i="29"/>
  <c r="AC34" i="29"/>
  <c r="U34" i="29"/>
  <c r="BH34" i="29"/>
  <c r="AZ34" i="29"/>
  <c r="AR34" i="29"/>
  <c r="AJ34" i="29"/>
  <c r="AB34" i="29"/>
  <c r="CF34" i="29"/>
  <c r="T34" i="29"/>
  <c r="BX34" i="29"/>
  <c r="BP34" i="29"/>
  <c r="CJ24" i="29"/>
  <c r="CB24" i="29"/>
  <c r="BT24" i="29"/>
  <c r="BL24" i="29"/>
  <c r="BD24" i="29"/>
  <c r="AV24" i="29"/>
  <c r="AN24" i="29"/>
  <c r="AF24" i="29"/>
  <c r="X24" i="29"/>
  <c r="P24" i="29"/>
  <c r="CI24" i="29"/>
  <c r="CA24" i="29"/>
  <c r="BS24" i="29"/>
  <c r="BK24" i="29"/>
  <c r="BC24" i="29"/>
  <c r="AU24" i="29"/>
  <c r="AM24" i="29"/>
  <c r="AE24" i="29"/>
  <c r="W24" i="29"/>
  <c r="O24" i="29"/>
  <c r="CH24" i="29"/>
  <c r="BZ24" i="29"/>
  <c r="BR24" i="29"/>
  <c r="BJ24" i="29"/>
  <c r="BB24" i="29"/>
  <c r="AT24" i="29"/>
  <c r="AL24" i="29"/>
  <c r="AD24" i="29"/>
  <c r="V24" i="29"/>
  <c r="CG24" i="29"/>
  <c r="BY24" i="29"/>
  <c r="BQ24" i="29"/>
  <c r="BI24" i="29"/>
  <c r="BA24" i="29"/>
  <c r="AS24" i="29"/>
  <c r="AK24" i="29"/>
  <c r="AC24" i="29"/>
  <c r="U24" i="29"/>
  <c r="CF24" i="29"/>
  <c r="BX24" i="29"/>
  <c r="BP24" i="29"/>
  <c r="BH24" i="29"/>
  <c r="AZ24" i="29"/>
  <c r="AR24" i="29"/>
  <c r="AJ24" i="29"/>
  <c r="AB24" i="29"/>
  <c r="T24" i="29"/>
  <c r="CE24" i="29"/>
  <c r="BW24" i="29"/>
  <c r="BO24" i="29"/>
  <c r="BG24" i="29"/>
  <c r="AY24" i="29"/>
  <c r="AQ24" i="29"/>
  <c r="AI24" i="29"/>
  <c r="AA24" i="29"/>
  <c r="S24" i="29"/>
  <c r="CD24" i="29"/>
  <c r="BV24" i="29"/>
  <c r="BN24" i="29"/>
  <c r="BF24" i="29"/>
  <c r="AX24" i="29"/>
  <c r="AP24" i="29"/>
  <c r="AH24" i="29"/>
  <c r="Z24" i="29"/>
  <c r="R24" i="29"/>
  <c r="AO24" i="29"/>
  <c r="AG24" i="29"/>
  <c r="CK24" i="29"/>
  <c r="Y24" i="29"/>
  <c r="CC24" i="29"/>
  <c r="Q24" i="29"/>
  <c r="BU24" i="29"/>
  <c r="BM24" i="29"/>
  <c r="BE24" i="29"/>
  <c r="AW24" i="29"/>
  <c r="CK17" i="29"/>
  <c r="CC17" i="29"/>
  <c r="BU17" i="29"/>
  <c r="BM17" i="29"/>
  <c r="BE17" i="29"/>
  <c r="AW17" i="29"/>
  <c r="AO17" i="29"/>
  <c r="AG17" i="29"/>
  <c r="Y17" i="29"/>
  <c r="Q17" i="29"/>
  <c r="CJ17" i="29"/>
  <c r="CB17" i="29"/>
  <c r="BT17" i="29"/>
  <c r="BL17" i="29"/>
  <c r="BD17" i="29"/>
  <c r="AV17" i="29"/>
  <c r="AN17" i="29"/>
  <c r="AF17" i="29"/>
  <c r="X17" i="29"/>
  <c r="P17" i="29"/>
  <c r="CI17" i="29"/>
  <c r="CA17" i="29"/>
  <c r="BS17" i="29"/>
  <c r="BK17" i="29"/>
  <c r="BC17" i="29"/>
  <c r="AU17" i="29"/>
  <c r="AM17" i="29"/>
  <c r="AE17" i="29"/>
  <c r="W17" i="29"/>
  <c r="O17" i="29"/>
  <c r="CH17" i="29"/>
  <c r="BZ17" i="29"/>
  <c r="BR17" i="29"/>
  <c r="BJ17" i="29"/>
  <c r="BB17" i="29"/>
  <c r="AT17" i="29"/>
  <c r="AL17" i="29"/>
  <c r="AD17" i="29"/>
  <c r="V17" i="29"/>
  <c r="CG17" i="29"/>
  <c r="BY17" i="29"/>
  <c r="BQ17" i="29"/>
  <c r="BI17" i="29"/>
  <c r="BA17" i="29"/>
  <c r="AS17" i="29"/>
  <c r="AK17" i="29"/>
  <c r="AC17" i="29"/>
  <c r="U17" i="29"/>
  <c r="CF17" i="29"/>
  <c r="BX17" i="29"/>
  <c r="BP17" i="29"/>
  <c r="BH17" i="29"/>
  <c r="AZ17" i="29"/>
  <c r="AR17" i="29"/>
  <c r="AJ17" i="29"/>
  <c r="AB17" i="29"/>
  <c r="T17" i="29"/>
  <c r="CE17" i="29"/>
  <c r="AY17" i="29"/>
  <c r="S17" i="29"/>
  <c r="CD17" i="29"/>
  <c r="AX17" i="29"/>
  <c r="R17" i="29"/>
  <c r="BF17" i="29"/>
  <c r="BW17" i="29"/>
  <c r="AQ17" i="29"/>
  <c r="BV17" i="29"/>
  <c r="AP17" i="29"/>
  <c r="BO17" i="29"/>
  <c r="AI17" i="29"/>
  <c r="BN17" i="29"/>
  <c r="AH17" i="29"/>
  <c r="Z17" i="29"/>
  <c r="BG17" i="29"/>
  <c r="AA17" i="29"/>
  <c r="CD18" i="29"/>
  <c r="BV18" i="29"/>
  <c r="BN18" i="29"/>
  <c r="BF18" i="29"/>
  <c r="AX18" i="29"/>
  <c r="AP18" i="29"/>
  <c r="AH18" i="29"/>
  <c r="Z18" i="29"/>
  <c r="R18" i="29"/>
  <c r="CK18" i="29"/>
  <c r="CC18" i="29"/>
  <c r="BU18" i="29"/>
  <c r="BM18" i="29"/>
  <c r="BE18" i="29"/>
  <c r="AW18" i="29"/>
  <c r="AO18" i="29"/>
  <c r="AG18" i="29"/>
  <c r="Y18" i="29"/>
  <c r="Q18" i="29"/>
  <c r="CJ18" i="29"/>
  <c r="CB18" i="29"/>
  <c r="BT18" i="29"/>
  <c r="BL18" i="29"/>
  <c r="BD18" i="29"/>
  <c r="AV18" i="29"/>
  <c r="AN18" i="29"/>
  <c r="AF18" i="29"/>
  <c r="X18" i="29"/>
  <c r="P18" i="29"/>
  <c r="CI18" i="29"/>
  <c r="CA18" i="29"/>
  <c r="BS18" i="29"/>
  <c r="BK18" i="29"/>
  <c r="BC18" i="29"/>
  <c r="AU18" i="29"/>
  <c r="AM18" i="29"/>
  <c r="AE18" i="29"/>
  <c r="W18" i="29"/>
  <c r="CH18" i="29"/>
  <c r="BZ18" i="29"/>
  <c r="BR18" i="29"/>
  <c r="BJ18" i="29"/>
  <c r="BB18" i="29"/>
  <c r="AT18" i="29"/>
  <c r="AL18" i="29"/>
  <c r="AD18" i="29"/>
  <c r="V18" i="29"/>
  <c r="CG18" i="29"/>
  <c r="BY18" i="29"/>
  <c r="BQ18" i="29"/>
  <c r="BI18" i="29"/>
  <c r="BA18" i="29"/>
  <c r="AS18" i="29"/>
  <c r="AK18" i="29"/>
  <c r="AC18" i="29"/>
  <c r="U18" i="29"/>
  <c r="BP18" i="29"/>
  <c r="AJ18" i="29"/>
  <c r="BO18" i="29"/>
  <c r="AI18" i="29"/>
  <c r="AQ18" i="29"/>
  <c r="BH18" i="29"/>
  <c r="AB18" i="29"/>
  <c r="BG18" i="29"/>
  <c r="AA18" i="29"/>
  <c r="CF18" i="29"/>
  <c r="AZ18" i="29"/>
  <c r="T18" i="29"/>
  <c r="CE18" i="29"/>
  <c r="AY18" i="29"/>
  <c r="S18" i="29"/>
  <c r="BX18" i="29"/>
  <c r="AR18" i="29"/>
  <c r="BW18" i="29"/>
  <c r="CI30" i="29"/>
  <c r="CA30" i="29"/>
  <c r="BS30" i="29"/>
  <c r="BK30" i="29"/>
  <c r="BC30" i="29"/>
  <c r="AU30" i="29"/>
  <c r="AM30" i="29"/>
  <c r="AE30" i="29"/>
  <c r="W30" i="29"/>
  <c r="O30" i="29"/>
  <c r="CH30" i="29"/>
  <c r="BZ30" i="29"/>
  <c r="BR30" i="29"/>
  <c r="BJ30" i="29"/>
  <c r="BB30" i="29"/>
  <c r="AT30" i="29"/>
  <c r="AL30" i="29"/>
  <c r="AD30" i="29"/>
  <c r="V30" i="29"/>
  <c r="CG30" i="29"/>
  <c r="BY30" i="29"/>
  <c r="BQ30" i="29"/>
  <c r="BI30" i="29"/>
  <c r="BA30" i="29"/>
  <c r="AS30" i="29"/>
  <c r="AK30" i="29"/>
  <c r="AC30" i="29"/>
  <c r="U30" i="29"/>
  <c r="CF30" i="29"/>
  <c r="BX30" i="29"/>
  <c r="BP30" i="29"/>
  <c r="BH30" i="29"/>
  <c r="AZ30" i="29"/>
  <c r="AR30" i="29"/>
  <c r="AJ30" i="29"/>
  <c r="AB30" i="29"/>
  <c r="T30" i="29"/>
  <c r="CE30" i="29"/>
  <c r="BW30" i="29"/>
  <c r="BO30" i="29"/>
  <c r="BG30" i="29"/>
  <c r="AY30" i="29"/>
  <c r="AQ30" i="29"/>
  <c r="AI30" i="29"/>
  <c r="AA30" i="29"/>
  <c r="S30" i="29"/>
  <c r="CD30" i="29"/>
  <c r="BV30" i="29"/>
  <c r="BN30" i="29"/>
  <c r="BF30" i="29"/>
  <c r="AX30" i="29"/>
  <c r="AP30" i="29"/>
  <c r="AH30" i="29"/>
  <c r="Z30" i="29"/>
  <c r="R30" i="29"/>
  <c r="BM30" i="29"/>
  <c r="AG30" i="29"/>
  <c r="BL30" i="29"/>
  <c r="AF30" i="29"/>
  <c r="CK30" i="29"/>
  <c r="BE30" i="29"/>
  <c r="Y30" i="29"/>
  <c r="CJ30" i="29"/>
  <c r="BD30" i="29"/>
  <c r="X30" i="29"/>
  <c r="CC30" i="29"/>
  <c r="AW30" i="29"/>
  <c r="Q30" i="29"/>
  <c r="CB30" i="29"/>
  <c r="AV30" i="29"/>
  <c r="P30" i="29"/>
  <c r="BU30" i="29"/>
  <c r="AO30" i="29"/>
  <c r="BT30" i="29"/>
  <c r="AN30" i="29"/>
  <c r="CH22" i="29"/>
  <c r="BZ22" i="29"/>
  <c r="BR22" i="29"/>
  <c r="BJ22" i="29"/>
  <c r="BB22" i="29"/>
  <c r="AT22" i="29"/>
  <c r="AL22" i="29"/>
  <c r="AD22" i="29"/>
  <c r="V22" i="29"/>
  <c r="CG22" i="29"/>
  <c r="BY22" i="29"/>
  <c r="BQ22" i="29"/>
  <c r="BI22" i="29"/>
  <c r="BA22" i="29"/>
  <c r="AS22" i="29"/>
  <c r="AK22" i="29"/>
  <c r="AC22" i="29"/>
  <c r="U22" i="29"/>
  <c r="CF22" i="29"/>
  <c r="BX22" i="29"/>
  <c r="BP22" i="29"/>
  <c r="BH22" i="29"/>
  <c r="AZ22" i="29"/>
  <c r="AR22" i="29"/>
  <c r="AJ22" i="29"/>
  <c r="AB22" i="29"/>
  <c r="T22" i="29"/>
  <c r="CE22" i="29"/>
  <c r="BW22" i="29"/>
  <c r="BO22" i="29"/>
  <c r="BG22" i="29"/>
  <c r="AY22" i="29"/>
  <c r="AQ22" i="29"/>
  <c r="AI22" i="29"/>
  <c r="AA22" i="29"/>
  <c r="S22" i="29"/>
  <c r="CD22" i="29"/>
  <c r="BV22" i="29"/>
  <c r="BN22" i="29"/>
  <c r="BF22" i="29"/>
  <c r="AX22" i="29"/>
  <c r="AP22" i="29"/>
  <c r="AH22" i="29"/>
  <c r="Z22" i="29"/>
  <c r="R22" i="29"/>
  <c r="CK22" i="29"/>
  <c r="CC22" i="29"/>
  <c r="BU22" i="29"/>
  <c r="BM22" i="29"/>
  <c r="BE22" i="29"/>
  <c r="AW22" i="29"/>
  <c r="AO22" i="29"/>
  <c r="AG22" i="29"/>
  <c r="Y22" i="29"/>
  <c r="Q22" i="29"/>
  <c r="CJ22" i="29"/>
  <c r="CB22" i="29"/>
  <c r="BT22" i="29"/>
  <c r="BL22" i="29"/>
  <c r="BD22" i="29"/>
  <c r="AV22" i="29"/>
  <c r="AN22" i="29"/>
  <c r="AF22" i="29"/>
  <c r="X22" i="29"/>
  <c r="P22" i="29"/>
  <c r="BS22" i="29"/>
  <c r="BK22" i="29"/>
  <c r="O22" i="29"/>
  <c r="BC22" i="29"/>
  <c r="AU22" i="29"/>
  <c r="AM22" i="29"/>
  <c r="AE22" i="29"/>
  <c r="CI22" i="29"/>
  <c r="W22" i="29"/>
  <c r="CA22" i="29"/>
  <c r="CD26" i="29"/>
  <c r="BV26" i="29"/>
  <c r="BN26" i="29"/>
  <c r="BF26" i="29"/>
  <c r="AX26" i="29"/>
  <c r="AP26" i="29"/>
  <c r="AH26" i="29"/>
  <c r="Z26" i="29"/>
  <c r="R26" i="29"/>
  <c r="CK26" i="29"/>
  <c r="CC26" i="29"/>
  <c r="BU26" i="29"/>
  <c r="BM26" i="29"/>
  <c r="BE26" i="29"/>
  <c r="AW26" i="29"/>
  <c r="AO26" i="29"/>
  <c r="AG26" i="29"/>
  <c r="Y26" i="29"/>
  <c r="Q26" i="29"/>
  <c r="CJ26" i="29"/>
  <c r="CB26" i="29"/>
  <c r="BT26" i="29"/>
  <c r="BL26" i="29"/>
  <c r="BD26" i="29"/>
  <c r="AV26" i="29"/>
  <c r="AN26" i="29"/>
  <c r="AF26" i="29"/>
  <c r="X26" i="29"/>
  <c r="P26" i="29"/>
  <c r="CI26" i="29"/>
  <c r="CA26" i="29"/>
  <c r="BS26" i="29"/>
  <c r="BK26" i="29"/>
  <c r="BC26" i="29"/>
  <c r="AU26" i="29"/>
  <c r="AM26" i="29"/>
  <c r="AE26" i="29"/>
  <c r="W26" i="29"/>
  <c r="O26" i="29"/>
  <c r="CH26" i="29"/>
  <c r="BZ26" i="29"/>
  <c r="BR26" i="29"/>
  <c r="BJ26" i="29"/>
  <c r="BB26" i="29"/>
  <c r="AT26" i="29"/>
  <c r="AL26" i="29"/>
  <c r="AD26" i="29"/>
  <c r="V26" i="29"/>
  <c r="CG26" i="29"/>
  <c r="BY26" i="29"/>
  <c r="BQ26" i="29"/>
  <c r="BI26" i="29"/>
  <c r="BA26" i="29"/>
  <c r="AS26" i="29"/>
  <c r="AK26" i="29"/>
  <c r="AC26" i="29"/>
  <c r="U26" i="29"/>
  <c r="CF26" i="29"/>
  <c r="BX26" i="29"/>
  <c r="BP26" i="29"/>
  <c r="BH26" i="29"/>
  <c r="AZ26" i="29"/>
  <c r="AR26" i="29"/>
  <c r="AJ26" i="29"/>
  <c r="AB26" i="29"/>
  <c r="T26" i="29"/>
  <c r="BW26" i="29"/>
  <c r="BO26" i="29"/>
  <c r="BG26" i="29"/>
  <c r="AY26" i="29"/>
  <c r="AQ26" i="29"/>
  <c r="AI26" i="29"/>
  <c r="S26" i="29"/>
  <c r="AA26" i="29"/>
  <c r="CE26" i="29"/>
  <c r="CE19" i="29"/>
  <c r="BW19" i="29"/>
  <c r="BO19" i="29"/>
  <c r="BG19" i="29"/>
  <c r="AY19" i="29"/>
  <c r="AQ19" i="29"/>
  <c r="AI19" i="29"/>
  <c r="AA19" i="29"/>
  <c r="S19" i="29"/>
  <c r="CD19" i="29"/>
  <c r="BV19" i="29"/>
  <c r="BN19" i="29"/>
  <c r="BF19" i="29"/>
  <c r="AX19" i="29"/>
  <c r="AP19" i="29"/>
  <c r="AH19" i="29"/>
  <c r="Z19" i="29"/>
  <c r="R19" i="29"/>
  <c r="CK19" i="29"/>
  <c r="CC19" i="29"/>
  <c r="BU19" i="29"/>
  <c r="BM19" i="29"/>
  <c r="BE19" i="29"/>
  <c r="AW19" i="29"/>
  <c r="AO19" i="29"/>
  <c r="AG19" i="29"/>
  <c r="Y19" i="29"/>
  <c r="Q19" i="29"/>
  <c r="CJ19" i="29"/>
  <c r="CB19" i="29"/>
  <c r="BT19" i="29"/>
  <c r="BL19" i="29"/>
  <c r="BD19" i="29"/>
  <c r="AV19" i="29"/>
  <c r="AN19" i="29"/>
  <c r="AF19" i="29"/>
  <c r="X19" i="29"/>
  <c r="P19" i="29"/>
  <c r="CI19" i="29"/>
  <c r="CA19" i="29"/>
  <c r="BS19" i="29"/>
  <c r="BK19" i="29"/>
  <c r="BC19" i="29"/>
  <c r="AU19" i="29"/>
  <c r="AM19" i="29"/>
  <c r="AE19" i="29"/>
  <c r="W19" i="29"/>
  <c r="O19" i="29"/>
  <c r="CH19" i="29"/>
  <c r="BZ19" i="29"/>
  <c r="BR19" i="29"/>
  <c r="BJ19" i="29"/>
  <c r="BB19" i="29"/>
  <c r="AT19" i="29"/>
  <c r="AL19" i="29"/>
  <c r="AD19" i="29"/>
  <c r="V19" i="29"/>
  <c r="CG19" i="29"/>
  <c r="BA19" i="29"/>
  <c r="U19" i="29"/>
  <c r="CF19" i="29"/>
  <c r="AZ19" i="29"/>
  <c r="T19" i="29"/>
  <c r="AB19" i="29"/>
  <c r="BY19" i="29"/>
  <c r="AS19" i="29"/>
  <c r="BX19" i="29"/>
  <c r="AR19" i="29"/>
  <c r="BQ19" i="29"/>
  <c r="AK19" i="29"/>
  <c r="BP19" i="29"/>
  <c r="AJ19" i="29"/>
  <c r="BI19" i="29"/>
  <c r="AC19" i="29"/>
  <c r="BH19" i="29"/>
  <c r="CF27" i="29"/>
  <c r="BX27" i="29"/>
  <c r="BP27" i="29"/>
  <c r="BH27" i="29"/>
  <c r="AZ27" i="29"/>
  <c r="AR27" i="29"/>
  <c r="CE27" i="29"/>
  <c r="BW27" i="29"/>
  <c r="BO27" i="29"/>
  <c r="BG27" i="29"/>
  <c r="AY27" i="29"/>
  <c r="AQ27" i="29"/>
  <c r="CD27" i="29"/>
  <c r="BV27" i="29"/>
  <c r="BN27" i="29"/>
  <c r="BF27" i="29"/>
  <c r="AX27" i="29"/>
  <c r="AP27" i="29"/>
  <c r="CK27" i="29"/>
  <c r="CC27" i="29"/>
  <c r="BU27" i="29"/>
  <c r="BM27" i="29"/>
  <c r="BE27" i="29"/>
  <c r="AW27" i="29"/>
  <c r="CJ27" i="29"/>
  <c r="CB27" i="29"/>
  <c r="BT27" i="29"/>
  <c r="BL27" i="29"/>
  <c r="BD27" i="29"/>
  <c r="AV27" i="29"/>
  <c r="CI27" i="29"/>
  <c r="CA27" i="29"/>
  <c r="BS27" i="29"/>
  <c r="BK27" i="29"/>
  <c r="BC27" i="29"/>
  <c r="AU27" i="29"/>
  <c r="BZ27" i="29"/>
  <c r="AT27" i="29"/>
  <c r="AI27" i="29"/>
  <c r="AA27" i="29"/>
  <c r="S27" i="29"/>
  <c r="BY27" i="29"/>
  <c r="AS27" i="29"/>
  <c r="AH27" i="29"/>
  <c r="Z27" i="29"/>
  <c r="R27" i="29"/>
  <c r="BR27" i="29"/>
  <c r="AO27" i="29"/>
  <c r="AG27" i="29"/>
  <c r="Y27" i="29"/>
  <c r="Q27" i="29"/>
  <c r="BQ27" i="29"/>
  <c r="AN27" i="29"/>
  <c r="AF27" i="29"/>
  <c r="X27" i="29"/>
  <c r="P27" i="29"/>
  <c r="BJ27" i="29"/>
  <c r="AM27" i="29"/>
  <c r="AE27" i="29"/>
  <c r="W27" i="29"/>
  <c r="O27" i="29"/>
  <c r="BI27" i="29"/>
  <c r="AL27" i="29"/>
  <c r="AD27" i="29"/>
  <c r="V27" i="29"/>
  <c r="CH27" i="29"/>
  <c r="BB27" i="29"/>
  <c r="AK27" i="29"/>
  <c r="AC27" i="29"/>
  <c r="U27" i="29"/>
  <c r="CG27" i="29"/>
  <c r="BA27" i="29"/>
  <c r="AJ27" i="29"/>
  <c r="AB27" i="29"/>
  <c r="T27" i="29"/>
  <c r="CF35" i="29"/>
  <c r="BX35" i="29"/>
  <c r="BP35" i="29"/>
  <c r="BH35" i="29"/>
  <c r="AZ35" i="29"/>
  <c r="AR35" i="29"/>
  <c r="AJ35" i="29"/>
  <c r="AB35" i="29"/>
  <c r="T35" i="29"/>
  <c r="CE35" i="29"/>
  <c r="BW35" i="29"/>
  <c r="BO35" i="29"/>
  <c r="BG35" i="29"/>
  <c r="AY35" i="29"/>
  <c r="AQ35" i="29"/>
  <c r="AI35" i="29"/>
  <c r="AA35" i="29"/>
  <c r="S35" i="29"/>
  <c r="CD35" i="29"/>
  <c r="BV35" i="29"/>
  <c r="BN35" i="29"/>
  <c r="BF35" i="29"/>
  <c r="AX35" i="29"/>
  <c r="AP35" i="29"/>
  <c r="AH35" i="29"/>
  <c r="Z35" i="29"/>
  <c r="R35" i="29"/>
  <c r="CK35" i="29"/>
  <c r="CC35" i="29"/>
  <c r="BU35" i="29"/>
  <c r="BM35" i="29"/>
  <c r="BE35" i="29"/>
  <c r="AW35" i="29"/>
  <c r="AO35" i="29"/>
  <c r="AG35" i="29"/>
  <c r="Y35" i="29"/>
  <c r="Q35" i="29"/>
  <c r="CJ35" i="29"/>
  <c r="CB35" i="29"/>
  <c r="BT35" i="29"/>
  <c r="BL35" i="29"/>
  <c r="BD35" i="29"/>
  <c r="AV35" i="29"/>
  <c r="AN35" i="29"/>
  <c r="AF35" i="29"/>
  <c r="X35" i="29"/>
  <c r="P35" i="29"/>
  <c r="CI35" i="29"/>
  <c r="CA35" i="29"/>
  <c r="BS35" i="29"/>
  <c r="BK35" i="29"/>
  <c r="BC35" i="29"/>
  <c r="AU35" i="29"/>
  <c r="AM35" i="29"/>
  <c r="AE35" i="29"/>
  <c r="W35" i="29"/>
  <c r="O35" i="29"/>
  <c r="CH35" i="29"/>
  <c r="BZ35" i="29"/>
  <c r="BR35" i="29"/>
  <c r="BJ35" i="29"/>
  <c r="BB35" i="29"/>
  <c r="AT35" i="29"/>
  <c r="AL35" i="29"/>
  <c r="AD35" i="29"/>
  <c r="V35" i="29"/>
  <c r="AS35" i="29"/>
  <c r="AK35" i="29"/>
  <c r="AC35" i="29"/>
  <c r="CG35" i="29"/>
  <c r="U35" i="29"/>
  <c r="BY35" i="29"/>
  <c r="BQ35" i="29"/>
  <c r="BI35" i="29"/>
  <c r="BA35" i="29"/>
  <c r="CK32" i="29"/>
  <c r="CC32" i="29"/>
  <c r="BU32" i="29"/>
  <c r="BM32" i="29"/>
  <c r="BE32" i="29"/>
  <c r="AW32" i="29"/>
  <c r="AO32" i="29"/>
  <c r="AG32" i="29"/>
  <c r="Y32" i="29"/>
  <c r="Q32" i="29"/>
  <c r="CJ32" i="29"/>
  <c r="CB32" i="29"/>
  <c r="BT32" i="29"/>
  <c r="BL32" i="29"/>
  <c r="BD32" i="29"/>
  <c r="AV32" i="29"/>
  <c r="AN32" i="29"/>
  <c r="AF32" i="29"/>
  <c r="X32" i="29"/>
  <c r="P32" i="29"/>
  <c r="CI32" i="29"/>
  <c r="CA32" i="29"/>
  <c r="BS32" i="29"/>
  <c r="BK32" i="29"/>
  <c r="BC32" i="29"/>
  <c r="AU32" i="29"/>
  <c r="AM32" i="29"/>
  <c r="AE32" i="29"/>
  <c r="W32" i="29"/>
  <c r="O32" i="29"/>
  <c r="CH32" i="29"/>
  <c r="BZ32" i="29"/>
  <c r="BR32" i="29"/>
  <c r="BJ32" i="29"/>
  <c r="BB32" i="29"/>
  <c r="AT32" i="29"/>
  <c r="AL32" i="29"/>
  <c r="AD32" i="29"/>
  <c r="V32" i="29"/>
  <c r="CG32" i="29"/>
  <c r="BY32" i="29"/>
  <c r="BQ32" i="29"/>
  <c r="BI32" i="29"/>
  <c r="BA32" i="29"/>
  <c r="AS32" i="29"/>
  <c r="AK32" i="29"/>
  <c r="AC32" i="29"/>
  <c r="U32" i="29"/>
  <c r="CF32" i="29"/>
  <c r="BX32" i="29"/>
  <c r="BP32" i="29"/>
  <c r="BH32" i="29"/>
  <c r="AZ32" i="29"/>
  <c r="AR32" i="29"/>
  <c r="AJ32" i="29"/>
  <c r="AB32" i="29"/>
  <c r="T32" i="29"/>
  <c r="CE32" i="29"/>
  <c r="BW32" i="29"/>
  <c r="BO32" i="29"/>
  <c r="BG32" i="29"/>
  <c r="AY32" i="29"/>
  <c r="AQ32" i="29"/>
  <c r="AI32" i="29"/>
  <c r="AA32" i="29"/>
  <c r="S32" i="29"/>
  <c r="Z32" i="29"/>
  <c r="CD32" i="29"/>
  <c r="R32" i="29"/>
  <c r="BV32" i="29"/>
  <c r="BN32" i="29"/>
  <c r="BF32" i="29"/>
  <c r="AX32" i="29"/>
  <c r="AP32" i="29"/>
  <c r="AH32" i="29"/>
  <c r="CG13" i="29"/>
  <c r="BY13" i="29"/>
  <c r="CF13" i="29"/>
  <c r="BX13" i="29"/>
  <c r="CE13" i="29"/>
  <c r="BW13" i="29"/>
  <c r="BO13" i="29"/>
  <c r="CD13" i="29"/>
  <c r="BV13" i="29"/>
  <c r="BN13" i="29"/>
  <c r="BF13" i="29"/>
  <c r="CK13" i="29"/>
  <c r="CC13" i="29"/>
  <c r="CB13" i="29"/>
  <c r="BP13" i="29"/>
  <c r="BE13" i="29"/>
  <c r="AW13" i="29"/>
  <c r="AO13" i="29"/>
  <c r="AG13" i="29"/>
  <c r="Y13" i="29"/>
  <c r="Q13" i="29"/>
  <c r="CA13" i="29"/>
  <c r="BM13" i="29"/>
  <c r="BD13" i="29"/>
  <c r="AV13" i="29"/>
  <c r="AN13" i="29"/>
  <c r="AF13" i="29"/>
  <c r="X13" i="29"/>
  <c r="P13" i="29"/>
  <c r="AX13" i="29"/>
  <c r="Z13" i="29"/>
  <c r="BZ13" i="29"/>
  <c r="BL13" i="29"/>
  <c r="BC13" i="29"/>
  <c r="AU13" i="29"/>
  <c r="AM13" i="29"/>
  <c r="AE13" i="29"/>
  <c r="W13" i="29"/>
  <c r="O13" i="29"/>
  <c r="CH13" i="29"/>
  <c r="BU13" i="29"/>
  <c r="BK13" i="29"/>
  <c r="BB13" i="29"/>
  <c r="AT13" i="29"/>
  <c r="AL13" i="29"/>
  <c r="AD13" i="29"/>
  <c r="V13" i="29"/>
  <c r="BT13" i="29"/>
  <c r="BJ13" i="29"/>
  <c r="BA13" i="29"/>
  <c r="AS13" i="29"/>
  <c r="AK13" i="29"/>
  <c r="AC13" i="29"/>
  <c r="U13" i="29"/>
  <c r="AP13" i="29"/>
  <c r="CJ13" i="29"/>
  <c r="BS13" i="29"/>
  <c r="BI13" i="29"/>
  <c r="AZ13" i="29"/>
  <c r="AR13" i="29"/>
  <c r="AJ13" i="29"/>
  <c r="AB13" i="29"/>
  <c r="T13" i="29"/>
  <c r="BQ13" i="29"/>
  <c r="R13" i="29"/>
  <c r="CI13" i="29"/>
  <c r="BR13" i="29"/>
  <c r="BH13" i="29"/>
  <c r="AY13" i="29"/>
  <c r="AQ13" i="29"/>
  <c r="AI13" i="29"/>
  <c r="AA13" i="29"/>
  <c r="S13" i="29"/>
  <c r="BG13" i="29"/>
  <c r="AH13" i="29"/>
  <c r="CH14" i="29"/>
  <c r="BZ14" i="29"/>
  <c r="BR14" i="29"/>
  <c r="BJ14" i="29"/>
  <c r="BB14" i="29"/>
  <c r="AT14" i="29"/>
  <c r="AL14" i="29"/>
  <c r="AD14" i="29"/>
  <c r="V14" i="29"/>
  <c r="CG14" i="29"/>
  <c r="BY14" i="29"/>
  <c r="BQ14" i="29"/>
  <c r="BI14" i="29"/>
  <c r="BA14" i="29"/>
  <c r="AS14" i="29"/>
  <c r="AK14" i="29"/>
  <c r="AC14" i="29"/>
  <c r="U14" i="29"/>
  <c r="CF14" i="29"/>
  <c r="BX14" i="29"/>
  <c r="BP14" i="29"/>
  <c r="BH14" i="29"/>
  <c r="AZ14" i="29"/>
  <c r="AR14" i="29"/>
  <c r="AJ14" i="29"/>
  <c r="AB14" i="29"/>
  <c r="T14" i="29"/>
  <c r="CE14" i="29"/>
  <c r="BW14" i="29"/>
  <c r="BO14" i="29"/>
  <c r="BG14" i="29"/>
  <c r="AY14" i="29"/>
  <c r="AQ14" i="29"/>
  <c r="AI14" i="29"/>
  <c r="AA14" i="29"/>
  <c r="S14" i="29"/>
  <c r="CD14" i="29"/>
  <c r="BV14" i="29"/>
  <c r="BN14" i="29"/>
  <c r="BF14" i="29"/>
  <c r="AX14" i="29"/>
  <c r="AP14" i="29"/>
  <c r="AH14" i="29"/>
  <c r="Z14" i="29"/>
  <c r="R14" i="29"/>
  <c r="CK14" i="29"/>
  <c r="CC14" i="29"/>
  <c r="BU14" i="29"/>
  <c r="BM14" i="29"/>
  <c r="AU14" i="29"/>
  <c r="X14" i="29"/>
  <c r="BL14" i="29"/>
  <c r="AO14" i="29"/>
  <c r="W14" i="29"/>
  <c r="Y14" i="29"/>
  <c r="CJ14" i="29"/>
  <c r="BK14" i="29"/>
  <c r="AN14" i="29"/>
  <c r="Q14" i="29"/>
  <c r="CI14" i="29"/>
  <c r="BE14" i="29"/>
  <c r="AM14" i="29"/>
  <c r="P14" i="29"/>
  <c r="CB14" i="29"/>
  <c r="BD14" i="29"/>
  <c r="AG14" i="29"/>
  <c r="BS14" i="29"/>
  <c r="CA14" i="29"/>
  <c r="BC14" i="29"/>
  <c r="AF14" i="29"/>
  <c r="BT14" i="29"/>
  <c r="AW14" i="29"/>
  <c r="AE14" i="29"/>
  <c r="AV14" i="29"/>
  <c r="CI16" i="29"/>
  <c r="CA16" i="29"/>
  <c r="BS16" i="29"/>
  <c r="BK16" i="29"/>
  <c r="BC16" i="29"/>
  <c r="AU16" i="29"/>
  <c r="AM16" i="29"/>
  <c r="AE16" i="29"/>
  <c r="W16" i="29"/>
  <c r="O16" i="29"/>
  <c r="O39" i="29" s="1"/>
  <c r="CH16" i="29"/>
  <c r="BZ16" i="29"/>
  <c r="BR16" i="29"/>
  <c r="BJ16" i="29"/>
  <c r="BB16" i="29"/>
  <c r="AT16" i="29"/>
  <c r="AL16" i="29"/>
  <c r="AD16" i="29"/>
  <c r="V16" i="29"/>
  <c r="CG16" i="29"/>
  <c r="BY16" i="29"/>
  <c r="BQ16" i="29"/>
  <c r="BI16" i="29"/>
  <c r="BA16" i="29"/>
  <c r="AS16" i="29"/>
  <c r="AK16" i="29"/>
  <c r="AC16" i="29"/>
  <c r="U16" i="29"/>
  <c r="CF16" i="29"/>
  <c r="BX16" i="29"/>
  <c r="BP16" i="29"/>
  <c r="BH16" i="29"/>
  <c r="AZ16" i="29"/>
  <c r="AR16" i="29"/>
  <c r="AJ16" i="29"/>
  <c r="AB16" i="29"/>
  <c r="T16" i="29"/>
  <c r="CE16" i="29"/>
  <c r="BW16" i="29"/>
  <c r="BO16" i="29"/>
  <c r="BG16" i="29"/>
  <c r="AY16" i="29"/>
  <c r="AQ16" i="29"/>
  <c r="AI16" i="29"/>
  <c r="AA16" i="29"/>
  <c r="S16" i="29"/>
  <c r="CD16" i="29"/>
  <c r="BV16" i="29"/>
  <c r="BN16" i="29"/>
  <c r="BF16" i="29"/>
  <c r="AX16" i="29"/>
  <c r="AP16" i="29"/>
  <c r="AH16" i="29"/>
  <c r="Z16" i="29"/>
  <c r="R16" i="29"/>
  <c r="CC16" i="29"/>
  <c r="AW16" i="29"/>
  <c r="Q16" i="29"/>
  <c r="CB16" i="29"/>
  <c r="AV16" i="29"/>
  <c r="P16" i="29"/>
  <c r="BD16" i="29"/>
  <c r="BU16" i="29"/>
  <c r="AO16" i="29"/>
  <c r="BT16" i="29"/>
  <c r="AN16" i="29"/>
  <c r="X16" i="29"/>
  <c r="BM16" i="29"/>
  <c r="AG16" i="29"/>
  <c r="BL16" i="29"/>
  <c r="AF16" i="29"/>
  <c r="CK16" i="29"/>
  <c r="BE16" i="29"/>
  <c r="Y16" i="29"/>
  <c r="CJ16" i="29"/>
  <c r="CI23" i="29"/>
  <c r="CA23" i="29"/>
  <c r="BS23" i="29"/>
  <c r="BK23" i="29"/>
  <c r="BC23" i="29"/>
  <c r="AU23" i="29"/>
  <c r="AM23" i="29"/>
  <c r="AE23" i="29"/>
  <c r="W23" i="29"/>
  <c r="O23" i="29"/>
  <c r="CH23" i="29"/>
  <c r="BZ23" i="29"/>
  <c r="BR23" i="29"/>
  <c r="BJ23" i="29"/>
  <c r="BB23" i="29"/>
  <c r="AT23" i="29"/>
  <c r="AL23" i="29"/>
  <c r="AD23" i="29"/>
  <c r="V23" i="29"/>
  <c r="CG23" i="29"/>
  <c r="BY23" i="29"/>
  <c r="BQ23" i="29"/>
  <c r="BI23" i="29"/>
  <c r="BA23" i="29"/>
  <c r="AS23" i="29"/>
  <c r="AK23" i="29"/>
  <c r="AC23" i="29"/>
  <c r="U23" i="29"/>
  <c r="CF23" i="29"/>
  <c r="BX23" i="29"/>
  <c r="BP23" i="29"/>
  <c r="BH23" i="29"/>
  <c r="AZ23" i="29"/>
  <c r="AR23" i="29"/>
  <c r="AJ23" i="29"/>
  <c r="AB23" i="29"/>
  <c r="T23" i="29"/>
  <c r="CE23" i="29"/>
  <c r="BW23" i="29"/>
  <c r="BO23" i="29"/>
  <c r="BG23" i="29"/>
  <c r="AY23" i="29"/>
  <c r="AQ23" i="29"/>
  <c r="AI23" i="29"/>
  <c r="AA23" i="29"/>
  <c r="S23" i="29"/>
  <c r="CD23" i="29"/>
  <c r="BV23" i="29"/>
  <c r="BN23" i="29"/>
  <c r="BF23" i="29"/>
  <c r="AX23" i="29"/>
  <c r="AP23" i="29"/>
  <c r="AH23" i="29"/>
  <c r="Z23" i="29"/>
  <c r="R23" i="29"/>
  <c r="CK23" i="29"/>
  <c r="CC23" i="29"/>
  <c r="BU23" i="29"/>
  <c r="BM23" i="29"/>
  <c r="BE23" i="29"/>
  <c r="AW23" i="29"/>
  <c r="AO23" i="29"/>
  <c r="AG23" i="29"/>
  <c r="Y23" i="29"/>
  <c r="Q23" i="29"/>
  <c r="BD23" i="29"/>
  <c r="AV23" i="29"/>
  <c r="BL23" i="29"/>
  <c r="AN23" i="29"/>
  <c r="AF23" i="29"/>
  <c r="CJ23" i="29"/>
  <c r="X23" i="29"/>
  <c r="CB23" i="29"/>
  <c r="P23" i="29"/>
  <c r="BT23" i="29"/>
  <c r="CJ31" i="29"/>
  <c r="CB31" i="29"/>
  <c r="BT31" i="29"/>
  <c r="BL31" i="29"/>
  <c r="BD31" i="29"/>
  <c r="AV31" i="29"/>
  <c r="AN31" i="29"/>
  <c r="AF31" i="29"/>
  <c r="X31" i="29"/>
  <c r="P31" i="29"/>
  <c r="CI31" i="29"/>
  <c r="CA31" i="29"/>
  <c r="BS31" i="29"/>
  <c r="BK31" i="29"/>
  <c r="BC31" i="29"/>
  <c r="AU31" i="29"/>
  <c r="AM31" i="29"/>
  <c r="AE31" i="29"/>
  <c r="W31" i="29"/>
  <c r="O31" i="29"/>
  <c r="CH31" i="29"/>
  <c r="BZ31" i="29"/>
  <c r="BR31" i="29"/>
  <c r="BJ31" i="29"/>
  <c r="BB31" i="29"/>
  <c r="AT31" i="29"/>
  <c r="AL31" i="29"/>
  <c r="AD31" i="29"/>
  <c r="V31" i="29"/>
  <c r="CG31" i="29"/>
  <c r="BY31" i="29"/>
  <c r="BQ31" i="29"/>
  <c r="BI31" i="29"/>
  <c r="BA31" i="29"/>
  <c r="AS31" i="29"/>
  <c r="AK31" i="29"/>
  <c r="AC31" i="29"/>
  <c r="U31" i="29"/>
  <c r="CF31" i="29"/>
  <c r="BX31" i="29"/>
  <c r="BP31" i="29"/>
  <c r="BH31" i="29"/>
  <c r="AZ31" i="29"/>
  <c r="AR31" i="29"/>
  <c r="AJ31" i="29"/>
  <c r="AB31" i="29"/>
  <c r="T31" i="29"/>
  <c r="CE31" i="29"/>
  <c r="BW31" i="29"/>
  <c r="BO31" i="29"/>
  <c r="BG31" i="29"/>
  <c r="AY31" i="29"/>
  <c r="AQ31" i="29"/>
  <c r="AI31" i="29"/>
  <c r="AA31" i="29"/>
  <c r="S31" i="29"/>
  <c r="CD31" i="29"/>
  <c r="BV31" i="29"/>
  <c r="BN31" i="29"/>
  <c r="AX31" i="29"/>
  <c r="R31" i="29"/>
  <c r="AW31" i="29"/>
  <c r="Q31" i="29"/>
  <c r="CK31" i="29"/>
  <c r="AP31" i="29"/>
  <c r="CC31" i="29"/>
  <c r="AO31" i="29"/>
  <c r="BU31" i="29"/>
  <c r="AH31" i="29"/>
  <c r="BM31" i="29"/>
  <c r="AG31" i="29"/>
  <c r="BF31" i="29"/>
  <c r="Z31" i="29"/>
  <c r="BE31" i="29"/>
  <c r="Y31" i="29"/>
  <c r="AC72" i="28"/>
  <c r="AC71" i="28"/>
  <c r="AB73" i="28"/>
  <c r="AB71" i="28"/>
  <c r="DE45" i="28"/>
  <c r="DD48" i="28"/>
  <c r="AC33" i="28"/>
  <c r="AC73" i="28"/>
  <c r="DF64" i="28"/>
  <c r="DF68" i="28"/>
  <c r="DG62" i="28"/>
  <c r="DF65" i="28"/>
  <c r="DF66" i="28" s="1"/>
  <c r="DF37" i="28"/>
  <c r="DE40" i="28"/>
  <c r="DE41" i="28" s="1"/>
  <c r="DF53" i="28"/>
  <c r="DE56" i="28"/>
  <c r="DE57" i="28" s="1"/>
  <c r="AC31" i="28"/>
  <c r="AM21" i="28"/>
  <c r="AL24" i="28"/>
  <c r="BU53" i="28"/>
  <c r="BT56" i="28"/>
  <c r="AC51" i="28"/>
  <c r="AC49" i="28"/>
  <c r="AC47" i="28"/>
  <c r="AP40" i="28"/>
  <c r="AE29" i="28"/>
  <c r="AD32" i="28"/>
  <c r="AC35" i="28"/>
  <c r="AF13" i="28"/>
  <c r="AE16" i="28"/>
  <c r="CJ12" i="29"/>
  <c r="CB12" i="29"/>
  <c r="BT12" i="29"/>
  <c r="BL12" i="29"/>
  <c r="BD12" i="29"/>
  <c r="AV12" i="29"/>
  <c r="AN12" i="29"/>
  <c r="AF12" i="29"/>
  <c r="X12" i="29"/>
  <c r="P12" i="29"/>
  <c r="CH12" i="29"/>
  <c r="BR12" i="29"/>
  <c r="BB12" i="29"/>
  <c r="AD12" i="29"/>
  <c r="CG12" i="29"/>
  <c r="BQ12" i="29"/>
  <c r="BI12" i="29"/>
  <c r="AS12" i="29"/>
  <c r="AC12" i="29"/>
  <c r="CF12" i="29"/>
  <c r="BP12" i="29"/>
  <c r="BH12" i="29"/>
  <c r="AR12" i="29"/>
  <c r="AB12" i="29"/>
  <c r="CE12" i="29"/>
  <c r="AY12" i="29"/>
  <c r="AI12" i="29"/>
  <c r="S12" i="29"/>
  <c r="CD12" i="29"/>
  <c r="AX12" i="29"/>
  <c r="AH12" i="29"/>
  <c r="R12" i="29"/>
  <c r="CC12" i="29"/>
  <c r="BE12" i="29"/>
  <c r="AO12" i="29"/>
  <c r="Y12" i="29"/>
  <c r="CI12" i="29"/>
  <c r="CA12" i="29"/>
  <c r="BS12" i="29"/>
  <c r="BK12" i="29"/>
  <c r="BC12" i="29"/>
  <c r="AU12" i="29"/>
  <c r="AM12" i="29"/>
  <c r="AE12" i="29"/>
  <c r="W12" i="29"/>
  <c r="O12" i="29"/>
  <c r="BZ12" i="29"/>
  <c r="BJ12" i="29"/>
  <c r="AT12" i="29"/>
  <c r="AL12" i="29"/>
  <c r="V12" i="29"/>
  <c r="BY12" i="29"/>
  <c r="BA12" i="29"/>
  <c r="AK12" i="29"/>
  <c r="U12" i="29"/>
  <c r="BX12" i="29"/>
  <c r="AZ12" i="29"/>
  <c r="AJ12" i="29"/>
  <c r="T12" i="29"/>
  <c r="BW12" i="29"/>
  <c r="BO12" i="29"/>
  <c r="BG12" i="29"/>
  <c r="AQ12" i="29"/>
  <c r="AA12" i="29"/>
  <c r="BV12" i="29"/>
  <c r="BN12" i="29"/>
  <c r="BF12" i="29"/>
  <c r="AP12" i="29"/>
  <c r="Z12" i="29"/>
  <c r="CK12" i="29"/>
  <c r="BU12" i="29"/>
  <c r="BM12" i="29"/>
  <c r="AW12" i="29"/>
  <c r="AG12" i="29"/>
  <c r="Q12" i="29"/>
  <c r="CG10" i="29"/>
  <c r="BY10" i="29"/>
  <c r="BQ10" i="29"/>
  <c r="BI10" i="29"/>
  <c r="BA10" i="29"/>
  <c r="AS10" i="29"/>
  <c r="AK10" i="29"/>
  <c r="AC10" i="29"/>
  <c r="U10" i="29"/>
  <c r="BU10" i="29"/>
  <c r="AV10" i="29"/>
  <c r="CI10" i="29"/>
  <c r="BC10" i="29"/>
  <c r="AE10" i="29"/>
  <c r="BJ10" i="29"/>
  <c r="AL10" i="29"/>
  <c r="CF10" i="29"/>
  <c r="BX10" i="29"/>
  <c r="BP10" i="29"/>
  <c r="BH10" i="29"/>
  <c r="AZ10" i="29"/>
  <c r="AR10" i="29"/>
  <c r="AJ10" i="29"/>
  <c r="AB10" i="29"/>
  <c r="T10" i="29"/>
  <c r="CK10" i="29"/>
  <c r="AW10" i="29"/>
  <c r="AG10" i="29"/>
  <c r="Q10" i="29"/>
  <c r="CJ10" i="29"/>
  <c r="BL10" i="29"/>
  <c r="AN10" i="29"/>
  <c r="P10" i="29"/>
  <c r="BK10" i="29"/>
  <c r="CH10" i="29"/>
  <c r="BB10" i="29"/>
  <c r="V10" i="29"/>
  <c r="CE10" i="29"/>
  <c r="BW10" i="29"/>
  <c r="BO10" i="29"/>
  <c r="BG10" i="29"/>
  <c r="AY10" i="29"/>
  <c r="AQ10" i="29"/>
  <c r="AI10" i="29"/>
  <c r="AA10" i="29"/>
  <c r="S10" i="29"/>
  <c r="CC10" i="29"/>
  <c r="BE10" i="29"/>
  <c r="AO10" i="29"/>
  <c r="Y10" i="29"/>
  <c r="CB10" i="29"/>
  <c r="BD10" i="29"/>
  <c r="X10" i="29"/>
  <c r="CA10" i="29"/>
  <c r="AM10" i="29"/>
  <c r="BR10" i="29"/>
  <c r="AT10" i="29"/>
  <c r="AD10" i="29"/>
  <c r="CD10" i="29"/>
  <c r="BV10" i="29"/>
  <c r="BN10" i="29"/>
  <c r="BF10" i="29"/>
  <c r="AX10" i="29"/>
  <c r="AP10" i="29"/>
  <c r="AH10" i="29"/>
  <c r="Z10" i="29"/>
  <c r="R10" i="29"/>
  <c r="BM10" i="29"/>
  <c r="BT10" i="29"/>
  <c r="AF10" i="29"/>
  <c r="BS10" i="29"/>
  <c r="AU10" i="29"/>
  <c r="W10" i="29"/>
  <c r="BZ10" i="29"/>
  <c r="CE11" i="29"/>
  <c r="BW11" i="29"/>
  <c r="BO11" i="29"/>
  <c r="BG11" i="29"/>
  <c r="AY11" i="29"/>
  <c r="AQ11" i="29"/>
  <c r="AI11" i="29"/>
  <c r="AA11" i="29"/>
  <c r="S11" i="29"/>
  <c r="CD11" i="29"/>
  <c r="BV11" i="29"/>
  <c r="BN11" i="29"/>
  <c r="BF11" i="29"/>
  <c r="AX11" i="29"/>
  <c r="AP11" i="29"/>
  <c r="AH11" i="29"/>
  <c r="Z11" i="29"/>
  <c r="R11" i="29"/>
  <c r="CK11" i="29"/>
  <c r="CC11" i="29"/>
  <c r="BU11" i="29"/>
  <c r="BM11" i="29"/>
  <c r="BE11" i="29"/>
  <c r="AW11" i="29"/>
  <c r="AO11" i="29"/>
  <c r="AG11" i="29"/>
  <c r="Y11" i="29"/>
  <c r="Q11" i="29"/>
  <c r="CJ11" i="29"/>
  <c r="CB11" i="29"/>
  <c r="BT11" i="29"/>
  <c r="BL11" i="29"/>
  <c r="BD11" i="29"/>
  <c r="AV11" i="29"/>
  <c r="AN11" i="29"/>
  <c r="AF11" i="29"/>
  <c r="X11" i="29"/>
  <c r="P11" i="29"/>
  <c r="CI11" i="29"/>
  <c r="CA11" i="29"/>
  <c r="BS11" i="29"/>
  <c r="BK11" i="29"/>
  <c r="BC11" i="29"/>
  <c r="AU11" i="29"/>
  <c r="AM11" i="29"/>
  <c r="AE11" i="29"/>
  <c r="W11" i="29"/>
  <c r="O11" i="29"/>
  <c r="CH11" i="29"/>
  <c r="BZ11" i="29"/>
  <c r="BR11" i="29"/>
  <c r="BJ11" i="29"/>
  <c r="BB11" i="29"/>
  <c r="AT11" i="29"/>
  <c r="AL11" i="29"/>
  <c r="AD11" i="29"/>
  <c r="V11" i="29"/>
  <c r="CG11" i="29"/>
  <c r="BY11" i="29"/>
  <c r="BQ11" i="29"/>
  <c r="BI11" i="29"/>
  <c r="BA11" i="29"/>
  <c r="AS11" i="29"/>
  <c r="AK11" i="29"/>
  <c r="AC11" i="29"/>
  <c r="U11" i="29"/>
  <c r="CF11" i="29"/>
  <c r="BX11" i="29"/>
  <c r="BP11" i="29"/>
  <c r="BH11" i="29"/>
  <c r="AZ11" i="29"/>
  <c r="AR11" i="29"/>
  <c r="AJ11" i="29"/>
  <c r="AB11" i="29"/>
  <c r="T11" i="29"/>
  <c r="AL30" i="1"/>
  <c r="J14" i="30"/>
  <c r="J15" i="30"/>
  <c r="J11" i="30"/>
  <c r="J12" i="30"/>
  <c r="J18" i="30"/>
  <c r="AF18" i="28" l="1"/>
  <c r="AF14" i="28"/>
  <c r="DF45" i="28"/>
  <c r="DE48" i="28"/>
  <c r="AD33" i="28"/>
  <c r="DG37" i="28"/>
  <c r="DF40" i="28"/>
  <c r="DF41" i="28" s="1"/>
  <c r="DG64" i="28"/>
  <c r="DH64" i="28" s="1"/>
  <c r="DG65" i="28"/>
  <c r="DG66" i="28" s="1"/>
  <c r="DG68" i="28"/>
  <c r="DH68" i="28" s="1"/>
  <c r="DG53" i="28"/>
  <c r="DF56" i="28"/>
  <c r="DF57" i="28" s="1"/>
  <c r="AD31" i="28"/>
  <c r="AN21" i="28"/>
  <c r="AM24" i="28"/>
  <c r="BV53" i="28"/>
  <c r="BU56" i="28"/>
  <c r="AD51" i="28"/>
  <c r="AD47" i="28"/>
  <c r="AD48" i="28"/>
  <c r="AD49" i="28" s="1"/>
  <c r="AE48" i="28"/>
  <c r="AQ40" i="28"/>
  <c r="AF29" i="28"/>
  <c r="AE32" i="28"/>
  <c r="AE72" i="28"/>
  <c r="AD35" i="28"/>
  <c r="AG13" i="28"/>
  <c r="AF16" i="28"/>
  <c r="AM30" i="1"/>
  <c r="K7" i="30"/>
  <c r="K14" i="30" s="1"/>
  <c r="K6" i="30"/>
  <c r="K13" i="30" s="1"/>
  <c r="K5" i="30"/>
  <c r="K12" i="30" s="1"/>
  <c r="K4" i="30"/>
  <c r="K11" i="30" s="1"/>
  <c r="I38" i="29"/>
  <c r="AF11" i="1"/>
  <c r="AG31" i="1" s="1"/>
  <c r="G38" i="29"/>
  <c r="AC11" i="1" s="1"/>
  <c r="H38" i="29"/>
  <c r="F38" i="29"/>
  <c r="AK135" i="1" l="1"/>
  <c r="AK7" i="1"/>
  <c r="AK8" i="1" s="1"/>
  <c r="AK9" i="1" s="1"/>
  <c r="AG18" i="28"/>
  <c r="AG14" i="28"/>
  <c r="DG45" i="28"/>
  <c r="DF48" i="28"/>
  <c r="AD72" i="28"/>
  <c r="AD71" i="28"/>
  <c r="AD73" i="28"/>
  <c r="AE71" i="28"/>
  <c r="AE33" i="28"/>
  <c r="AE73" i="28"/>
  <c r="DG40" i="28"/>
  <c r="DG41" i="28" s="1"/>
  <c r="DG56" i="28"/>
  <c r="DG57" i="28" s="1"/>
  <c r="AF31" i="1"/>
  <c r="AE31" i="28"/>
  <c r="AO21" i="28"/>
  <c r="AN24" i="28"/>
  <c r="BW53" i="28"/>
  <c r="BV56" i="28"/>
  <c r="AE49" i="28"/>
  <c r="AE47" i="28"/>
  <c r="AE51" i="28"/>
  <c r="AR40" i="28"/>
  <c r="AG29" i="28"/>
  <c r="AF32" i="28"/>
  <c r="AE35" i="28"/>
  <c r="AH13" i="28"/>
  <c r="AG16" i="28"/>
  <c r="AE11" i="1"/>
  <c r="F41" i="29"/>
  <c r="AB11" i="1"/>
  <c r="C13" i="37" s="1"/>
  <c r="H41" i="29"/>
  <c r="AD11" i="1"/>
  <c r="AN30" i="1"/>
  <c r="K15" i="30"/>
  <c r="K4" i="29"/>
  <c r="AG12" i="1" s="1"/>
  <c r="H15" i="32" s="1"/>
  <c r="I41" i="29"/>
  <c r="G41" i="29"/>
  <c r="F23" i="32" l="1"/>
  <c r="D13" i="37"/>
  <c r="C14" i="37"/>
  <c r="C22" i="37" s="1"/>
  <c r="AH18" i="28"/>
  <c r="AH14" i="28"/>
  <c r="AF71" i="28"/>
  <c r="DH45" i="28"/>
  <c r="DG48" i="28"/>
  <c r="AF31" i="28"/>
  <c r="AF72" i="28"/>
  <c r="AF33" i="28"/>
  <c r="AP21" i="28"/>
  <c r="AO24" i="28"/>
  <c r="BX53" i="28"/>
  <c r="BW56" i="28"/>
  <c r="AG48" i="28"/>
  <c r="AF47" i="28"/>
  <c r="AF48" i="28"/>
  <c r="AF49" i="28" s="1"/>
  <c r="AF51" i="28"/>
  <c r="AS40" i="28"/>
  <c r="AH29" i="28"/>
  <c r="AG32" i="28"/>
  <c r="AF35" i="28"/>
  <c r="AI13" i="28"/>
  <c r="AH16" i="28"/>
  <c r="D23" i="32"/>
  <c r="E23" i="32"/>
  <c r="G13" i="31"/>
  <c r="AO30" i="1"/>
  <c r="L4" i="29"/>
  <c r="M7" i="30"/>
  <c r="M14" i="30" s="1"/>
  <c r="M15" i="30"/>
  <c r="M6" i="30"/>
  <c r="M13" i="30" s="1"/>
  <c r="M5" i="30"/>
  <c r="M12" i="30" s="1"/>
  <c r="M4" i="30"/>
  <c r="M11" i="30" s="1"/>
  <c r="C30" i="37" l="1"/>
  <c r="D14" i="37"/>
  <c r="G13" i="37"/>
  <c r="E13" i="37"/>
  <c r="AI14" i="28"/>
  <c r="AI18" i="28"/>
  <c r="AH12" i="1"/>
  <c r="I15" i="32" s="1"/>
  <c r="DH48" i="28"/>
  <c r="AG71" i="28"/>
  <c r="AF73" i="28"/>
  <c r="AG31" i="28"/>
  <c r="AG72" i="28"/>
  <c r="AG33" i="28"/>
  <c r="AG73" i="28"/>
  <c r="AQ21" i="28"/>
  <c r="AP24" i="28"/>
  <c r="BX56" i="28"/>
  <c r="AG51" i="28"/>
  <c r="AG49" i="28"/>
  <c r="AG47" i="28"/>
  <c r="AT40" i="28"/>
  <c r="AI29" i="28"/>
  <c r="AH32" i="28"/>
  <c r="AG35" i="28"/>
  <c r="AJ13" i="28"/>
  <c r="AI16" i="28"/>
  <c r="C23" i="32"/>
  <c r="AP30" i="1"/>
  <c r="E14" i="37" l="1"/>
  <c r="D22" i="37"/>
  <c r="G14" i="37"/>
  <c r="C34" i="37"/>
  <c r="C35" i="37" s="1"/>
  <c r="C31" i="37"/>
  <c r="AJ14" i="28"/>
  <c r="AJ18" i="28"/>
  <c r="AJ11" i="1"/>
  <c r="AH31" i="28"/>
  <c r="AH72" i="28"/>
  <c r="AH33" i="28"/>
  <c r="AH73" i="28"/>
  <c r="AR21" i="28"/>
  <c r="AQ24" i="28"/>
  <c r="BZ53" i="28"/>
  <c r="BY56" i="28"/>
  <c r="AI48" i="28"/>
  <c r="AH47" i="28"/>
  <c r="AH48" i="28"/>
  <c r="AH49" i="28" s="1"/>
  <c r="AH51" i="28"/>
  <c r="AU40" i="28"/>
  <c r="AJ29" i="28"/>
  <c r="AI32" i="28"/>
  <c r="AI71" i="28"/>
  <c r="AK13" i="28"/>
  <c r="AJ16" i="28"/>
  <c r="AH35" i="28"/>
  <c r="AQ30" i="1"/>
  <c r="O7" i="30"/>
  <c r="O14" i="30" s="1"/>
  <c r="O15" i="30"/>
  <c r="O5" i="30"/>
  <c r="O12" i="30" s="1"/>
  <c r="O6" i="30"/>
  <c r="O13" i="30" s="1"/>
  <c r="O4" i="30"/>
  <c r="O11" i="30" s="1"/>
  <c r="K18" i="30"/>
  <c r="D30" i="37" l="1"/>
  <c r="E22" i="37"/>
  <c r="G22" i="37"/>
  <c r="AK18" i="28"/>
  <c r="AK14" i="28"/>
  <c r="AJ31" i="1"/>
  <c r="AH71" i="28"/>
  <c r="AI33" i="28"/>
  <c r="AI73" i="28"/>
  <c r="AI31" i="28"/>
  <c r="AI72" i="28"/>
  <c r="AI49" i="28"/>
  <c r="AS21" i="28"/>
  <c r="AR24" i="28"/>
  <c r="CA53" i="28"/>
  <c r="BZ56" i="28"/>
  <c r="AI51" i="28"/>
  <c r="AI47" i="28"/>
  <c r="AV40" i="28"/>
  <c r="AK29" i="28"/>
  <c r="AJ32" i="28"/>
  <c r="AI35" i="28"/>
  <c r="AK16" i="28"/>
  <c r="AL13" i="28"/>
  <c r="AR30" i="1"/>
  <c r="P8" i="30"/>
  <c r="P15" i="30" s="1"/>
  <c r="P4" i="30"/>
  <c r="P11" i="30" s="1"/>
  <c r="P7" i="30"/>
  <c r="P14" i="30" s="1"/>
  <c r="P6" i="30"/>
  <c r="P13" i="30" s="1"/>
  <c r="P5" i="30"/>
  <c r="P12" i="30" s="1"/>
  <c r="E24" i="37" l="1"/>
  <c r="G24" i="37"/>
  <c r="D34" i="37"/>
  <c r="D31" i="37"/>
  <c r="G30" i="37"/>
  <c r="E30" i="37"/>
  <c r="AL14" i="28"/>
  <c r="AL18" i="28"/>
  <c r="AJ31" i="28"/>
  <c r="AJ33" i="28"/>
  <c r="AT21" i="28"/>
  <c r="AS24" i="28"/>
  <c r="CB53" i="28"/>
  <c r="CA56" i="28"/>
  <c r="AJ48" i="28"/>
  <c r="AJ49" i="28" s="1"/>
  <c r="AJ51" i="28"/>
  <c r="AJ47" i="28"/>
  <c r="AW40" i="28"/>
  <c r="AL29" i="28"/>
  <c r="AK32" i="28"/>
  <c r="AJ35" i="28"/>
  <c r="AM13" i="28"/>
  <c r="AL16" i="28"/>
  <c r="AS30" i="1"/>
  <c r="P4" i="29"/>
  <c r="P39" i="29" s="1"/>
  <c r="Q6" i="30"/>
  <c r="Q13" i="30" s="1"/>
  <c r="Q7" i="30"/>
  <c r="Q14" i="30" s="1"/>
  <c r="Q8" i="30"/>
  <c r="Q15" i="30" s="1"/>
  <c r="Q4" i="30"/>
  <c r="Q11" i="30" s="1"/>
  <c r="Q5" i="30"/>
  <c r="Q12" i="30" s="1"/>
  <c r="G31" i="37" l="1"/>
  <c r="E31" i="37"/>
  <c r="D35" i="37"/>
  <c r="E34" i="37"/>
  <c r="G34" i="37"/>
  <c r="AM14" i="28"/>
  <c r="AM18" i="28"/>
  <c r="AL135" i="1"/>
  <c r="AL12" i="1"/>
  <c r="AJ73" i="28"/>
  <c r="AJ72" i="28"/>
  <c r="AJ71" i="28"/>
  <c r="AK31" i="28"/>
  <c r="AK33" i="28"/>
  <c r="AK73" i="28"/>
  <c r="AU21" i="28"/>
  <c r="AT24" i="28"/>
  <c r="CC53" i="28"/>
  <c r="CB56" i="28"/>
  <c r="AK48" i="28"/>
  <c r="AK49" i="28" s="1"/>
  <c r="AK51" i="28"/>
  <c r="AK47" i="28"/>
  <c r="AX40" i="28"/>
  <c r="AM29" i="28"/>
  <c r="AL32" i="28"/>
  <c r="AK35" i="28"/>
  <c r="AN13" i="28"/>
  <c r="AM16" i="28"/>
  <c r="AT30" i="1"/>
  <c r="Q4" i="29"/>
  <c r="Q39" i="29" s="1"/>
  <c r="R8" i="30"/>
  <c r="R4" i="30"/>
  <c r="R11" i="30" s="1"/>
  <c r="R5" i="30"/>
  <c r="R12" i="30" s="1"/>
  <c r="S3" i="30"/>
  <c r="R7" i="30"/>
  <c r="R14" i="30" s="1"/>
  <c r="R6" i="30"/>
  <c r="R13" i="30" s="1"/>
  <c r="E35" i="37" l="1"/>
  <c r="G35" i="37"/>
  <c r="AN18" i="28"/>
  <c r="AN14" i="28"/>
  <c r="Q9" i="29"/>
  <c r="AM12" i="1"/>
  <c r="N15" i="32" s="1"/>
  <c r="M15" i="32"/>
  <c r="R15" i="30"/>
  <c r="R17" i="30"/>
  <c r="AM135" i="1"/>
  <c r="AK72" i="28"/>
  <c r="AK71" i="28"/>
  <c r="AL31" i="28"/>
  <c r="AL33" i="28"/>
  <c r="AL73" i="28"/>
  <c r="AV21" i="28"/>
  <c r="AU24" i="28"/>
  <c r="CD53" i="28"/>
  <c r="CC56" i="28"/>
  <c r="AL51" i="28"/>
  <c r="AL48" i="28"/>
  <c r="AL49" i="28" s="1"/>
  <c r="AL47" i="28"/>
  <c r="AY40" i="28"/>
  <c r="AN29" i="28"/>
  <c r="AM32" i="28"/>
  <c r="AL35" i="28"/>
  <c r="AN16" i="28"/>
  <c r="AO13" i="28"/>
  <c r="AU30" i="1"/>
  <c r="S7" i="30"/>
  <c r="S14" i="30" s="1"/>
  <c r="S4" i="30"/>
  <c r="S11" i="30" s="1"/>
  <c r="S5" i="30"/>
  <c r="S12" i="30" s="1"/>
  <c r="T3" i="30"/>
  <c r="S6" i="30"/>
  <c r="S13" i="30" s="1"/>
  <c r="S8" i="30"/>
  <c r="S15" i="30" s="1"/>
  <c r="M18" i="30"/>
  <c r="AO18" i="28" l="1"/>
  <c r="AO14" i="28"/>
  <c r="P15" i="32"/>
  <c r="E18" i="5"/>
  <c r="S17" i="30"/>
  <c r="T17" i="30" s="1"/>
  <c r="R4" i="29"/>
  <c r="R39" i="29" s="1"/>
  <c r="AL72" i="28"/>
  <c r="AL71" i="28"/>
  <c r="AM33" i="28"/>
  <c r="AM31" i="28"/>
  <c r="AW21" i="28"/>
  <c r="AV24" i="28"/>
  <c r="CE53" i="28"/>
  <c r="CD56" i="28"/>
  <c r="AM47" i="28"/>
  <c r="AM48" i="28"/>
  <c r="AM49" i="28" s="1"/>
  <c r="AM51" i="28"/>
  <c r="AZ40" i="28"/>
  <c r="AO29" i="28"/>
  <c r="AN32" i="28"/>
  <c r="AM35" i="28"/>
  <c r="AP13" i="28"/>
  <c r="AO16" i="28"/>
  <c r="AV30" i="1"/>
  <c r="O18" i="30"/>
  <c r="T7" i="30"/>
  <c r="T14" i="30" s="1"/>
  <c r="T8" i="30"/>
  <c r="T15" i="30" s="1"/>
  <c r="T5" i="30"/>
  <c r="T12" i="30" s="1"/>
  <c r="U3" i="30"/>
  <c r="T6" i="30"/>
  <c r="T13" i="30" s="1"/>
  <c r="T4" i="30"/>
  <c r="T11" i="30" s="1"/>
  <c r="S4" i="29"/>
  <c r="S39" i="29" s="1"/>
  <c r="AP18" i="28" l="1"/>
  <c r="AP14" i="28"/>
  <c r="R9" i="29"/>
  <c r="AO12" i="1"/>
  <c r="D15" i="34" s="1"/>
  <c r="AN12" i="1"/>
  <c r="AN135" i="1"/>
  <c r="AO135" i="1"/>
  <c r="S9" i="29"/>
  <c r="AM71" i="28"/>
  <c r="AM72" i="28"/>
  <c r="AM73" i="28"/>
  <c r="AN33" i="28"/>
  <c r="AN73" i="28"/>
  <c r="AN31" i="28"/>
  <c r="AX21" i="28"/>
  <c r="AW24" i="28"/>
  <c r="CF53" i="28"/>
  <c r="CE56" i="28"/>
  <c r="AN48" i="28"/>
  <c r="AN49" i="28" s="1"/>
  <c r="AN47" i="28"/>
  <c r="AN51" i="28"/>
  <c r="BA40" i="28"/>
  <c r="AP29" i="28"/>
  <c r="AO32" i="28"/>
  <c r="AN35" i="28"/>
  <c r="AP16" i="28"/>
  <c r="AQ13" i="28"/>
  <c r="AW30" i="1"/>
  <c r="T4" i="29"/>
  <c r="T39" i="29" s="1"/>
  <c r="U7" i="30"/>
  <c r="U14" i="30" s="1"/>
  <c r="U8" i="30"/>
  <c r="U15" i="30" s="1"/>
  <c r="U6" i="30"/>
  <c r="U13" i="30" s="1"/>
  <c r="U5" i="30"/>
  <c r="U12" i="30" s="1"/>
  <c r="U4" i="30"/>
  <c r="U11" i="30" s="1"/>
  <c r="V3" i="30"/>
  <c r="AQ14" i="28" l="1"/>
  <c r="AQ18" i="28"/>
  <c r="AP12" i="1"/>
  <c r="E15" i="34" s="1"/>
  <c r="U17" i="30"/>
  <c r="U4" i="29" s="1"/>
  <c r="U39" i="29" s="1"/>
  <c r="C15" i="34"/>
  <c r="AP135" i="1"/>
  <c r="T9" i="29"/>
  <c r="AN72" i="28"/>
  <c r="AN71" i="28"/>
  <c r="AO33" i="28"/>
  <c r="AO31" i="28"/>
  <c r="AO72" i="28"/>
  <c r="AO35" i="28"/>
  <c r="AY21" i="28"/>
  <c r="AX24" i="28"/>
  <c r="CG53" i="28"/>
  <c r="CF56" i="28"/>
  <c r="AO51" i="28"/>
  <c r="AO47" i="28"/>
  <c r="AO48" i="28"/>
  <c r="AO49" i="28" s="1"/>
  <c r="BB40" i="28"/>
  <c r="AQ29" i="28"/>
  <c r="AP32" i="28"/>
  <c r="AQ16" i="28"/>
  <c r="AR13" i="28"/>
  <c r="AX30" i="1"/>
  <c r="Q18" i="30"/>
  <c r="V7" i="30"/>
  <c r="V14" i="30" s="1"/>
  <c r="V8" i="30"/>
  <c r="V15" i="30" s="1"/>
  <c r="V6" i="30"/>
  <c r="V13" i="30" s="1"/>
  <c r="V4" i="30"/>
  <c r="V11" i="30" s="1"/>
  <c r="V5" i="30"/>
  <c r="V12" i="30" s="1"/>
  <c r="W3" i="30"/>
  <c r="P18" i="30"/>
  <c r="AR14" i="28" l="1"/>
  <c r="AR18" i="28"/>
  <c r="U9" i="29"/>
  <c r="AQ135" i="1"/>
  <c r="AQ12" i="1"/>
  <c r="V17" i="30"/>
  <c r="AO73" i="28"/>
  <c r="AO71" i="28"/>
  <c r="AP31" i="28"/>
  <c r="AP33" i="28"/>
  <c r="AP73" i="28"/>
  <c r="AP35" i="28"/>
  <c r="AZ21" i="28"/>
  <c r="AY24" i="28"/>
  <c r="CH53" i="28"/>
  <c r="CG56" i="28"/>
  <c r="AP47" i="28"/>
  <c r="AP48" i="28"/>
  <c r="AP49" i="28" s="1"/>
  <c r="AP51" i="28"/>
  <c r="AQ48" i="28"/>
  <c r="BC40" i="28"/>
  <c r="AR29" i="28"/>
  <c r="AQ32" i="28"/>
  <c r="AR16" i="28"/>
  <c r="AS13" i="28"/>
  <c r="AY30" i="1"/>
  <c r="W7" i="30"/>
  <c r="W14" i="30" s="1"/>
  <c r="W8" i="30"/>
  <c r="W15" i="30" s="1"/>
  <c r="W5" i="30"/>
  <c r="W12" i="30" s="1"/>
  <c r="X3" i="30"/>
  <c r="W4" i="30"/>
  <c r="W11" i="30" s="1"/>
  <c r="W6" i="30"/>
  <c r="W13" i="30" s="1"/>
  <c r="AS18" i="28" l="1"/>
  <c r="AS14" i="28"/>
  <c r="V4" i="29"/>
  <c r="V39" i="29" s="1"/>
  <c r="F15" i="34"/>
  <c r="W17" i="30"/>
  <c r="AJ167" i="1"/>
  <c r="J13" i="32"/>
  <c r="I13" i="32"/>
  <c r="AQ71" i="28"/>
  <c r="AP72" i="28"/>
  <c r="AP71" i="28"/>
  <c r="AQ33" i="28"/>
  <c r="AQ73" i="28"/>
  <c r="AQ31" i="28"/>
  <c r="AQ72" i="28"/>
  <c r="AQ35" i="28"/>
  <c r="BA21" i="28"/>
  <c r="AZ24" i="28"/>
  <c r="CI53" i="28"/>
  <c r="CH56" i="28"/>
  <c r="AQ51" i="28"/>
  <c r="AQ49" i="28"/>
  <c r="AQ47" i="28"/>
  <c r="AR48" i="28"/>
  <c r="AR49" i="28" s="1"/>
  <c r="BD40" i="28"/>
  <c r="AS29" i="28"/>
  <c r="AR32" i="28"/>
  <c r="AT13" i="28"/>
  <c r="AS16" i="28"/>
  <c r="I13" i="31"/>
  <c r="K13" i="32"/>
  <c r="AZ30" i="1"/>
  <c r="K41" i="29"/>
  <c r="X8" i="30"/>
  <c r="X15" i="30" s="1"/>
  <c r="X5" i="30"/>
  <c r="X12" i="30" s="1"/>
  <c r="X7" i="30"/>
  <c r="X14" i="30" s="1"/>
  <c r="X4" i="30"/>
  <c r="X11" i="30" s="1"/>
  <c r="Y3" i="30"/>
  <c r="X6" i="30"/>
  <c r="X13" i="30" s="1"/>
  <c r="W4" i="29"/>
  <c r="W39" i="29" s="1"/>
  <c r="R18" i="30"/>
  <c r="AT14" i="28" l="1"/>
  <c r="AT18" i="28"/>
  <c r="V9" i="29"/>
  <c r="AR135" i="1"/>
  <c r="AR12" i="1"/>
  <c r="W9" i="29"/>
  <c r="AS135" i="1"/>
  <c r="AS12" i="1"/>
  <c r="H15" i="34" s="1"/>
  <c r="X17" i="30"/>
  <c r="AR71" i="28"/>
  <c r="AR33" i="28"/>
  <c r="AR73" i="28"/>
  <c r="AR31" i="28"/>
  <c r="AR72" i="28"/>
  <c r="AR35" i="28"/>
  <c r="BB21" i="28"/>
  <c r="BA24" i="28"/>
  <c r="AR51" i="28"/>
  <c r="AR47" i="28"/>
  <c r="CJ53" i="28"/>
  <c r="CI56" i="28"/>
  <c r="BE40" i="28"/>
  <c r="AT29" i="28"/>
  <c r="AS32" i="28"/>
  <c r="AM24" i="1"/>
  <c r="AT16" i="28"/>
  <c r="AU13" i="28"/>
  <c r="K13" i="31"/>
  <c r="H13" i="31"/>
  <c r="H14" i="31" s="1"/>
  <c r="BA30" i="1"/>
  <c r="O38" i="29"/>
  <c r="S18" i="30"/>
  <c r="Y6" i="30"/>
  <c r="Y13" i="30" s="1"/>
  <c r="Y7" i="30"/>
  <c r="Y14" i="30" s="1"/>
  <c r="Y4" i="30"/>
  <c r="Y11" i="30" s="1"/>
  <c r="Z3" i="30"/>
  <c r="Y5" i="30"/>
  <c r="Y12" i="30" s="1"/>
  <c r="Y8" i="30"/>
  <c r="Y15" i="30" s="1"/>
  <c r="AK11" i="1" l="1"/>
  <c r="O40" i="29"/>
  <c r="AU14" i="28"/>
  <c r="AU18" i="28"/>
  <c r="AK128" i="1"/>
  <c r="AK104" i="1"/>
  <c r="AK105" i="1" s="1"/>
  <c r="G15" i="34"/>
  <c r="Y17" i="30"/>
  <c r="AJ166" i="1"/>
  <c r="J13" i="31"/>
  <c r="AS33" i="28"/>
  <c r="AS31" i="28"/>
  <c r="AS35" i="28"/>
  <c r="BC21" i="28"/>
  <c r="BB24" i="28"/>
  <c r="CK53" i="28"/>
  <c r="CJ56" i="28"/>
  <c r="AS51" i="28"/>
  <c r="AS47" i="28"/>
  <c r="AS48" i="28"/>
  <c r="AS49" i="28" s="1"/>
  <c r="AT48" i="28"/>
  <c r="BF40" i="28"/>
  <c r="AU29" i="28"/>
  <c r="AT32" i="28"/>
  <c r="N19" i="32"/>
  <c r="N17" i="31"/>
  <c r="AU16" i="28"/>
  <c r="AV13" i="28"/>
  <c r="X4" i="29"/>
  <c r="X39" i="29" s="1"/>
  <c r="BB30" i="1"/>
  <c r="L41" i="29"/>
  <c r="Z8" i="30"/>
  <c r="Z15" i="30" s="1"/>
  <c r="Z7" i="30"/>
  <c r="Z14" i="30" s="1"/>
  <c r="Z4" i="30"/>
  <c r="Z11" i="30" s="1"/>
  <c r="AA3" i="30"/>
  <c r="Z5" i="30"/>
  <c r="Z12" i="30" s="1"/>
  <c r="Z6" i="30"/>
  <c r="Z13" i="30" s="1"/>
  <c r="T18" i="30"/>
  <c r="AK25" i="1" l="1"/>
  <c r="AV18" i="28"/>
  <c r="AV14" i="28"/>
  <c r="AT12" i="1"/>
  <c r="AT135" i="1"/>
  <c r="Y4" i="29"/>
  <c r="Y39" i="29" s="1"/>
  <c r="Z17" i="30"/>
  <c r="L13" i="32"/>
  <c r="X9" i="29"/>
  <c r="AS73" i="28"/>
  <c r="AS72" i="28"/>
  <c r="AT71" i="28"/>
  <c r="AS71" i="28"/>
  <c r="AT33" i="28"/>
  <c r="AT73" i="28"/>
  <c r="AT31" i="28"/>
  <c r="AT72" i="28"/>
  <c r="AT35" i="28"/>
  <c r="BD21" i="28"/>
  <c r="BC24" i="28"/>
  <c r="CL53" i="28"/>
  <c r="CK56" i="28"/>
  <c r="AT47" i="28"/>
  <c r="AT51" i="28"/>
  <c r="AT49" i="28"/>
  <c r="BG40" i="28"/>
  <c r="AV29" i="28"/>
  <c r="AU32" i="28"/>
  <c r="AV16" i="28"/>
  <c r="AW13" i="28"/>
  <c r="L13" i="31"/>
  <c r="BC30" i="1"/>
  <c r="M41" i="29"/>
  <c r="R38" i="29"/>
  <c r="P38" i="29"/>
  <c r="P40" i="29" s="1"/>
  <c r="Q40" i="29" s="1"/>
  <c r="R40" i="29" s="1"/>
  <c r="Q38" i="29"/>
  <c r="AA7" i="30"/>
  <c r="AA14" i="30" s="1"/>
  <c r="AA4" i="30"/>
  <c r="AA11" i="30" s="1"/>
  <c r="AB3" i="30"/>
  <c r="AA8" i="30"/>
  <c r="AA15" i="30" s="1"/>
  <c r="AA5" i="30"/>
  <c r="AA12" i="30" s="1"/>
  <c r="AA6" i="30"/>
  <c r="AA13" i="30" s="1"/>
  <c r="U18" i="30"/>
  <c r="V18" i="30"/>
  <c r="AK26" i="1" l="1"/>
  <c r="AW18" i="28"/>
  <c r="AW14" i="28"/>
  <c r="AU12" i="1"/>
  <c r="J15" i="34" s="1"/>
  <c r="AU135" i="1"/>
  <c r="Z4" i="29"/>
  <c r="Z39" i="29" s="1"/>
  <c r="Y9" i="29"/>
  <c r="I15" i="34"/>
  <c r="AA17" i="30"/>
  <c r="AU31" i="28"/>
  <c r="AU33" i="28"/>
  <c r="AU35" i="28"/>
  <c r="BE21" i="28"/>
  <c r="BD24" i="28"/>
  <c r="CM53" i="28"/>
  <c r="CL56" i="28"/>
  <c r="AU48" i="28"/>
  <c r="AU49" i="28" s="1"/>
  <c r="AU51" i="28"/>
  <c r="AU47" i="28"/>
  <c r="BH40" i="28"/>
  <c r="AW29" i="28"/>
  <c r="AV32" i="28"/>
  <c r="AX13" i="28"/>
  <c r="AW16" i="28"/>
  <c r="AN7" i="1"/>
  <c r="AM7" i="1"/>
  <c r="N13" i="31" s="1"/>
  <c r="AM11" i="1"/>
  <c r="N13" i="32" s="1"/>
  <c r="AL11" i="1"/>
  <c r="AN11" i="1"/>
  <c r="BD30" i="1"/>
  <c r="O41" i="29"/>
  <c r="AB7" i="30"/>
  <c r="AB14" i="30" s="1"/>
  <c r="AB8" i="30"/>
  <c r="AB15" i="30" s="1"/>
  <c r="AC3" i="30"/>
  <c r="AB5" i="30"/>
  <c r="AB12" i="30" s="1"/>
  <c r="AB6" i="30"/>
  <c r="AB13" i="30" s="1"/>
  <c r="AB4" i="30"/>
  <c r="AB11" i="30" s="1"/>
  <c r="X18" i="30"/>
  <c r="W18" i="30"/>
  <c r="M13" i="32" l="1"/>
  <c r="H13" i="37"/>
  <c r="AK27" i="1"/>
  <c r="AK33" i="1" s="1"/>
  <c r="AK79" i="1" s="1"/>
  <c r="AK89" i="1" s="1"/>
  <c r="AK82" i="1"/>
  <c r="AK115" i="1"/>
  <c r="AK116" i="1" s="1"/>
  <c r="AX18" i="28"/>
  <c r="AX14" i="28"/>
  <c r="AV12" i="1"/>
  <c r="AV135" i="1"/>
  <c r="Z9" i="29"/>
  <c r="AA4" i="29"/>
  <c r="AA39" i="29" s="1"/>
  <c r="AB17" i="30"/>
  <c r="AB4" i="29" s="1"/>
  <c r="AB39" i="29" s="1"/>
  <c r="AL128" i="1"/>
  <c r="AM128" i="1" s="1"/>
  <c r="AN128" i="1" s="1"/>
  <c r="AU72" i="28"/>
  <c r="AU73" i="28"/>
  <c r="AU71" i="28"/>
  <c r="AV35" i="28"/>
  <c r="AV33" i="28"/>
  <c r="AV31" i="28"/>
  <c r="BF21" i="28"/>
  <c r="BE24" i="28"/>
  <c r="CN53" i="28"/>
  <c r="CM56" i="28"/>
  <c r="AV47" i="28"/>
  <c r="AV51" i="28"/>
  <c r="AV48" i="28"/>
  <c r="AV49" i="28" s="1"/>
  <c r="BI40" i="28"/>
  <c r="AX29" i="28"/>
  <c r="AW32" i="28"/>
  <c r="AY13" i="28"/>
  <c r="AX16" i="28"/>
  <c r="C13" i="34"/>
  <c r="AL7" i="1"/>
  <c r="P13" i="32"/>
  <c r="BE30" i="1"/>
  <c r="AC7" i="30"/>
  <c r="AC14" i="30" s="1"/>
  <c r="AC8" i="30"/>
  <c r="AC15" i="30" s="1"/>
  <c r="AC6" i="30"/>
  <c r="AC13" i="30" s="1"/>
  <c r="AC5" i="30"/>
  <c r="AC12" i="30" s="1"/>
  <c r="AC4" i="30"/>
  <c r="AC11" i="30" s="1"/>
  <c r="Y18" i="30"/>
  <c r="H14" i="37" l="1"/>
  <c r="I13" i="37"/>
  <c r="K13" i="37"/>
  <c r="K14" i="37" s="1"/>
  <c r="AY14" i="28"/>
  <c r="AY18" i="28"/>
  <c r="AX12" i="1"/>
  <c r="M15" i="34" s="1"/>
  <c r="AW12" i="1"/>
  <c r="L15" i="34" s="1"/>
  <c r="AW135" i="1"/>
  <c r="AA9" i="29"/>
  <c r="K15" i="34"/>
  <c r="AC17" i="30"/>
  <c r="AC4" i="29" s="1"/>
  <c r="AC39" i="29" s="1"/>
  <c r="AX135" i="1"/>
  <c r="AB9" i="29"/>
  <c r="AV73" i="28"/>
  <c r="AV71" i="28"/>
  <c r="AV72" i="28"/>
  <c r="AW33" i="28"/>
  <c r="AW35" i="28"/>
  <c r="AW71" i="28"/>
  <c r="AW31" i="28"/>
  <c r="BG21" i="28"/>
  <c r="BF24" i="28"/>
  <c r="CO53" i="28"/>
  <c r="CN56" i="28"/>
  <c r="AW51" i="28"/>
  <c r="AW47" i="28"/>
  <c r="AW48" i="28"/>
  <c r="AW49" i="28" s="1"/>
  <c r="BJ40" i="28"/>
  <c r="AY29" i="28"/>
  <c r="AX32" i="28"/>
  <c r="AY16" i="28"/>
  <c r="AZ13" i="28"/>
  <c r="M13" i="31"/>
  <c r="BF30" i="1"/>
  <c r="P41" i="29"/>
  <c r="AD7" i="30"/>
  <c r="AD14" i="30" s="1"/>
  <c r="AD8" i="30"/>
  <c r="AD15" i="30" s="1"/>
  <c r="AD6" i="30"/>
  <c r="AD13" i="30" s="1"/>
  <c r="AD4" i="30"/>
  <c r="AD11" i="30" s="1"/>
  <c r="AE3" i="30"/>
  <c r="AD5" i="30"/>
  <c r="AD12" i="30" s="1"/>
  <c r="Z18" i="30"/>
  <c r="I14" i="37" l="1"/>
  <c r="AZ14" i="28"/>
  <c r="AZ18" i="28"/>
  <c r="AD17" i="30"/>
  <c r="AE17" i="30" s="1"/>
  <c r="AC9" i="29"/>
  <c r="AY12" i="1"/>
  <c r="N15" i="34" s="1"/>
  <c r="P15" i="34" s="1"/>
  <c r="AY135" i="1"/>
  <c r="AW73" i="28"/>
  <c r="AW72" i="28"/>
  <c r="AX31" i="28"/>
  <c r="AX35" i="28"/>
  <c r="AX71" i="28"/>
  <c r="AX33" i="28"/>
  <c r="AX73" i="28"/>
  <c r="BH21" i="28"/>
  <c r="BG24" i="28"/>
  <c r="CP53" i="28"/>
  <c r="CO56" i="28"/>
  <c r="AX47" i="28"/>
  <c r="AX48" i="28"/>
  <c r="AX49" i="28" s="1"/>
  <c r="AX51" i="28"/>
  <c r="BK40" i="28"/>
  <c r="AZ29" i="28"/>
  <c r="AY32" i="28"/>
  <c r="AR6" i="1"/>
  <c r="BA13" i="28"/>
  <c r="AZ16" i="28"/>
  <c r="BG30" i="1"/>
  <c r="AD4" i="29"/>
  <c r="AD39" i="29" s="1"/>
  <c r="Q41" i="29"/>
  <c r="S38" i="29"/>
  <c r="S40" i="29" s="1"/>
  <c r="AE7" i="30"/>
  <c r="AE14" i="30" s="1"/>
  <c r="AE8" i="30"/>
  <c r="AE5" i="30"/>
  <c r="AE12" i="30" s="1"/>
  <c r="AE6" i="30"/>
  <c r="AE13" i="30" s="1"/>
  <c r="AF3" i="30"/>
  <c r="AE4" i="30"/>
  <c r="AE11" i="30" s="1"/>
  <c r="AA18" i="30"/>
  <c r="R41" i="29"/>
  <c r="BA14" i="28" l="1"/>
  <c r="BA18" i="28"/>
  <c r="AF17" i="30"/>
  <c r="AG17" i="30" s="1"/>
  <c r="AH17" i="30" s="1"/>
  <c r="AZ12" i="1"/>
  <c r="AZ135" i="1"/>
  <c r="AD9" i="29"/>
  <c r="AX72" i="28"/>
  <c r="AY31" i="28"/>
  <c r="AY33" i="28"/>
  <c r="AY35" i="28"/>
  <c r="AY71" i="28"/>
  <c r="BI21" i="28"/>
  <c r="BH24" i="28"/>
  <c r="CQ53" i="28"/>
  <c r="CP56" i="28"/>
  <c r="AY47" i="28"/>
  <c r="AY48" i="28"/>
  <c r="AY49" i="28" s="1"/>
  <c r="AY51" i="28"/>
  <c r="AZ48" i="28"/>
  <c r="BL40" i="28"/>
  <c r="BA29" i="28"/>
  <c r="AZ31" i="28"/>
  <c r="AZ32" i="28"/>
  <c r="AS6" i="1"/>
  <c r="BB13" i="28"/>
  <c r="BA16" i="28"/>
  <c r="AO11" i="1"/>
  <c r="AO128" i="1" s="1"/>
  <c r="BH30" i="1"/>
  <c r="U38" i="29"/>
  <c r="T38" i="29"/>
  <c r="T40" i="29" s="1"/>
  <c r="U40" i="29" s="1"/>
  <c r="V40" i="29" s="1"/>
  <c r="AE15" i="30"/>
  <c r="AE4" i="29"/>
  <c r="AE39" i="29" s="1"/>
  <c r="AF8" i="30"/>
  <c r="AF7" i="30"/>
  <c r="AF14" i="30" s="1"/>
  <c r="AF6" i="30"/>
  <c r="AF13" i="30" s="1"/>
  <c r="AF4" i="30"/>
  <c r="AF11" i="30" s="1"/>
  <c r="AG3" i="30"/>
  <c r="AF5" i="30"/>
  <c r="AF12" i="30" s="1"/>
  <c r="AB18" i="30"/>
  <c r="V38" i="29"/>
  <c r="BB14" i="28" l="1"/>
  <c r="BB18" i="28"/>
  <c r="AI17" i="30"/>
  <c r="AE9" i="29"/>
  <c r="BA12" i="1"/>
  <c r="BA135" i="1"/>
  <c r="AY73" i="28"/>
  <c r="AY72" i="28"/>
  <c r="AZ72" i="28"/>
  <c r="AZ33" i="28"/>
  <c r="AZ73" i="28"/>
  <c r="AZ35" i="28"/>
  <c r="AZ71" i="28"/>
  <c r="BJ21" i="28"/>
  <c r="BI24" i="28"/>
  <c r="CR53" i="28"/>
  <c r="CQ56" i="28"/>
  <c r="AZ51" i="28"/>
  <c r="AZ47" i="28"/>
  <c r="AZ49" i="28"/>
  <c r="BM40" i="28"/>
  <c r="BB29" i="28"/>
  <c r="BA32" i="28"/>
  <c r="BB16" i="28"/>
  <c r="BC13" i="28"/>
  <c r="D13" i="34"/>
  <c r="AQ7" i="1"/>
  <c r="AP7" i="1"/>
  <c r="AR7" i="1"/>
  <c r="AP11" i="1"/>
  <c r="E13" i="34" s="1"/>
  <c r="AR11" i="1"/>
  <c r="G13" i="34" s="1"/>
  <c r="AO7" i="1"/>
  <c r="AQ11" i="1"/>
  <c r="F13" i="34" s="1"/>
  <c r="BI30" i="1"/>
  <c r="S41" i="29"/>
  <c r="AF15" i="30"/>
  <c r="AG6" i="30"/>
  <c r="AG13" i="30" s="1"/>
  <c r="AG7" i="30"/>
  <c r="AG14" i="30" s="1"/>
  <c r="AG4" i="30"/>
  <c r="AG11" i="30" s="1"/>
  <c r="AH3" i="30"/>
  <c r="AG5" i="30"/>
  <c r="AG12" i="30" s="1"/>
  <c r="AG8" i="30"/>
  <c r="AG15" i="30" s="1"/>
  <c r="BC14" i="28" l="1"/>
  <c r="BC18" i="28"/>
  <c r="AJ17" i="30"/>
  <c r="AP128" i="1"/>
  <c r="AQ128" i="1" s="1"/>
  <c r="AR128" i="1" s="1"/>
  <c r="BA31" i="28"/>
  <c r="BA35" i="28"/>
  <c r="BA33" i="28"/>
  <c r="BA73" i="28"/>
  <c r="BK21" i="28"/>
  <c r="BJ24" i="28"/>
  <c r="CS53" i="28"/>
  <c r="CR56" i="28"/>
  <c r="BA51" i="28"/>
  <c r="BA47" i="28"/>
  <c r="BA48" i="28"/>
  <c r="BA49" i="28" s="1"/>
  <c r="BB48" i="28"/>
  <c r="BN40" i="28"/>
  <c r="BC29" i="28"/>
  <c r="BB32" i="28"/>
  <c r="BC16" i="28"/>
  <c r="BD13" i="28"/>
  <c r="AG4" i="29"/>
  <c r="AF4" i="29"/>
  <c r="AF39" i="29" s="1"/>
  <c r="BJ30" i="1"/>
  <c r="T41" i="29"/>
  <c r="AH8" i="30"/>
  <c r="AH15" i="30" s="1"/>
  <c r="AH4" i="30"/>
  <c r="AH11" i="30" s="1"/>
  <c r="AI3" i="30"/>
  <c r="AH5" i="30"/>
  <c r="AH12" i="30" s="1"/>
  <c r="AH7" i="30"/>
  <c r="AH14" i="30" s="1"/>
  <c r="AH6" i="30"/>
  <c r="AH13" i="30" s="1"/>
  <c r="AC18" i="30"/>
  <c r="BD18" i="28" l="1"/>
  <c r="BD14" i="28"/>
  <c r="AG39" i="29"/>
  <c r="BC135" i="1" s="1"/>
  <c r="BB135" i="1"/>
  <c r="BB12" i="1"/>
  <c r="BC12" i="1"/>
  <c r="AK17" i="30"/>
  <c r="AG9" i="29"/>
  <c r="AF9" i="29"/>
  <c r="BA71" i="28"/>
  <c r="BA72" i="28"/>
  <c r="BB31" i="28"/>
  <c r="BB72" i="28"/>
  <c r="BB33" i="28"/>
  <c r="BB73" i="28"/>
  <c r="BB35" i="28"/>
  <c r="BB71" i="28"/>
  <c r="BL21" i="28"/>
  <c r="BK24" i="28"/>
  <c r="CT53" i="28"/>
  <c r="CS56" i="28"/>
  <c r="BB49" i="28"/>
  <c r="BB51" i="28"/>
  <c r="BB47" i="28"/>
  <c r="BO40" i="28"/>
  <c r="BD29" i="28"/>
  <c r="BC32" i="28"/>
  <c r="BD16" i="28"/>
  <c r="BE13" i="28"/>
  <c r="BK30" i="1"/>
  <c r="AH4" i="29"/>
  <c r="AH39" i="29" s="1"/>
  <c r="W38" i="29"/>
  <c r="W40" i="29" s="1"/>
  <c r="X40" i="29" s="1"/>
  <c r="X38" i="29"/>
  <c r="AI7" i="30"/>
  <c r="AI14" i="30" s="1"/>
  <c r="AI4" i="30"/>
  <c r="AI11" i="30" s="1"/>
  <c r="AJ3" i="30"/>
  <c r="AI8" i="30"/>
  <c r="AI15" i="30" s="1"/>
  <c r="AI5" i="30"/>
  <c r="AI12" i="30" s="1"/>
  <c r="AI6" i="30"/>
  <c r="AI13" i="30" s="1"/>
  <c r="AD18" i="30"/>
  <c r="BE18" i="28" l="1"/>
  <c r="BE14" i="28"/>
  <c r="BD12" i="1"/>
  <c r="BD135" i="1"/>
  <c r="AL17" i="30"/>
  <c r="AH9" i="29"/>
  <c r="BC35" i="28"/>
  <c r="BC71" i="28"/>
  <c r="BC31" i="28"/>
  <c r="BC33" i="28"/>
  <c r="BM21" i="28"/>
  <c r="BL24" i="28"/>
  <c r="CU53" i="28"/>
  <c r="CT56" i="28"/>
  <c r="BC47" i="28"/>
  <c r="BC48" i="28"/>
  <c r="BC49" i="28" s="1"/>
  <c r="BC51" i="28"/>
  <c r="BD48" i="28"/>
  <c r="BP40" i="28"/>
  <c r="BE29" i="28"/>
  <c r="BD32" i="28"/>
  <c r="BE16" i="28"/>
  <c r="BF13" i="28"/>
  <c r="AI4" i="29"/>
  <c r="AI39" i="29" s="1"/>
  <c r="AT7" i="1"/>
  <c r="AT11" i="1"/>
  <c r="I13" i="34" s="1"/>
  <c r="AS11" i="1"/>
  <c r="AS128" i="1" s="1"/>
  <c r="BL30" i="1"/>
  <c r="U41" i="29"/>
  <c r="V41" i="29"/>
  <c r="AF18" i="30"/>
  <c r="AG18" i="30"/>
  <c r="AJ7" i="30"/>
  <c r="AJ14" i="30" s="1"/>
  <c r="AJ8" i="30"/>
  <c r="AK3" i="30"/>
  <c r="AJ6" i="30"/>
  <c r="AJ13" i="30" s="1"/>
  <c r="AJ5" i="30"/>
  <c r="AJ12" i="30" s="1"/>
  <c r="AJ4" i="30"/>
  <c r="AJ11" i="30" s="1"/>
  <c r="AE18" i="30"/>
  <c r="BF18" i="28" l="1"/>
  <c r="BF14" i="28"/>
  <c r="AT128" i="1"/>
  <c r="AI9" i="29"/>
  <c r="BE12" i="1"/>
  <c r="BE135" i="1"/>
  <c r="AM17" i="30"/>
  <c r="AN17" i="30" s="1"/>
  <c r="AJ4" i="29"/>
  <c r="AJ39" i="29" s="1"/>
  <c r="BC73" i="28"/>
  <c r="BC72" i="28"/>
  <c r="BD31" i="28"/>
  <c r="BD72" i="28"/>
  <c r="BD35" i="28"/>
  <c r="BD71" i="28"/>
  <c r="BD33" i="28"/>
  <c r="BD73" i="28"/>
  <c r="BN21" i="28"/>
  <c r="BM24" i="28"/>
  <c r="CV53" i="28"/>
  <c r="CU56" i="28"/>
  <c r="BD51" i="28"/>
  <c r="BD47" i="28"/>
  <c r="BD49" i="28"/>
  <c r="BQ40" i="28"/>
  <c r="BF29" i="28"/>
  <c r="BE32" i="28"/>
  <c r="BG13" i="28"/>
  <c r="BF16" i="28"/>
  <c r="H13" i="34"/>
  <c r="AS7" i="1"/>
  <c r="BM30" i="1"/>
  <c r="AA38" i="29"/>
  <c r="Y38" i="29"/>
  <c r="Y40" i="29" s="1"/>
  <c r="Z38" i="29"/>
  <c r="AJ15" i="30"/>
  <c r="AK7" i="30"/>
  <c r="AK14" i="30" s="1"/>
  <c r="AK8" i="30"/>
  <c r="AK15" i="30" s="1"/>
  <c r="AK6" i="30"/>
  <c r="AK13" i="30" s="1"/>
  <c r="AK5" i="30"/>
  <c r="AK12" i="30" s="1"/>
  <c r="AK4" i="30"/>
  <c r="AK11" i="30" s="1"/>
  <c r="AL3" i="30"/>
  <c r="Z40" i="29" l="1"/>
  <c r="AA40" i="29" s="1"/>
  <c r="BG14" i="28"/>
  <c r="BG18" i="28"/>
  <c r="BF12" i="1"/>
  <c r="AO17" i="30"/>
  <c r="BF135" i="1"/>
  <c r="AJ9" i="29"/>
  <c r="AK4" i="29"/>
  <c r="AK39" i="29" s="1"/>
  <c r="BE33" i="28"/>
  <c r="BE31" i="28"/>
  <c r="BE35" i="28"/>
  <c r="BO21" i="28"/>
  <c r="BN24" i="28"/>
  <c r="CV56" i="28"/>
  <c r="BE47" i="28"/>
  <c r="BE51" i="28"/>
  <c r="BE48" i="28"/>
  <c r="BE49" i="28" s="1"/>
  <c r="BR40" i="28"/>
  <c r="BG29" i="28"/>
  <c r="BF32" i="28"/>
  <c r="BG16" i="28"/>
  <c r="BH13" i="28"/>
  <c r="AW7" i="1"/>
  <c r="AV7" i="1"/>
  <c r="AU7" i="1"/>
  <c r="AV11" i="1"/>
  <c r="K13" i="34" s="1"/>
  <c r="AW11" i="1"/>
  <c r="L13" i="34" s="1"/>
  <c r="AU11" i="1"/>
  <c r="AU128" i="1" s="1"/>
  <c r="BN30" i="1"/>
  <c r="W41" i="29"/>
  <c r="AH18" i="30"/>
  <c r="AL7" i="30"/>
  <c r="AL14" i="30" s="1"/>
  <c r="AL8" i="30"/>
  <c r="AL15" i="30" s="1"/>
  <c r="AL5" i="30"/>
  <c r="AL12" i="30" s="1"/>
  <c r="AL4" i="30"/>
  <c r="AL11" i="30" s="1"/>
  <c r="AL6" i="30"/>
  <c r="AL13" i="30" s="1"/>
  <c r="AM3" i="30"/>
  <c r="BH14" i="28" l="1"/>
  <c r="BH18" i="28"/>
  <c r="AK9" i="29"/>
  <c r="BG12" i="1"/>
  <c r="BG135" i="1"/>
  <c r="AP17" i="30"/>
  <c r="AV128" i="1"/>
  <c r="AW128" i="1" s="1"/>
  <c r="BE71" i="28"/>
  <c r="BE72" i="28"/>
  <c r="BE73" i="28"/>
  <c r="BF33" i="28"/>
  <c r="BF35" i="28"/>
  <c r="BF31" i="28"/>
  <c r="BP21" i="28"/>
  <c r="BO24" i="28"/>
  <c r="BF47" i="28"/>
  <c r="BF48" i="28"/>
  <c r="BF49" i="28" s="1"/>
  <c r="BF51" i="28"/>
  <c r="BS40" i="28"/>
  <c r="BH29" i="28"/>
  <c r="BG32" i="28"/>
  <c r="BI13" i="28"/>
  <c r="BH16" i="28"/>
  <c r="J13" i="34"/>
  <c r="AL4" i="29"/>
  <c r="AL39" i="29" s="1"/>
  <c r="BO30" i="1"/>
  <c r="X41" i="29"/>
  <c r="AC38" i="29"/>
  <c r="AD38" i="29"/>
  <c r="AB38" i="29"/>
  <c r="AB40" i="29" s="1"/>
  <c r="AC40" i="29" s="1"/>
  <c r="AD40" i="29" s="1"/>
  <c r="AI18" i="30"/>
  <c r="AM7" i="30"/>
  <c r="AM14" i="30" s="1"/>
  <c r="AM8" i="30"/>
  <c r="AM15" i="30" s="1"/>
  <c r="AM5" i="30"/>
  <c r="AM12" i="30" s="1"/>
  <c r="AM6" i="30"/>
  <c r="AM13" i="30" s="1"/>
  <c r="AM4" i="30"/>
  <c r="AM11" i="30" s="1"/>
  <c r="AN3" i="30"/>
  <c r="BI18" i="28" l="1"/>
  <c r="BI14" i="28"/>
  <c r="BH12" i="1"/>
  <c r="AQ17" i="30"/>
  <c r="BH135" i="1"/>
  <c r="AL9" i="29"/>
  <c r="BF71" i="28"/>
  <c r="BF73" i="28"/>
  <c r="BF72" i="28"/>
  <c r="BG31" i="28"/>
  <c r="BG33" i="28"/>
  <c r="BG73" i="28"/>
  <c r="BQ21" i="28"/>
  <c r="BP24" i="28"/>
  <c r="BG47" i="28"/>
  <c r="BG48" i="28"/>
  <c r="BG49" i="28" s="1"/>
  <c r="BG51" i="28"/>
  <c r="BH48" i="28"/>
  <c r="BT40" i="28"/>
  <c r="BI29" i="28"/>
  <c r="BH71" i="28"/>
  <c r="BH32" i="28"/>
  <c r="BI16" i="28"/>
  <c r="BJ13" i="28"/>
  <c r="BG35" i="28"/>
  <c r="AY7" i="1"/>
  <c r="AX7" i="1"/>
  <c r="AZ7" i="1"/>
  <c r="AX11" i="1"/>
  <c r="M13" i="34" s="1"/>
  <c r="AZ11" i="1"/>
  <c r="AY11" i="1"/>
  <c r="N13" i="34" s="1"/>
  <c r="BP30" i="1"/>
  <c r="Z41" i="29"/>
  <c r="Y41" i="29"/>
  <c r="AM4" i="29"/>
  <c r="AM39" i="29" s="1"/>
  <c r="AN8" i="30"/>
  <c r="AN15" i="30" s="1"/>
  <c r="AN6" i="30"/>
  <c r="AN13" i="30" s="1"/>
  <c r="AN5" i="30"/>
  <c r="AN12" i="30" s="1"/>
  <c r="AN4" i="30"/>
  <c r="AN11" i="30" s="1"/>
  <c r="AO3" i="30"/>
  <c r="AN7" i="30"/>
  <c r="AN14" i="30" s="1"/>
  <c r="BJ14" i="28" l="1"/>
  <c r="BJ18" i="28"/>
  <c r="BI135" i="1"/>
  <c r="BI12" i="1"/>
  <c r="AR17" i="30"/>
  <c r="AX128" i="1"/>
  <c r="AY128" i="1" s="1"/>
  <c r="AZ128" i="1" s="1"/>
  <c r="AM9" i="29"/>
  <c r="BG72" i="28"/>
  <c r="BG71" i="28"/>
  <c r="BH33" i="28"/>
  <c r="BH73" i="28"/>
  <c r="BH31" i="28"/>
  <c r="BH72" i="28"/>
  <c r="BR21" i="28"/>
  <c r="BQ24" i="28"/>
  <c r="BH51" i="28"/>
  <c r="BH49" i="28"/>
  <c r="BH47" i="28"/>
  <c r="BU40" i="28"/>
  <c r="BJ29" i="28"/>
  <c r="BI32" i="28"/>
  <c r="BH35" i="28"/>
  <c r="BK13" i="28"/>
  <c r="BJ16" i="28"/>
  <c r="P13" i="34"/>
  <c r="BQ30" i="1"/>
  <c r="AO6" i="30"/>
  <c r="AO13" i="30" s="1"/>
  <c r="AO7" i="30"/>
  <c r="AO14" i="30" s="1"/>
  <c r="AO8" i="30"/>
  <c r="AO15" i="30" s="1"/>
  <c r="AO4" i="30"/>
  <c r="AO11" i="30" s="1"/>
  <c r="AO5" i="30"/>
  <c r="AO12" i="30" s="1"/>
  <c r="AJ18" i="30"/>
  <c r="BK14" i="28" l="1"/>
  <c r="BK18" i="28"/>
  <c r="AS17" i="30"/>
  <c r="BI31" i="28"/>
  <c r="BI33" i="28"/>
  <c r="BS21" i="28"/>
  <c r="BR24" i="28"/>
  <c r="BJ48" i="28"/>
  <c r="BI51" i="28"/>
  <c r="BI48" i="28"/>
  <c r="BI49" i="28" s="1"/>
  <c r="BI47" i="28"/>
  <c r="BV40" i="28"/>
  <c r="BK29" i="28"/>
  <c r="BJ71" i="28"/>
  <c r="BJ32" i="28"/>
  <c r="BI35" i="28"/>
  <c r="BL13" i="28"/>
  <c r="BK16" i="28"/>
  <c r="AO4" i="29"/>
  <c r="AN4" i="29"/>
  <c r="AN39" i="29" s="1"/>
  <c r="BR30" i="1"/>
  <c r="AE38" i="29"/>
  <c r="AE40" i="29" s="1"/>
  <c r="AA41" i="29"/>
  <c r="AK18" i="30"/>
  <c r="AP8" i="30"/>
  <c r="AP4" i="30"/>
  <c r="AP11" i="30" s="1"/>
  <c r="AP6" i="30"/>
  <c r="AP13" i="30" s="1"/>
  <c r="AQ3" i="30"/>
  <c r="AP5" i="30"/>
  <c r="AP12" i="30" s="1"/>
  <c r="AP7" i="30"/>
  <c r="AP14" i="30" s="1"/>
  <c r="BL18" i="28" l="1"/>
  <c r="BL14" i="28"/>
  <c r="AO39" i="29"/>
  <c r="BK135" i="1" s="1"/>
  <c r="BJ12" i="1"/>
  <c r="BK12" i="1"/>
  <c r="AT17" i="30"/>
  <c r="BJ135" i="1"/>
  <c r="AO9" i="29"/>
  <c r="AN9" i="29"/>
  <c r="BI73" i="28"/>
  <c r="BI72" i="28"/>
  <c r="BI71" i="28"/>
  <c r="BJ31" i="28"/>
  <c r="BJ72" i="28"/>
  <c r="BJ33" i="28"/>
  <c r="BJ73" i="28"/>
  <c r="BJ47" i="28"/>
  <c r="BT21" i="28"/>
  <c r="BS24" i="28"/>
  <c r="BJ49" i="28"/>
  <c r="BJ51" i="28"/>
  <c r="BW40" i="28"/>
  <c r="BL29" i="28"/>
  <c r="BK32" i="28"/>
  <c r="BJ35" i="28"/>
  <c r="BD6" i="1"/>
  <c r="BM13" i="28"/>
  <c r="BL16" i="28"/>
  <c r="BA11" i="1"/>
  <c r="BA128" i="1" s="1"/>
  <c r="BS30" i="1"/>
  <c r="AP15" i="30"/>
  <c r="AP4" i="29"/>
  <c r="AP39" i="29" s="1"/>
  <c r="AB41" i="29"/>
  <c r="AQ7" i="30"/>
  <c r="AQ14" i="30" s="1"/>
  <c r="AQ4" i="30"/>
  <c r="AQ11" i="30" s="1"/>
  <c r="AQ8" i="30"/>
  <c r="AQ6" i="30"/>
  <c r="AQ13" i="30" s="1"/>
  <c r="AR3" i="30"/>
  <c r="AQ5" i="30"/>
  <c r="AQ12" i="30" s="1"/>
  <c r="AL18" i="30"/>
  <c r="BM18" i="28" l="1"/>
  <c r="BM14" i="28"/>
  <c r="BL12" i="1"/>
  <c r="BL135" i="1"/>
  <c r="AU17" i="30"/>
  <c r="AP9" i="29"/>
  <c r="BK33" i="28"/>
  <c r="BK31" i="28"/>
  <c r="BU21" i="28"/>
  <c r="BT24" i="28"/>
  <c r="BL48" i="28"/>
  <c r="BK47" i="28"/>
  <c r="BK48" i="28"/>
  <c r="BK49" i="28" s="1"/>
  <c r="BK51" i="28"/>
  <c r="BX40" i="28"/>
  <c r="BM29" i="28"/>
  <c r="BL32" i="28"/>
  <c r="BK35" i="28"/>
  <c r="BE6" i="1"/>
  <c r="BM16" i="28"/>
  <c r="BN13" i="28"/>
  <c r="BA7" i="1"/>
  <c r="BT30" i="1"/>
  <c r="AH38" i="29"/>
  <c r="AC41" i="29"/>
  <c r="AG38" i="29"/>
  <c r="AF38" i="29"/>
  <c r="AF40" i="29" s="1"/>
  <c r="AG40" i="29" s="1"/>
  <c r="AM18" i="30"/>
  <c r="AN18" i="30"/>
  <c r="AR7" i="30"/>
  <c r="AR14" i="30" s="1"/>
  <c r="AR8" i="30"/>
  <c r="AR15" i="30" s="1"/>
  <c r="AR6" i="30"/>
  <c r="AR13" i="30" s="1"/>
  <c r="AS3" i="30"/>
  <c r="AR5" i="30"/>
  <c r="AR12" i="30" s="1"/>
  <c r="AR4" i="30"/>
  <c r="AR11" i="30" s="1"/>
  <c r="AQ15" i="30"/>
  <c r="AQ4" i="29"/>
  <c r="AQ39" i="29" s="1"/>
  <c r="AH40" i="29" l="1"/>
  <c r="BN18" i="28"/>
  <c r="BN14" i="28"/>
  <c r="BM12" i="1"/>
  <c r="AV17" i="30"/>
  <c r="BM135" i="1"/>
  <c r="AQ9" i="29"/>
  <c r="BK72" i="28"/>
  <c r="BL71" i="28"/>
  <c r="BK73" i="28"/>
  <c r="BK71" i="28"/>
  <c r="BL31" i="28"/>
  <c r="BL72" i="28"/>
  <c r="BL33" i="28"/>
  <c r="BL73" i="28"/>
  <c r="BL51" i="28"/>
  <c r="BV21" i="28"/>
  <c r="BU24" i="28"/>
  <c r="BL49" i="28"/>
  <c r="BL47" i="28"/>
  <c r="BY40" i="28"/>
  <c r="BN29" i="28"/>
  <c r="BM32" i="28"/>
  <c r="BL35" i="28"/>
  <c r="BN16" i="28"/>
  <c r="BO13" i="28"/>
  <c r="BC7" i="1"/>
  <c r="BD7" i="1"/>
  <c r="BB11" i="1"/>
  <c r="BB128" i="1" s="1"/>
  <c r="BC11" i="1"/>
  <c r="BD11" i="1"/>
  <c r="BU30" i="1"/>
  <c r="AI38" i="29"/>
  <c r="AD41" i="29"/>
  <c r="AR4" i="29"/>
  <c r="AR39" i="29" s="1"/>
  <c r="AS7" i="30"/>
  <c r="AS14" i="30" s="1"/>
  <c r="AS8" i="30"/>
  <c r="AS15" i="30" s="1"/>
  <c r="AS6" i="30"/>
  <c r="AS13" i="30" s="1"/>
  <c r="AT3" i="30"/>
  <c r="AS5" i="30"/>
  <c r="AS12" i="30" s="1"/>
  <c r="AS4" i="30"/>
  <c r="AS11" i="30" s="1"/>
  <c r="AO18" i="30"/>
  <c r="AJ38" i="29"/>
  <c r="AI40" i="29" l="1"/>
  <c r="AJ40" i="29" s="1"/>
  <c r="BO14" i="28"/>
  <c r="BO18" i="28"/>
  <c r="BN12" i="1"/>
  <c r="AW17" i="30"/>
  <c r="BC128" i="1"/>
  <c r="BD128" i="1" s="1"/>
  <c r="BN135" i="1"/>
  <c r="AR9" i="29"/>
  <c r="BM33" i="28"/>
  <c r="BM31" i="28"/>
  <c r="BW21" i="28"/>
  <c r="BV24" i="28"/>
  <c r="BM51" i="28"/>
  <c r="BM47" i="28"/>
  <c r="BM48" i="28"/>
  <c r="BM49" i="28" s="1"/>
  <c r="BN48" i="28"/>
  <c r="BZ40" i="28"/>
  <c r="BO29" i="28"/>
  <c r="BN32" i="28"/>
  <c r="BM35" i="28"/>
  <c r="BP13" i="28"/>
  <c r="BO16" i="28"/>
  <c r="BF7" i="1"/>
  <c r="BB7" i="1"/>
  <c r="BE7" i="1"/>
  <c r="BE11" i="1"/>
  <c r="BF11" i="1"/>
  <c r="BV30" i="1"/>
  <c r="AE41" i="29"/>
  <c r="AT7" i="30"/>
  <c r="AT14" i="30" s="1"/>
  <c r="AT8" i="30"/>
  <c r="AT15" i="30" s="1"/>
  <c r="AT5" i="30"/>
  <c r="AT12" i="30" s="1"/>
  <c r="AT4" i="30"/>
  <c r="AT11" i="30" s="1"/>
  <c r="AU3" i="30"/>
  <c r="AT6" i="30"/>
  <c r="AT13" i="30" s="1"/>
  <c r="AP18" i="30"/>
  <c r="AF41" i="29"/>
  <c r="BP14" i="28" l="1"/>
  <c r="BP18" i="28"/>
  <c r="AX17" i="30"/>
  <c r="BE128" i="1"/>
  <c r="BF128" i="1" s="1"/>
  <c r="BM72" i="28"/>
  <c r="BN73" i="28"/>
  <c r="BN71" i="28"/>
  <c r="BM73" i="28"/>
  <c r="BM71" i="28"/>
  <c r="BN31" i="28"/>
  <c r="BN72" i="28"/>
  <c r="BX21" i="28"/>
  <c r="BW24" i="28"/>
  <c r="BN47" i="28"/>
  <c r="BN51" i="28"/>
  <c r="BN49" i="28"/>
  <c r="CA40" i="28"/>
  <c r="BP29" i="28"/>
  <c r="BO32" i="28"/>
  <c r="BN35" i="28"/>
  <c r="BQ13" i="28"/>
  <c r="BP16" i="28"/>
  <c r="BN33" i="28"/>
  <c r="AT4" i="29"/>
  <c r="AS4" i="29"/>
  <c r="AS39" i="29" s="1"/>
  <c r="BW30" i="1"/>
  <c r="AK38" i="29"/>
  <c r="AK40" i="29" s="1"/>
  <c r="AU7" i="30"/>
  <c r="AU14" i="30" s="1"/>
  <c r="AU8" i="30"/>
  <c r="AU15" i="30" s="1"/>
  <c r="AU6" i="30"/>
  <c r="AU13" i="30" s="1"/>
  <c r="AU5" i="30"/>
  <c r="AU12" i="30" s="1"/>
  <c r="AV3" i="30"/>
  <c r="AU4" i="30"/>
  <c r="AU11" i="30" s="1"/>
  <c r="AQ18" i="30"/>
  <c r="AG41" i="29"/>
  <c r="BQ18" i="28" l="1"/>
  <c r="BQ14" i="28"/>
  <c r="AT39" i="29"/>
  <c r="BP135" i="1" s="1"/>
  <c r="BO12" i="1"/>
  <c r="BP12" i="1"/>
  <c r="AY17" i="30"/>
  <c r="BO135" i="1"/>
  <c r="AS9" i="29"/>
  <c r="AT9" i="29"/>
  <c r="BO31" i="28"/>
  <c r="BY21" i="28"/>
  <c r="BX24" i="28"/>
  <c r="BO47" i="28"/>
  <c r="BO48" i="28"/>
  <c r="BO49" i="28" s="1"/>
  <c r="BO51" i="28"/>
  <c r="CB40" i="28"/>
  <c r="BO35" i="28"/>
  <c r="BQ29" i="28"/>
  <c r="BP32" i="28"/>
  <c r="BO33" i="28"/>
  <c r="BQ16" i="28"/>
  <c r="BR13" i="28"/>
  <c r="BG7" i="1"/>
  <c r="BG11" i="1"/>
  <c r="BG128" i="1" s="1"/>
  <c r="BX30" i="1"/>
  <c r="AL38" i="29"/>
  <c r="AL40" i="29" s="1"/>
  <c r="AV8" i="30"/>
  <c r="AV15" i="30" s="1"/>
  <c r="AV6" i="30"/>
  <c r="AV13" i="30" s="1"/>
  <c r="AV5" i="30"/>
  <c r="AV12" i="30" s="1"/>
  <c r="AV4" i="30"/>
  <c r="AV11" i="30" s="1"/>
  <c r="AV7" i="30"/>
  <c r="AV14" i="30" s="1"/>
  <c r="AW3" i="30"/>
  <c r="AU4" i="29"/>
  <c r="AU39" i="29" s="1"/>
  <c r="AH41" i="29"/>
  <c r="BR14" i="28" l="1"/>
  <c r="BR18" i="28"/>
  <c r="BQ12" i="1"/>
  <c r="BQ135" i="1"/>
  <c r="AZ17" i="30"/>
  <c r="AU9" i="29"/>
  <c r="BO72" i="28"/>
  <c r="BO73" i="28"/>
  <c r="BO71" i="28"/>
  <c r="BP31" i="28"/>
  <c r="BP35" i="28"/>
  <c r="BZ21" i="28"/>
  <c r="BY24" i="28"/>
  <c r="BP48" i="28"/>
  <c r="BP49" i="28" s="1"/>
  <c r="BP47" i="28"/>
  <c r="BP51" i="28"/>
  <c r="BQ48" i="28"/>
  <c r="CC40" i="28"/>
  <c r="BR29" i="28"/>
  <c r="BQ32" i="28"/>
  <c r="BQ73" i="28" s="1"/>
  <c r="BP33" i="28"/>
  <c r="BS13" i="28"/>
  <c r="BR16" i="28"/>
  <c r="BH7" i="1"/>
  <c r="BH11" i="1"/>
  <c r="BH128" i="1" s="1"/>
  <c r="BY30" i="1"/>
  <c r="AW6" i="30"/>
  <c r="AW13" i="30" s="1"/>
  <c r="AW7" i="30"/>
  <c r="AW14" i="30" s="1"/>
  <c r="AW8" i="30"/>
  <c r="AW15" i="30" s="1"/>
  <c r="AW4" i="30"/>
  <c r="AW11" i="30" s="1"/>
  <c r="AX3" i="30"/>
  <c r="AW5" i="30"/>
  <c r="AW12" i="30" s="1"/>
  <c r="BS14" i="28" l="1"/>
  <c r="BS18" i="28"/>
  <c r="BA17" i="30"/>
  <c r="BB17" i="30" s="1"/>
  <c r="BP71" i="28"/>
  <c r="BP72" i="28"/>
  <c r="BP73" i="28"/>
  <c r="BQ31" i="28"/>
  <c r="BQ72" i="28"/>
  <c r="BQ35" i="28"/>
  <c r="BQ71" i="28"/>
  <c r="CA21" i="28"/>
  <c r="BZ24" i="28"/>
  <c r="BQ51" i="28"/>
  <c r="BQ47" i="28"/>
  <c r="BQ49" i="28"/>
  <c r="CD40" i="28"/>
  <c r="BS29" i="28"/>
  <c r="BR32" i="28"/>
  <c r="BQ33" i="28"/>
  <c r="BT13" i="28"/>
  <c r="BS16" i="28"/>
  <c r="AW4" i="29"/>
  <c r="AV4" i="29"/>
  <c r="AV39" i="29" s="1"/>
  <c r="BZ30" i="1"/>
  <c r="AI41" i="29"/>
  <c r="AN38" i="29"/>
  <c r="AM38" i="29"/>
  <c r="AM40" i="29" s="1"/>
  <c r="AN40" i="29" s="1"/>
  <c r="AR18" i="30"/>
  <c r="AX8" i="30"/>
  <c r="AX15" i="30" s="1"/>
  <c r="AX4" i="30"/>
  <c r="AX11" i="30" s="1"/>
  <c r="AY3" i="30"/>
  <c r="AX7" i="30"/>
  <c r="AX14" i="30" s="1"/>
  <c r="AX6" i="30"/>
  <c r="AX13" i="30" s="1"/>
  <c r="AX5" i="30"/>
  <c r="AX12" i="30" s="1"/>
  <c r="AS18" i="30"/>
  <c r="BT18" i="28" l="1"/>
  <c r="BT14" i="28"/>
  <c r="AW39" i="29"/>
  <c r="BS135" i="1" s="1"/>
  <c r="BR135" i="1"/>
  <c r="BR12" i="1"/>
  <c r="BS12" i="1"/>
  <c r="BC17" i="30"/>
  <c r="BD17" i="30" s="1"/>
  <c r="AW9" i="29"/>
  <c r="AV9" i="29"/>
  <c r="BR35" i="28"/>
  <c r="BR31" i="28"/>
  <c r="CB21" i="28"/>
  <c r="CA24" i="28"/>
  <c r="BR51" i="28"/>
  <c r="BR48" i="28"/>
  <c r="BR49" i="28" s="1"/>
  <c r="BR47" i="28"/>
  <c r="CE40" i="28"/>
  <c r="BT29" i="28"/>
  <c r="BS32" i="28"/>
  <c r="BR33" i="28"/>
  <c r="BT16" i="28"/>
  <c r="BU13" i="28"/>
  <c r="BJ7" i="1"/>
  <c r="BI7" i="1"/>
  <c r="BI11" i="1"/>
  <c r="BI128" i="1" s="1"/>
  <c r="BJ11" i="1"/>
  <c r="CA30" i="1"/>
  <c r="AX4" i="29"/>
  <c r="AX39" i="29" s="1"/>
  <c r="AJ41" i="29"/>
  <c r="AU18" i="30"/>
  <c r="AY7" i="30"/>
  <c r="AY14" i="30" s="1"/>
  <c r="AY4" i="30"/>
  <c r="AY11" i="30" s="1"/>
  <c r="AZ3" i="30"/>
  <c r="AY5" i="30"/>
  <c r="AY12" i="30" s="1"/>
  <c r="AY6" i="30"/>
  <c r="AY13" i="30" s="1"/>
  <c r="AY8" i="30"/>
  <c r="AY15" i="30" s="1"/>
  <c r="BU18" i="28" l="1"/>
  <c r="BU14" i="28"/>
  <c r="AX9" i="29"/>
  <c r="BT12" i="1"/>
  <c r="BE17" i="30"/>
  <c r="BJ128" i="1"/>
  <c r="BT135" i="1"/>
  <c r="BR72" i="28"/>
  <c r="BR71" i="28"/>
  <c r="BR73" i="28"/>
  <c r="BS35" i="28"/>
  <c r="BS31" i="28"/>
  <c r="CC21" i="28"/>
  <c r="CB24" i="28"/>
  <c r="BS48" i="28"/>
  <c r="BS49" i="28" s="1"/>
  <c r="BS47" i="28"/>
  <c r="BS51" i="28"/>
  <c r="BT48" i="28"/>
  <c r="CF40" i="28"/>
  <c r="BU29" i="28"/>
  <c r="BT32" i="28"/>
  <c r="BT71" i="28"/>
  <c r="BS33" i="28"/>
  <c r="BV13" i="28"/>
  <c r="BU16" i="28"/>
  <c r="CB30" i="1"/>
  <c r="AK41" i="29"/>
  <c r="AO38" i="29"/>
  <c r="AO40" i="29" s="1"/>
  <c r="AP40" i="29" s="1"/>
  <c r="AP38" i="29"/>
  <c r="AZ7" i="30"/>
  <c r="AZ14" i="30" s="1"/>
  <c r="AZ8" i="30"/>
  <c r="AZ15" i="30" s="1"/>
  <c r="BA3" i="30"/>
  <c r="AZ6" i="30"/>
  <c r="AZ13" i="30" s="1"/>
  <c r="AZ5" i="30"/>
  <c r="AZ12" i="30" s="1"/>
  <c r="AZ4" i="30"/>
  <c r="AZ11" i="30" s="1"/>
  <c r="AT18" i="30"/>
  <c r="AY4" i="29"/>
  <c r="AY39" i="29" s="1"/>
  <c r="BV18" i="28" l="1"/>
  <c r="BV14" i="28"/>
  <c r="BU12" i="1"/>
  <c r="BF17" i="30"/>
  <c r="BU135" i="1"/>
  <c r="AY9" i="29"/>
  <c r="BS71" i="28"/>
  <c r="BS73" i="28"/>
  <c r="BS72" i="28"/>
  <c r="BT73" i="28"/>
  <c r="BT31" i="28"/>
  <c r="BT72" i="28"/>
  <c r="CD21" i="28"/>
  <c r="CC24" i="28"/>
  <c r="BT49" i="28"/>
  <c r="BT47" i="28"/>
  <c r="BT51" i="28"/>
  <c r="BU48" i="28"/>
  <c r="CG40" i="28"/>
  <c r="BV29" i="28"/>
  <c r="BU32" i="28"/>
  <c r="BT33" i="28"/>
  <c r="BT35" i="28"/>
  <c r="BV16" i="28"/>
  <c r="BW13" i="28"/>
  <c r="BL7" i="1"/>
  <c r="BK7" i="1"/>
  <c r="BK11" i="1"/>
  <c r="BK128" i="1" s="1"/>
  <c r="BL11" i="1"/>
  <c r="CC30" i="1"/>
  <c r="AL41" i="29"/>
  <c r="AV18" i="30"/>
  <c r="BA7" i="30"/>
  <c r="BA14" i="30" s="1"/>
  <c r="BA8" i="30"/>
  <c r="BA15" i="30" s="1"/>
  <c r="BA6" i="30"/>
  <c r="BA13" i="30" s="1"/>
  <c r="BA5" i="30"/>
  <c r="BA12" i="30" s="1"/>
  <c r="BA4" i="30"/>
  <c r="BA11" i="30" s="1"/>
  <c r="BB3" i="30"/>
  <c r="BW18" i="28" l="1"/>
  <c r="BW14" i="28"/>
  <c r="BG17" i="30"/>
  <c r="BL128" i="1"/>
  <c r="BU73" i="28"/>
  <c r="BU71" i="28"/>
  <c r="BU31" i="28"/>
  <c r="BU72" i="28"/>
  <c r="BU47" i="28"/>
  <c r="BU51" i="28"/>
  <c r="BU49" i="28"/>
  <c r="CE21" i="28"/>
  <c r="CD24" i="28"/>
  <c r="BV47" i="28"/>
  <c r="BV48" i="28"/>
  <c r="CH40" i="28"/>
  <c r="BW29" i="28"/>
  <c r="BV32" i="28"/>
  <c r="BV71" i="28"/>
  <c r="BU33" i="28"/>
  <c r="BU35" i="28"/>
  <c r="BW16" i="28"/>
  <c r="BX13" i="28"/>
  <c r="BA4" i="29"/>
  <c r="AZ4" i="29"/>
  <c r="AZ39" i="29" s="1"/>
  <c r="CD30" i="1"/>
  <c r="AM41" i="29"/>
  <c r="BB7" i="30"/>
  <c r="BB14" i="30" s="1"/>
  <c r="BB8" i="30"/>
  <c r="BB15" i="30" s="1"/>
  <c r="BB6" i="30"/>
  <c r="BB13" i="30" s="1"/>
  <c r="BB4" i="30"/>
  <c r="BB11" i="30" s="1"/>
  <c r="BB5" i="30"/>
  <c r="BB12" i="30" s="1"/>
  <c r="BC3" i="30"/>
  <c r="AW18" i="30"/>
  <c r="BX14" i="28" l="1"/>
  <c r="BX18" i="28"/>
  <c r="BA39" i="29"/>
  <c r="BW135" i="1" s="1"/>
  <c r="BW12" i="1"/>
  <c r="BV135" i="1"/>
  <c r="BV12" i="1"/>
  <c r="BH17" i="30"/>
  <c r="BA9" i="29"/>
  <c r="AZ9" i="29"/>
  <c r="BV73" i="28"/>
  <c r="BV31" i="28"/>
  <c r="BV72" i="28"/>
  <c r="BV51" i="28"/>
  <c r="BV49" i="28"/>
  <c r="CF21" i="28"/>
  <c r="CE24" i="28"/>
  <c r="CI40" i="28"/>
  <c r="BV35" i="28"/>
  <c r="BX29" i="28"/>
  <c r="BW32" i="28"/>
  <c r="BV33" i="28"/>
  <c r="BP6" i="1"/>
  <c r="BY13" i="28"/>
  <c r="BX16" i="28"/>
  <c r="BB4" i="29"/>
  <c r="BB39" i="29" s="1"/>
  <c r="CE30" i="1"/>
  <c r="AN41" i="29"/>
  <c r="AR38" i="29"/>
  <c r="AQ38" i="29"/>
  <c r="AQ40" i="29" s="1"/>
  <c r="AR40" i="29" s="1"/>
  <c r="BC7" i="30"/>
  <c r="BC14" i="30" s="1"/>
  <c r="BC8" i="30"/>
  <c r="BC15" i="30" s="1"/>
  <c r="BC6" i="30"/>
  <c r="BC13" i="30" s="1"/>
  <c r="BC5" i="30"/>
  <c r="BC12" i="30" s="1"/>
  <c r="BD3" i="30"/>
  <c r="BC4" i="30"/>
  <c r="BC11" i="30" s="1"/>
  <c r="BY14" i="28" l="1"/>
  <c r="BY18" i="28"/>
  <c r="BI17" i="30"/>
  <c r="BB9" i="29"/>
  <c r="BX135" i="1"/>
  <c r="BX12" i="1"/>
  <c r="BW31" i="28"/>
  <c r="BW35" i="28"/>
  <c r="CG21" i="28"/>
  <c r="CF24" i="28"/>
  <c r="BW47" i="28"/>
  <c r="BW48" i="28"/>
  <c r="BW49" i="28" s="1"/>
  <c r="BW51" i="28"/>
  <c r="CJ40" i="28"/>
  <c r="BY29" i="28"/>
  <c r="BX32" i="28"/>
  <c r="BW33" i="28"/>
  <c r="BY16" i="28"/>
  <c r="BZ13" i="28"/>
  <c r="BN7" i="1"/>
  <c r="BM11" i="1"/>
  <c r="BM128" i="1" s="1"/>
  <c r="BN11" i="1"/>
  <c r="CF30" i="1"/>
  <c r="AO41" i="29"/>
  <c r="AS38" i="29"/>
  <c r="AS40" i="29" s="1"/>
  <c r="BC4" i="29"/>
  <c r="BC39" i="29" s="1"/>
  <c r="BD8" i="30"/>
  <c r="BD15" i="30" s="1"/>
  <c r="BD6" i="30"/>
  <c r="BD13" i="30" s="1"/>
  <c r="BD5" i="30"/>
  <c r="BD12" i="30" s="1"/>
  <c r="BD7" i="30"/>
  <c r="BD14" i="30" s="1"/>
  <c r="BD4" i="30"/>
  <c r="BD11" i="30" s="1"/>
  <c r="BE3" i="30"/>
  <c r="AX18" i="30"/>
  <c r="BZ14" i="28" l="1"/>
  <c r="BZ18" i="28"/>
  <c r="BY12" i="1"/>
  <c r="BJ17" i="30"/>
  <c r="BK17" i="30" s="1"/>
  <c r="BN128" i="1"/>
  <c r="BC9" i="29"/>
  <c r="BY135" i="1"/>
  <c r="BW72" i="28"/>
  <c r="BW73" i="28"/>
  <c r="BW71" i="28"/>
  <c r="BX31" i="28"/>
  <c r="BX35" i="28"/>
  <c r="CH21" i="28"/>
  <c r="CG24" i="28"/>
  <c r="BX48" i="28"/>
  <c r="BX49" i="28" s="1"/>
  <c r="BX51" i="28"/>
  <c r="BX47" i="28"/>
  <c r="CK40" i="28"/>
  <c r="BZ29" i="28"/>
  <c r="BY32" i="28"/>
  <c r="BX33" i="28"/>
  <c r="BR6" i="1"/>
  <c r="BQ6" i="1"/>
  <c r="CA13" i="28"/>
  <c r="BZ16" i="28"/>
  <c r="BO7" i="1"/>
  <c r="BO11" i="1"/>
  <c r="BM7" i="1"/>
  <c r="CG30" i="1"/>
  <c r="BD4" i="29"/>
  <c r="BD39" i="29" s="1"/>
  <c r="AP41" i="29"/>
  <c r="AQ41" i="29"/>
  <c r="AY18" i="30"/>
  <c r="BE6" i="30"/>
  <c r="BE13" i="30" s="1"/>
  <c r="BE7" i="30"/>
  <c r="BE14" i="30" s="1"/>
  <c r="BE5" i="30"/>
  <c r="BE12" i="30" s="1"/>
  <c r="BE4" i="30"/>
  <c r="BE11" i="30" s="1"/>
  <c r="BF3" i="30"/>
  <c r="BE8" i="30"/>
  <c r="BE15" i="30" s="1"/>
  <c r="CA14" i="28" l="1"/>
  <c r="CA18" i="28"/>
  <c r="BL17" i="30"/>
  <c r="BZ12" i="1"/>
  <c r="BO128" i="1"/>
  <c r="BZ135" i="1"/>
  <c r="BD9" i="29"/>
  <c r="BX71" i="28"/>
  <c r="BX72" i="28"/>
  <c r="BX73" i="28"/>
  <c r="BY31" i="28"/>
  <c r="BY35" i="28"/>
  <c r="CI21" i="28"/>
  <c r="CH24" i="28"/>
  <c r="BY51" i="28"/>
  <c r="BY47" i="28"/>
  <c r="BY48" i="28"/>
  <c r="BY49" i="28" s="1"/>
  <c r="CL40" i="28"/>
  <c r="CA29" i="28"/>
  <c r="BZ32" i="28"/>
  <c r="BY33" i="28"/>
  <c r="CA16" i="28"/>
  <c r="CB13" i="28"/>
  <c r="BE4" i="29"/>
  <c r="BE39" i="29" s="1"/>
  <c r="CH30" i="1"/>
  <c r="AU38" i="29"/>
  <c r="AT38" i="29"/>
  <c r="AT40" i="29" s="1"/>
  <c r="AU40" i="29" s="1"/>
  <c r="AR41" i="29"/>
  <c r="BF8" i="30"/>
  <c r="BF15" i="30" s="1"/>
  <c r="BF7" i="30"/>
  <c r="BF14" i="30" s="1"/>
  <c r="BF4" i="30"/>
  <c r="BF11" i="30" s="1"/>
  <c r="BF5" i="30"/>
  <c r="BF12" i="30" s="1"/>
  <c r="BG3" i="30"/>
  <c r="BF6" i="30"/>
  <c r="BF13" i="30" s="1"/>
  <c r="AZ18" i="30"/>
  <c r="BA18" i="30"/>
  <c r="AV38" i="29"/>
  <c r="AV40" i="29" l="1"/>
  <c r="CB18" i="28"/>
  <c r="CB14" i="28"/>
  <c r="CA12" i="1"/>
  <c r="BM17" i="30"/>
  <c r="CA135" i="1"/>
  <c r="BE9" i="29"/>
  <c r="BY73" i="28"/>
  <c r="BY71" i="28"/>
  <c r="BY72" i="28"/>
  <c r="BZ35" i="28"/>
  <c r="BZ31" i="28"/>
  <c r="CJ21" i="28"/>
  <c r="CI24" i="28"/>
  <c r="BZ51" i="28"/>
  <c r="BZ47" i="28"/>
  <c r="BZ48" i="28"/>
  <c r="BZ49" i="28" s="1"/>
  <c r="CM40" i="28"/>
  <c r="CB29" i="28"/>
  <c r="CA32" i="28"/>
  <c r="BZ33" i="28"/>
  <c r="CB16" i="28"/>
  <c r="CC13" i="28"/>
  <c r="BQ7" i="1"/>
  <c r="BR7" i="1"/>
  <c r="BR11" i="1"/>
  <c r="BP11" i="1"/>
  <c r="BP128" i="1" s="1"/>
  <c r="BQ11" i="1"/>
  <c r="CI30" i="1"/>
  <c r="BF4" i="29"/>
  <c r="BF39" i="29" s="1"/>
  <c r="BG7" i="30"/>
  <c r="BG14" i="30" s="1"/>
  <c r="BG4" i="30"/>
  <c r="BG11" i="30" s="1"/>
  <c r="BH3" i="30"/>
  <c r="BG6" i="30"/>
  <c r="BG13" i="30" s="1"/>
  <c r="BG8" i="30"/>
  <c r="BG15" i="30" s="1"/>
  <c r="BG5" i="30"/>
  <c r="BG12" i="30" s="1"/>
  <c r="BB18" i="30"/>
  <c r="AS41" i="29"/>
  <c r="CC18" i="28" l="1"/>
  <c r="CC14" i="28"/>
  <c r="CB12" i="1"/>
  <c r="BN17" i="30"/>
  <c r="BQ128" i="1"/>
  <c r="BR128" i="1" s="1"/>
  <c r="CB135" i="1"/>
  <c r="BF9" i="29"/>
  <c r="CA73" i="28"/>
  <c r="BZ71" i="28"/>
  <c r="BZ73" i="28"/>
  <c r="BZ72" i="28"/>
  <c r="CA35" i="28"/>
  <c r="CA31" i="28"/>
  <c r="CK21" i="28"/>
  <c r="CJ24" i="28"/>
  <c r="CA51" i="28"/>
  <c r="CA48" i="28"/>
  <c r="CA49" i="28" s="1"/>
  <c r="CA47" i="28"/>
  <c r="CN40" i="28"/>
  <c r="CC29" i="28"/>
  <c r="CB32" i="28"/>
  <c r="CA33" i="28"/>
  <c r="CC16" i="28"/>
  <c r="CD13" i="28"/>
  <c r="BP7" i="1"/>
  <c r="CJ30" i="1"/>
  <c r="AW38" i="29"/>
  <c r="AW40" i="29" s="1"/>
  <c r="BH7" i="30"/>
  <c r="BH14" i="30" s="1"/>
  <c r="BH8" i="30"/>
  <c r="BH15" i="30" s="1"/>
  <c r="BI3" i="30"/>
  <c r="BH6" i="30"/>
  <c r="BH13" i="30" s="1"/>
  <c r="BH5" i="30"/>
  <c r="BH12" i="30" s="1"/>
  <c r="BH4" i="30"/>
  <c r="BH11" i="30" s="1"/>
  <c r="BG4" i="29"/>
  <c r="BG39" i="29" s="1"/>
  <c r="BC18" i="30"/>
  <c r="AT41" i="29"/>
  <c r="CD18" i="28" l="1"/>
  <c r="CD14" i="28"/>
  <c r="CC12" i="1"/>
  <c r="CC135" i="1"/>
  <c r="BO17" i="30"/>
  <c r="BG9" i="29"/>
  <c r="CA71" i="28"/>
  <c r="CA72" i="28"/>
  <c r="CB35" i="28"/>
  <c r="CB31" i="28"/>
  <c r="CB33" i="28"/>
  <c r="CL21" i="28"/>
  <c r="CK24" i="28"/>
  <c r="CB47" i="28"/>
  <c r="CB48" i="28"/>
  <c r="CB49" i="28" s="1"/>
  <c r="CB51" i="28"/>
  <c r="CO40" i="28"/>
  <c r="CD29" i="28"/>
  <c r="CC32" i="28"/>
  <c r="CD16" i="28"/>
  <c r="CE13" i="28"/>
  <c r="BS7" i="1"/>
  <c r="BS11" i="1"/>
  <c r="BS128" i="1" s="1"/>
  <c r="CK30" i="1"/>
  <c r="BP8" i="1"/>
  <c r="BD18" i="30"/>
  <c r="BI7" i="30"/>
  <c r="BI14" i="30" s="1"/>
  <c r="BI8" i="30"/>
  <c r="BI15" i="30" s="1"/>
  <c r="BI6" i="30"/>
  <c r="BI13" i="30" s="1"/>
  <c r="BI5" i="30"/>
  <c r="BI12" i="30" s="1"/>
  <c r="BI4" i="30"/>
  <c r="BI11" i="30" s="1"/>
  <c r="BJ3" i="30"/>
  <c r="CE14" i="28" l="1"/>
  <c r="CE18" i="28"/>
  <c r="BP17" i="30"/>
  <c r="CB72" i="28"/>
  <c r="CB71" i="28"/>
  <c r="CB73" i="28"/>
  <c r="CC31" i="28"/>
  <c r="CC35" i="28"/>
  <c r="CC71" i="28"/>
  <c r="CC33" i="28"/>
  <c r="CM21" i="28"/>
  <c r="CL24" i="28"/>
  <c r="CC51" i="28"/>
  <c r="CC47" i="28"/>
  <c r="CC48" i="28"/>
  <c r="CC49" i="28" s="1"/>
  <c r="CD48" i="28"/>
  <c r="CP40" i="28"/>
  <c r="CE29" i="28"/>
  <c r="CD32" i="28"/>
  <c r="CD73" i="28" s="1"/>
  <c r="CE16" i="28"/>
  <c r="CF13" i="28"/>
  <c r="BI4" i="29"/>
  <c r="BH4" i="29"/>
  <c r="BH39" i="29" s="1"/>
  <c r="CL30" i="1"/>
  <c r="AV41" i="29"/>
  <c r="AU41" i="29"/>
  <c r="AX38" i="29"/>
  <c r="AX40" i="29" s="1"/>
  <c r="AY38" i="29"/>
  <c r="BJ7" i="30"/>
  <c r="BJ14" i="30" s="1"/>
  <c r="BJ8" i="30"/>
  <c r="BJ15" i="30" s="1"/>
  <c r="BJ6" i="30"/>
  <c r="BJ13" i="30" s="1"/>
  <c r="BJ5" i="30"/>
  <c r="BJ12" i="30" s="1"/>
  <c r="BJ4" i="30"/>
  <c r="BJ11" i="30" s="1"/>
  <c r="BK3" i="30"/>
  <c r="AY40" i="29" l="1"/>
  <c r="CF14" i="28"/>
  <c r="CF18" i="28"/>
  <c r="BI39" i="29"/>
  <c r="CE135" i="1" s="1"/>
  <c r="CE12" i="1"/>
  <c r="CD12" i="1"/>
  <c r="BQ17" i="30"/>
  <c r="CD135" i="1"/>
  <c r="BI9" i="29"/>
  <c r="BH9" i="29"/>
  <c r="CC72" i="28"/>
  <c r="CC73" i="28"/>
  <c r="CD31" i="28"/>
  <c r="CD72" i="28"/>
  <c r="CD35" i="28"/>
  <c r="CD71" i="28"/>
  <c r="CD33" i="28"/>
  <c r="CN21" i="28"/>
  <c r="CM24" i="28"/>
  <c r="CD47" i="28"/>
  <c r="CD49" i="28"/>
  <c r="CD51" i="28"/>
  <c r="CQ40" i="28"/>
  <c r="CF29" i="28"/>
  <c r="CE32" i="28"/>
  <c r="BY24" i="1"/>
  <c r="CF16" i="28"/>
  <c r="CG13" i="28"/>
  <c r="BJ4" i="29"/>
  <c r="BJ39" i="29" s="1"/>
  <c r="BU7" i="1"/>
  <c r="BT7" i="1"/>
  <c r="BU11" i="1"/>
  <c r="BT11" i="1"/>
  <c r="BT128" i="1" s="1"/>
  <c r="CM30" i="1"/>
  <c r="BA38" i="29"/>
  <c r="AZ38" i="29"/>
  <c r="AW41" i="29"/>
  <c r="BQ8" i="1"/>
  <c r="BR8" i="1"/>
  <c r="BE18" i="30"/>
  <c r="BK7" i="30"/>
  <c r="BK14" i="30" s="1"/>
  <c r="BK8" i="30"/>
  <c r="BK6" i="30"/>
  <c r="BK13" i="30" s="1"/>
  <c r="BK5" i="30"/>
  <c r="BK12" i="30" s="1"/>
  <c r="BL3" i="30"/>
  <c r="BK4" i="30"/>
  <c r="BK11" i="30" s="1"/>
  <c r="AZ40" i="29" l="1"/>
  <c r="BA40" i="29" s="1"/>
  <c r="CG14" i="28"/>
  <c r="CG18" i="28"/>
  <c r="BR17" i="30"/>
  <c r="BJ9" i="29"/>
  <c r="CF135" i="1"/>
  <c r="CF12" i="1"/>
  <c r="BU128" i="1"/>
  <c r="CE73" i="28"/>
  <c r="CE31" i="28"/>
  <c r="CE35" i="28"/>
  <c r="CE33" i="28"/>
  <c r="CO21" i="28"/>
  <c r="CN24" i="28"/>
  <c r="CE47" i="28"/>
  <c r="CE48" i="28"/>
  <c r="CE49" i="28" s="1"/>
  <c r="CE51" i="28"/>
  <c r="CF48" i="28"/>
  <c r="CR40" i="28"/>
  <c r="CG29" i="28"/>
  <c r="CF32" i="28"/>
  <c r="CF71" i="28"/>
  <c r="BY10" i="1"/>
  <c r="CH13" i="28"/>
  <c r="CG16" i="28"/>
  <c r="BW7" i="1"/>
  <c r="BV7" i="1"/>
  <c r="BW11" i="1"/>
  <c r="BV11" i="1"/>
  <c r="CN30" i="1"/>
  <c r="BB38" i="29"/>
  <c r="BL8" i="30"/>
  <c r="BL15" i="30" s="1"/>
  <c r="BL6" i="30"/>
  <c r="BL13" i="30" s="1"/>
  <c r="BL7" i="30"/>
  <c r="BL14" i="30" s="1"/>
  <c r="BL5" i="30"/>
  <c r="BL12" i="30" s="1"/>
  <c r="BL4" i="30"/>
  <c r="BL11" i="30" s="1"/>
  <c r="BM3" i="30"/>
  <c r="BF18" i="30"/>
  <c r="BK15" i="30"/>
  <c r="BK4" i="29"/>
  <c r="BK39" i="29" s="1"/>
  <c r="AX41" i="29"/>
  <c r="BB40" i="29" l="1"/>
  <c r="CH14" i="28"/>
  <c r="CH18" i="28"/>
  <c r="CG12" i="1"/>
  <c r="BV128" i="1"/>
  <c r="BW128" i="1" s="1"/>
  <c r="BS17" i="30"/>
  <c r="BT17" i="30" s="1"/>
  <c r="CG135" i="1"/>
  <c r="BK9" i="29"/>
  <c r="CE71" i="28"/>
  <c r="CE72" i="28"/>
  <c r="CF31" i="28"/>
  <c r="CF72" i="28"/>
  <c r="CF33" i="28"/>
  <c r="CF73" i="28"/>
  <c r="CP21" i="28"/>
  <c r="CO24" i="28"/>
  <c r="CF47" i="28"/>
  <c r="CF51" i="28"/>
  <c r="CF49" i="28"/>
  <c r="CS40" i="28"/>
  <c r="CH29" i="28"/>
  <c r="CG32" i="28"/>
  <c r="CH16" i="28"/>
  <c r="CI13" i="28"/>
  <c r="CF35" i="28"/>
  <c r="BX7" i="1"/>
  <c r="BX11" i="1"/>
  <c r="CO30" i="1"/>
  <c r="BC38" i="29"/>
  <c r="BY7" i="1" s="1"/>
  <c r="BG18" i="30"/>
  <c r="BL4" i="29"/>
  <c r="BL39" i="29" s="1"/>
  <c r="BM6" i="30"/>
  <c r="BM13" i="30" s="1"/>
  <c r="BM7" i="30"/>
  <c r="BM14" i="30" s="1"/>
  <c r="BM5" i="30"/>
  <c r="BM12" i="30" s="1"/>
  <c r="BM4" i="30"/>
  <c r="BM11" i="30" s="1"/>
  <c r="BM8" i="30"/>
  <c r="BM15" i="30" s="1"/>
  <c r="AY41" i="29"/>
  <c r="BC40" i="29" l="1"/>
  <c r="CI14" i="28"/>
  <c r="CI18" i="28"/>
  <c r="BX128" i="1"/>
  <c r="CH12" i="1"/>
  <c r="BU17" i="30"/>
  <c r="CH135" i="1"/>
  <c r="BL9" i="29"/>
  <c r="CG71" i="28"/>
  <c r="CG31" i="28"/>
  <c r="CG33" i="28"/>
  <c r="CQ21" i="28"/>
  <c r="CP24" i="28"/>
  <c r="CH48" i="28"/>
  <c r="CG48" i="28"/>
  <c r="CG49" i="28" s="1"/>
  <c r="CG51" i="28"/>
  <c r="CG47" i="28"/>
  <c r="CT40" i="28"/>
  <c r="CI29" i="28"/>
  <c r="CH32" i="28"/>
  <c r="CG35" i="28"/>
  <c r="CJ13" i="28"/>
  <c r="CI16" i="28"/>
  <c r="BY11" i="1"/>
  <c r="CP30" i="1"/>
  <c r="BH18" i="30"/>
  <c r="BN8" i="30"/>
  <c r="BN15" i="30" s="1"/>
  <c r="BN6" i="30"/>
  <c r="BN13" i="30" s="1"/>
  <c r="BN5" i="30"/>
  <c r="BN12" i="30" s="1"/>
  <c r="BN4" i="30"/>
  <c r="BN11" i="30" s="1"/>
  <c r="BO3" i="30"/>
  <c r="BN7" i="30"/>
  <c r="BN14" i="30" s="1"/>
  <c r="BM4" i="29"/>
  <c r="BM39" i="29" s="1"/>
  <c r="AZ41" i="29"/>
  <c r="CJ18" i="28" l="1"/>
  <c r="CJ14" i="28"/>
  <c r="BY128" i="1"/>
  <c r="CI12" i="1"/>
  <c r="CI135" i="1"/>
  <c r="BV17" i="30"/>
  <c r="BM9" i="29"/>
  <c r="CH71" i="28"/>
  <c r="CG73" i="28"/>
  <c r="CG72" i="28"/>
  <c r="CH31" i="28"/>
  <c r="CH72" i="28"/>
  <c r="CH33" i="28"/>
  <c r="CH73" i="28"/>
  <c r="CR21" i="28"/>
  <c r="CQ24" i="28"/>
  <c r="CH49" i="28"/>
  <c r="CH47" i="28"/>
  <c r="CH51" i="28"/>
  <c r="CU40" i="28"/>
  <c r="CJ29" i="28"/>
  <c r="CI32" i="28"/>
  <c r="CH35" i="28"/>
  <c r="CJ16" i="28"/>
  <c r="CK13" i="28"/>
  <c r="CQ30" i="1"/>
  <c r="BF38" i="29"/>
  <c r="BD38" i="29"/>
  <c r="BD40" i="29" s="1"/>
  <c r="BE40" i="29" s="1"/>
  <c r="BF40" i="29" s="1"/>
  <c r="BE38" i="29"/>
  <c r="BO7" i="30"/>
  <c r="BO14" i="30" s="1"/>
  <c r="BO4" i="30"/>
  <c r="BO11" i="30" s="1"/>
  <c r="BP3" i="30"/>
  <c r="BO8" i="30"/>
  <c r="BO15" i="30" s="1"/>
  <c r="BO5" i="30"/>
  <c r="BO12" i="30" s="1"/>
  <c r="BO6" i="30"/>
  <c r="BO13" i="30" s="1"/>
  <c r="BI18" i="30"/>
  <c r="BA41" i="29"/>
  <c r="CK18" i="28" l="1"/>
  <c r="CK14" i="28"/>
  <c r="BW17" i="30"/>
  <c r="CI33" i="28"/>
  <c r="CI31" i="28"/>
  <c r="CI72" i="28"/>
  <c r="CS21" i="28"/>
  <c r="CR24" i="28"/>
  <c r="CI51" i="28"/>
  <c r="CI48" i="28"/>
  <c r="CI49" i="28" s="1"/>
  <c r="CI47" i="28"/>
  <c r="CJ48" i="28"/>
  <c r="CV40" i="28"/>
  <c r="CK29" i="28"/>
  <c r="CJ32" i="28"/>
  <c r="CJ71" i="28"/>
  <c r="CI35" i="28"/>
  <c r="CK16" i="28"/>
  <c r="CL13" i="28"/>
  <c r="CB7" i="1"/>
  <c r="CA7" i="1"/>
  <c r="BO4" i="29"/>
  <c r="BN4" i="29"/>
  <c r="BN39" i="29" s="1"/>
  <c r="CA11" i="1"/>
  <c r="BZ11" i="1"/>
  <c r="BZ128" i="1" s="1"/>
  <c r="CB11" i="1"/>
  <c r="CR30" i="1"/>
  <c r="BP7" i="30"/>
  <c r="BP14" i="30" s="1"/>
  <c r="BP8" i="30"/>
  <c r="BP15" i="30" s="1"/>
  <c r="BQ3" i="30"/>
  <c r="BP6" i="30"/>
  <c r="BP13" i="30" s="1"/>
  <c r="BP5" i="30"/>
  <c r="BP12" i="30" s="1"/>
  <c r="BP4" i="30"/>
  <c r="BP11" i="30" s="1"/>
  <c r="BK18" i="30"/>
  <c r="BJ18" i="30"/>
  <c r="BB41" i="29"/>
  <c r="CA128" i="1" l="1"/>
  <c r="CB128" i="1" s="1"/>
  <c r="CL18" i="28"/>
  <c r="CL14" i="28"/>
  <c r="BO39" i="29"/>
  <c r="CK135" i="1" s="1"/>
  <c r="CJ12" i="1"/>
  <c r="CK12" i="1"/>
  <c r="BX17" i="30"/>
  <c r="BY17" i="30" s="1"/>
  <c r="CJ135" i="1"/>
  <c r="BN9" i="29"/>
  <c r="BO9" i="29"/>
  <c r="CI71" i="28"/>
  <c r="CI73" i="28"/>
  <c r="CJ31" i="28"/>
  <c r="CJ72" i="28"/>
  <c r="CJ33" i="28"/>
  <c r="CJ73" i="28"/>
  <c r="CT21" i="28"/>
  <c r="CS24" i="28"/>
  <c r="CJ47" i="28"/>
  <c r="CJ49" i="28"/>
  <c r="CJ51" i="28"/>
  <c r="CL29" i="28"/>
  <c r="CK32" i="28"/>
  <c r="CJ35" i="28"/>
  <c r="CD6" i="1"/>
  <c r="CC6" i="1"/>
  <c r="CL16" i="28"/>
  <c r="CM13" i="28"/>
  <c r="BZ7" i="1"/>
  <c r="CS30" i="1"/>
  <c r="BP4" i="29"/>
  <c r="BP39" i="29" s="1"/>
  <c r="BQ7" i="30"/>
  <c r="BQ14" i="30" s="1"/>
  <c r="BQ8" i="30"/>
  <c r="BQ15" i="30" s="1"/>
  <c r="BQ6" i="30"/>
  <c r="BQ13" i="30" s="1"/>
  <c r="BQ5" i="30"/>
  <c r="BQ12" i="30" s="1"/>
  <c r="BR3" i="30"/>
  <c r="BQ4" i="30"/>
  <c r="BQ11" i="30" s="1"/>
  <c r="BM18" i="30"/>
  <c r="BL18" i="30"/>
  <c r="BC41" i="29"/>
  <c r="CM14" i="28" l="1"/>
  <c r="CM18" i="28"/>
  <c r="BZ17" i="30"/>
  <c r="BP9" i="29"/>
  <c r="CL135" i="1"/>
  <c r="CL12" i="1"/>
  <c r="CK31" i="28"/>
  <c r="CK72" i="28"/>
  <c r="CK33" i="28"/>
  <c r="CK73" i="28"/>
  <c r="CU21" i="28"/>
  <c r="CT24" i="28"/>
  <c r="CL48" i="28"/>
  <c r="CK47" i="28"/>
  <c r="CK51" i="28"/>
  <c r="CK48" i="28"/>
  <c r="CK49" i="28" s="1"/>
  <c r="CM29" i="28"/>
  <c r="CL32" i="28"/>
  <c r="CL71" i="28"/>
  <c r="CK35" i="28"/>
  <c r="CE6" i="1"/>
  <c r="CM16" i="28"/>
  <c r="CN13" i="28"/>
  <c r="BQ4" i="29"/>
  <c r="BQ39" i="29" s="1"/>
  <c r="CT30" i="1"/>
  <c r="BG38" i="29"/>
  <c r="BG40" i="29" s="1"/>
  <c r="BR7" i="30"/>
  <c r="BR14" i="30" s="1"/>
  <c r="BR8" i="30"/>
  <c r="BR15" i="30" s="1"/>
  <c r="BR6" i="30"/>
  <c r="BR13" i="30" s="1"/>
  <c r="BR4" i="30"/>
  <c r="BR11" i="30" s="1"/>
  <c r="BR5" i="30"/>
  <c r="BR12" i="30" s="1"/>
  <c r="BS3" i="30"/>
  <c r="BN18" i="30"/>
  <c r="CN14" i="28" l="1"/>
  <c r="CN18" i="28"/>
  <c r="CM12" i="1"/>
  <c r="CM135" i="1"/>
  <c r="CA17" i="30"/>
  <c r="BQ9" i="29"/>
  <c r="CK71" i="28"/>
  <c r="CL33" i="28"/>
  <c r="CL73" i="28"/>
  <c r="CL31" i="28"/>
  <c r="CL72" i="28"/>
  <c r="CV21" i="28"/>
  <c r="CW21" i="28" s="1"/>
  <c r="CU24" i="28"/>
  <c r="CL51" i="28"/>
  <c r="CL49" i="28"/>
  <c r="CL47" i="28"/>
  <c r="CN29" i="28"/>
  <c r="CM32" i="28"/>
  <c r="CL35" i="28"/>
  <c r="CO13" i="28"/>
  <c r="CN16" i="28"/>
  <c r="BR4" i="29"/>
  <c r="BR39" i="29" s="1"/>
  <c r="CC11" i="1"/>
  <c r="CC128" i="1" s="1"/>
  <c r="CU30" i="1"/>
  <c r="BD41" i="29"/>
  <c r="BS7" i="30"/>
  <c r="BS14" i="30" s="1"/>
  <c r="BS8" i="30"/>
  <c r="BS6" i="30"/>
  <c r="BS13" i="30" s="1"/>
  <c r="BS5" i="30"/>
  <c r="BS12" i="30" s="1"/>
  <c r="BT3" i="30"/>
  <c r="BS4" i="30"/>
  <c r="BS11" i="30" s="1"/>
  <c r="BO18" i="30"/>
  <c r="BE41" i="29"/>
  <c r="CO18" i="28" l="1"/>
  <c r="CO14" i="28"/>
  <c r="CN12" i="1"/>
  <c r="CB17" i="30"/>
  <c r="CN135" i="1"/>
  <c r="BR9" i="29"/>
  <c r="CX21" i="28"/>
  <c r="CW24" i="28"/>
  <c r="CM71" i="28"/>
  <c r="CM31" i="28"/>
  <c r="CM72" i="28"/>
  <c r="CM33" i="28"/>
  <c r="CM35" i="28"/>
  <c r="CV24" i="28"/>
  <c r="CM47" i="28"/>
  <c r="CM48" i="28"/>
  <c r="CM49" i="28" s="1"/>
  <c r="CM51" i="28"/>
  <c r="CO29" i="28"/>
  <c r="CN32" i="28"/>
  <c r="CP13" i="28"/>
  <c r="CO16" i="28"/>
  <c r="CC7" i="1"/>
  <c r="CV30" i="1"/>
  <c r="BI38" i="29"/>
  <c r="BJ38" i="29"/>
  <c r="BH38" i="29"/>
  <c r="BH40" i="29" s="1"/>
  <c r="BS15" i="30"/>
  <c r="BS4" i="29"/>
  <c r="BS39" i="29" s="1"/>
  <c r="BT8" i="30"/>
  <c r="BT15" i="30" s="1"/>
  <c r="BT6" i="30"/>
  <c r="BT13" i="30" s="1"/>
  <c r="BT5" i="30"/>
  <c r="BT12" i="30" s="1"/>
  <c r="BT4" i="30"/>
  <c r="BT11" i="30" s="1"/>
  <c r="BU3" i="30"/>
  <c r="BT7" i="30"/>
  <c r="BT14" i="30" s="1"/>
  <c r="BF41" i="29"/>
  <c r="BI40" i="29" l="1"/>
  <c r="BJ40" i="29" s="1"/>
  <c r="CP14" i="28"/>
  <c r="CP18" i="28"/>
  <c r="CO12" i="1"/>
  <c r="CO135" i="1"/>
  <c r="CC17" i="30"/>
  <c r="BS9" i="29"/>
  <c r="CY21" i="28"/>
  <c r="CX24" i="28"/>
  <c r="CM73" i="28"/>
  <c r="CN33" i="28"/>
  <c r="CN35" i="28"/>
  <c r="CN71" i="28"/>
  <c r="CN31" i="28"/>
  <c r="CN48" i="28"/>
  <c r="CN49" i="28" s="1"/>
  <c r="CN47" i="28"/>
  <c r="CN51" i="28"/>
  <c r="CP29" i="28"/>
  <c r="CO32" i="28"/>
  <c r="CP16" i="28"/>
  <c r="CQ13" i="28"/>
  <c r="CF7" i="1"/>
  <c r="CE7" i="1"/>
  <c r="CD7" i="1"/>
  <c r="CE11" i="1"/>
  <c r="CD11" i="1"/>
  <c r="CD128" i="1" s="1"/>
  <c r="CF11" i="1"/>
  <c r="CW30" i="1"/>
  <c r="BU6" i="30"/>
  <c r="BU13" i="30" s="1"/>
  <c r="BU7" i="30"/>
  <c r="BU14" i="30" s="1"/>
  <c r="BU8" i="30"/>
  <c r="BU15" i="30" s="1"/>
  <c r="BU5" i="30"/>
  <c r="BU12" i="30" s="1"/>
  <c r="BU4" i="30"/>
  <c r="BU11" i="30" s="1"/>
  <c r="BV3" i="30"/>
  <c r="BP18" i="30"/>
  <c r="CQ14" i="28" l="1"/>
  <c r="CQ18" i="28"/>
  <c r="CD17" i="30"/>
  <c r="CE128" i="1"/>
  <c r="CF128" i="1" s="1"/>
  <c r="CZ21" i="28"/>
  <c r="CY24" i="28"/>
  <c r="CN72" i="28"/>
  <c r="CN73" i="28"/>
  <c r="CO35" i="28"/>
  <c r="CO71" i="28"/>
  <c r="CO33" i="28"/>
  <c r="CO31" i="28"/>
  <c r="CO72" i="28"/>
  <c r="CO51" i="28"/>
  <c r="CO48" i="28"/>
  <c r="CO49" i="28" s="1"/>
  <c r="CO47" i="28"/>
  <c r="CQ29" i="28"/>
  <c r="CP32" i="28"/>
  <c r="CQ16" i="28"/>
  <c r="CR13" i="28"/>
  <c r="BU4" i="29"/>
  <c r="BT4" i="29"/>
  <c r="BT39" i="29" s="1"/>
  <c r="CX30" i="1"/>
  <c r="BM38" i="29"/>
  <c r="BL38" i="29"/>
  <c r="BK38" i="29"/>
  <c r="BK40" i="29" s="1"/>
  <c r="BL40" i="29" s="1"/>
  <c r="BM40" i="29" s="1"/>
  <c r="BN40" i="29" s="1"/>
  <c r="BH41" i="29"/>
  <c r="BG41" i="29"/>
  <c r="BV8" i="30"/>
  <c r="BV15" i="30" s="1"/>
  <c r="BV5" i="30"/>
  <c r="BV12" i="30" s="1"/>
  <c r="BV4" i="30"/>
  <c r="BV11" i="30" s="1"/>
  <c r="BV6" i="30"/>
  <c r="BV13" i="30" s="1"/>
  <c r="BW3" i="30"/>
  <c r="BV7" i="30"/>
  <c r="BV14" i="30" s="1"/>
  <c r="BQ18" i="30"/>
  <c r="BN38" i="29"/>
  <c r="CR18" i="28" l="1"/>
  <c r="CR14" i="28"/>
  <c r="BU39" i="29"/>
  <c r="CQ135" i="1" s="1"/>
  <c r="CP12" i="1"/>
  <c r="CQ12" i="1"/>
  <c r="CE17" i="30"/>
  <c r="CF17" i="30" s="1"/>
  <c r="CP135" i="1"/>
  <c r="BU9" i="29"/>
  <c r="BT9" i="29"/>
  <c r="DA21" i="28"/>
  <c r="CZ24" i="28"/>
  <c r="CO73" i="28"/>
  <c r="CP35" i="28"/>
  <c r="CP33" i="28"/>
  <c r="CP31" i="28"/>
  <c r="CP72" i="28"/>
  <c r="CP51" i="28"/>
  <c r="CP47" i="28"/>
  <c r="CP48" i="28"/>
  <c r="CP49" i="28" s="1"/>
  <c r="CR29" i="28"/>
  <c r="CQ32" i="28"/>
  <c r="CR16" i="28"/>
  <c r="CS13" i="28"/>
  <c r="CJ7" i="1"/>
  <c r="CH7" i="1"/>
  <c r="CG7" i="1"/>
  <c r="CI7" i="1"/>
  <c r="CJ11" i="1"/>
  <c r="CG11" i="1"/>
  <c r="CG128" i="1" s="1"/>
  <c r="CH11" i="1"/>
  <c r="CI11" i="1"/>
  <c r="CY30" i="1"/>
  <c r="BV4" i="29"/>
  <c r="BV39" i="29" s="1"/>
  <c r="BJ41" i="29"/>
  <c r="BI41" i="29"/>
  <c r="CC8" i="1"/>
  <c r="CD8" i="1"/>
  <c r="BW7" i="30"/>
  <c r="BW14" i="30" s="1"/>
  <c r="BW5" i="30"/>
  <c r="BW12" i="30" s="1"/>
  <c r="BW4" i="30"/>
  <c r="BW11" i="30" s="1"/>
  <c r="BW8" i="30"/>
  <c r="BX3" i="30"/>
  <c r="BW6" i="30"/>
  <c r="BW13" i="30" s="1"/>
  <c r="BR18" i="30"/>
  <c r="BS18" i="30"/>
  <c r="CS18" i="28" l="1"/>
  <c r="CS14" i="28"/>
  <c r="CH128" i="1"/>
  <c r="CI128" i="1" s="1"/>
  <c r="CJ128" i="1" s="1"/>
  <c r="CG17" i="30"/>
  <c r="CH17" i="30" s="1"/>
  <c r="CR12" i="1"/>
  <c r="CR135" i="1"/>
  <c r="BV9" i="29"/>
  <c r="DB21" i="28"/>
  <c r="DA24" i="28"/>
  <c r="CP73" i="28"/>
  <c r="CP71" i="28"/>
  <c r="CQ35" i="28"/>
  <c r="CQ71" i="28"/>
  <c r="CQ31" i="28"/>
  <c r="CQ33" i="28"/>
  <c r="CQ73" i="28"/>
  <c r="CQ47" i="28"/>
  <c r="CQ48" i="28"/>
  <c r="CQ49" i="28" s="1"/>
  <c r="CQ51" i="28"/>
  <c r="CR48" i="28"/>
  <c r="CS29" i="28"/>
  <c r="CR32" i="28"/>
  <c r="CS16" i="28"/>
  <c r="CT13" i="28"/>
  <c r="CZ30" i="1"/>
  <c r="CE8" i="1"/>
  <c r="BX7" i="30"/>
  <c r="BX14" i="30" s="1"/>
  <c r="BX8" i="30"/>
  <c r="BX15" i="30" s="1"/>
  <c r="BY3" i="30"/>
  <c r="BX6" i="30"/>
  <c r="BX13" i="30" s="1"/>
  <c r="BX5" i="30"/>
  <c r="BX12" i="30" s="1"/>
  <c r="BX4" i="30"/>
  <c r="BX11" i="30" s="1"/>
  <c r="BW15" i="30"/>
  <c r="BW4" i="29"/>
  <c r="BW39" i="29" s="1"/>
  <c r="CT18" i="28" l="1"/>
  <c r="CT14" i="28"/>
  <c r="CS12" i="1"/>
  <c r="CS135" i="1"/>
  <c r="CI17" i="30"/>
  <c r="CJ17" i="30" s="1"/>
  <c r="CK17" i="30" s="1"/>
  <c r="BW9" i="29"/>
  <c r="DC21" i="28"/>
  <c r="DB24" i="28"/>
  <c r="CQ72" i="28"/>
  <c r="CR33" i="28"/>
  <c r="CR73" i="28"/>
  <c r="CR31" i="28"/>
  <c r="CR72" i="28"/>
  <c r="CR35" i="28"/>
  <c r="CR71" i="28"/>
  <c r="CR49" i="28"/>
  <c r="CR51" i="28"/>
  <c r="CR47" i="28"/>
  <c r="CT29" i="28"/>
  <c r="CS32" i="28"/>
  <c r="CU13" i="28"/>
  <c r="CT16" i="28"/>
  <c r="DA30" i="1"/>
  <c r="BK41" i="29"/>
  <c r="BX4" i="29"/>
  <c r="BX39" i="29" s="1"/>
  <c r="BY7" i="30"/>
  <c r="BY14" i="30" s="1"/>
  <c r="BY8" i="30"/>
  <c r="BY15" i="30" s="1"/>
  <c r="BY6" i="30"/>
  <c r="BY13" i="30" s="1"/>
  <c r="BZ3" i="30"/>
  <c r="BY5" i="30"/>
  <c r="BY12" i="30" s="1"/>
  <c r="BY4" i="30"/>
  <c r="BY11" i="30" s="1"/>
  <c r="CU14" i="28" l="1"/>
  <c r="CU18" i="28"/>
  <c r="CT12" i="1"/>
  <c r="CT135" i="1"/>
  <c r="BX9" i="29"/>
  <c r="DC24" i="28"/>
  <c r="DD21" i="28"/>
  <c r="CS31" i="28"/>
  <c r="CS33" i="28"/>
  <c r="CS51" i="28"/>
  <c r="CS47" i="28"/>
  <c r="CS48" i="28"/>
  <c r="CS49" i="28" s="1"/>
  <c r="CU29" i="28"/>
  <c r="CT32" i="28"/>
  <c r="CS35" i="28"/>
  <c r="CV13" i="28"/>
  <c r="CU16" i="28"/>
  <c r="DB30" i="1"/>
  <c r="BL41" i="29"/>
  <c r="BU18" i="30"/>
  <c r="BZ7" i="30"/>
  <c r="BZ14" i="30" s="1"/>
  <c r="BZ8" i="30"/>
  <c r="BZ15" i="30" s="1"/>
  <c r="BZ6" i="30"/>
  <c r="BZ13" i="30" s="1"/>
  <c r="BZ5" i="30"/>
  <c r="BZ12" i="30" s="1"/>
  <c r="BZ4" i="30"/>
  <c r="BZ11" i="30" s="1"/>
  <c r="CA3" i="30"/>
  <c r="BT18" i="30"/>
  <c r="BM41" i="29"/>
  <c r="CW13" i="28" l="1"/>
  <c r="CW16" i="28" s="1"/>
  <c r="CV14" i="28"/>
  <c r="CV18" i="28"/>
  <c r="DD24" i="28"/>
  <c r="DE21" i="28"/>
  <c r="CS72" i="28"/>
  <c r="CS73" i="28"/>
  <c r="CS71" i="28"/>
  <c r="CT31" i="28"/>
  <c r="CT72" i="28"/>
  <c r="CT33" i="28"/>
  <c r="CT73" i="28"/>
  <c r="CT47" i="28"/>
  <c r="CT48" i="28"/>
  <c r="CT49" i="28" s="1"/>
  <c r="CT51" i="28"/>
  <c r="CV29" i="28"/>
  <c r="CW29" i="28" s="1"/>
  <c r="CU32" i="28"/>
  <c r="CT35" i="28"/>
  <c r="CV16" i="28"/>
  <c r="BZ4" i="29"/>
  <c r="BY4" i="29"/>
  <c r="BY39" i="29" s="1"/>
  <c r="DC30" i="1"/>
  <c r="BO38" i="29"/>
  <c r="BO40" i="29" s="1"/>
  <c r="BP38" i="29"/>
  <c r="CA7" i="30"/>
  <c r="CA14" i="30" s="1"/>
  <c r="CA8" i="30"/>
  <c r="CA15" i="30" s="1"/>
  <c r="CA6" i="30"/>
  <c r="CA13" i="30" s="1"/>
  <c r="CA5" i="30"/>
  <c r="CA12" i="30" s="1"/>
  <c r="CB3" i="30"/>
  <c r="CA4" i="30"/>
  <c r="CA11" i="30" s="1"/>
  <c r="BP40" i="29" l="1"/>
  <c r="CX13" i="28"/>
  <c r="CX14" i="28"/>
  <c r="CX18" i="28"/>
  <c r="CW18" i="28"/>
  <c r="CW14" i="28"/>
  <c r="BZ39" i="29"/>
  <c r="CV135" i="1" s="1"/>
  <c r="CU135" i="1"/>
  <c r="CU12" i="1"/>
  <c r="CV12" i="1"/>
  <c r="BZ9" i="29"/>
  <c r="BY9" i="29"/>
  <c r="DF21" i="28"/>
  <c r="DE24" i="28"/>
  <c r="CY13" i="28"/>
  <c r="CX16" i="28"/>
  <c r="CT71" i="28"/>
  <c r="CU31" i="28"/>
  <c r="CU72" i="28"/>
  <c r="CX29" i="28"/>
  <c r="CW32" i="28"/>
  <c r="CU33" i="28"/>
  <c r="CU73" i="28"/>
  <c r="CU47" i="28"/>
  <c r="CU48" i="28"/>
  <c r="CU49" i="28" s="1"/>
  <c r="CU51" i="28"/>
  <c r="CV48" i="28"/>
  <c r="CV32" i="28"/>
  <c r="CU35" i="28"/>
  <c r="CL7" i="1"/>
  <c r="CL11" i="1"/>
  <c r="CK11" i="1"/>
  <c r="CK128" i="1" s="1"/>
  <c r="DD30" i="1"/>
  <c r="BN41" i="29"/>
  <c r="BQ38" i="29"/>
  <c r="BR38" i="29"/>
  <c r="CA4" i="29"/>
  <c r="CA39" i="29" s="1"/>
  <c r="BW18" i="30"/>
  <c r="BV18" i="30"/>
  <c r="CB8" i="30"/>
  <c r="CB15" i="30" s="1"/>
  <c r="CB6" i="30"/>
  <c r="CB13" i="30" s="1"/>
  <c r="CB4" i="30"/>
  <c r="CB11" i="30" s="1"/>
  <c r="CB7" i="30"/>
  <c r="CB14" i="30" s="1"/>
  <c r="CB5" i="30"/>
  <c r="CB12" i="30" s="1"/>
  <c r="CC3" i="30"/>
  <c r="BO41" i="29"/>
  <c r="BQ40" i="29" l="1"/>
  <c r="BR40" i="29" s="1"/>
  <c r="CY14" i="28"/>
  <c r="CY18" i="28"/>
  <c r="CL128" i="1"/>
  <c r="CW135" i="1"/>
  <c r="CW12" i="1"/>
  <c r="CA9" i="29"/>
  <c r="DF24" i="28"/>
  <c r="DG21" i="28"/>
  <c r="CY16" i="28"/>
  <c r="CZ13" i="28"/>
  <c r="CV71" i="28"/>
  <c r="CU71" i="28"/>
  <c r="CW72" i="28"/>
  <c r="CY29" i="28"/>
  <c r="CX32" i="28"/>
  <c r="CV33" i="28"/>
  <c r="CW33" i="28" s="1"/>
  <c r="CV73" i="28"/>
  <c r="CW73" i="28"/>
  <c r="CW71" i="28"/>
  <c r="CV31" i="28"/>
  <c r="CW31" i="28" s="1"/>
  <c r="CV72" i="28"/>
  <c r="CV49" i="28"/>
  <c r="CW49" i="28" s="1"/>
  <c r="CX49" i="28" s="1"/>
  <c r="CY49" i="28" s="1"/>
  <c r="CZ49" i="28" s="1"/>
  <c r="DA49" i="28" s="1"/>
  <c r="DB49" i="28" s="1"/>
  <c r="DC49" i="28" s="1"/>
  <c r="DD49" i="28" s="1"/>
  <c r="DE49" i="28" s="1"/>
  <c r="DF49" i="28" s="1"/>
  <c r="DG49" i="28" s="1"/>
  <c r="DH49" i="28" s="1"/>
  <c r="CV51" i="28"/>
  <c r="CW51" i="28" s="1"/>
  <c r="CX51" i="28" s="1"/>
  <c r="CY51" i="28" s="1"/>
  <c r="CZ51" i="28" s="1"/>
  <c r="DA51" i="28" s="1"/>
  <c r="DB51" i="28" s="1"/>
  <c r="DC51" i="28" s="1"/>
  <c r="DD51" i="28" s="1"/>
  <c r="DE51" i="28" s="1"/>
  <c r="DF51" i="28" s="1"/>
  <c r="DG51" i="28" s="1"/>
  <c r="DH51" i="28" s="1"/>
  <c r="CV47" i="28"/>
  <c r="CW47" i="28" s="1"/>
  <c r="CX47" i="28" s="1"/>
  <c r="CY47" i="28" s="1"/>
  <c r="CZ47" i="28" s="1"/>
  <c r="DA47" i="28" s="1"/>
  <c r="DB47" i="28" s="1"/>
  <c r="DC47" i="28" s="1"/>
  <c r="DD47" i="28" s="1"/>
  <c r="DE47" i="28" s="1"/>
  <c r="DF47" i="28" s="1"/>
  <c r="DG47" i="28" s="1"/>
  <c r="DH47" i="28" s="1"/>
  <c r="CV35" i="28"/>
  <c r="CW35" i="28" s="1"/>
  <c r="CN7" i="1"/>
  <c r="CM7" i="1"/>
  <c r="CK7" i="1"/>
  <c r="CM11" i="1"/>
  <c r="CN11" i="1"/>
  <c r="DE30" i="1"/>
  <c r="CB4" i="29"/>
  <c r="CB39" i="29" s="1"/>
  <c r="BS38" i="29"/>
  <c r="BX18" i="30"/>
  <c r="CC6" i="30"/>
  <c r="CC13" i="30" s="1"/>
  <c r="CC4" i="30"/>
  <c r="CC11" i="30" s="1"/>
  <c r="CC7" i="30"/>
  <c r="CC14" i="30" s="1"/>
  <c r="CC8" i="30"/>
  <c r="CC15" i="30" s="1"/>
  <c r="CC5" i="30"/>
  <c r="CC12" i="30" s="1"/>
  <c r="CD3" i="30"/>
  <c r="BS40" i="29" l="1"/>
  <c r="CZ18" i="28"/>
  <c r="CZ14" i="28"/>
  <c r="CM128" i="1"/>
  <c r="CN128" i="1" s="1"/>
  <c r="CX12" i="1"/>
  <c r="CX135" i="1"/>
  <c r="CB9" i="29"/>
  <c r="DH21" i="28"/>
  <c r="DG24" i="28"/>
  <c r="CZ16" i="28"/>
  <c r="DA13" i="28"/>
  <c r="CX73" i="28"/>
  <c r="CX33" i="28"/>
  <c r="CY32" i="28"/>
  <c r="CZ29" i="28"/>
  <c r="CX72" i="28"/>
  <c r="CX31" i="28"/>
  <c r="CX35" i="28"/>
  <c r="CX71" i="28"/>
  <c r="CQ6" i="1"/>
  <c r="CO11" i="1"/>
  <c r="CO7" i="1"/>
  <c r="DF30" i="1"/>
  <c r="CC4" i="29"/>
  <c r="CC39" i="29" s="1"/>
  <c r="BP41" i="29"/>
  <c r="BY18" i="30"/>
  <c r="CD8" i="30"/>
  <c r="CD15" i="30" s="1"/>
  <c r="CD6" i="30"/>
  <c r="CD13" i="30" s="1"/>
  <c r="CD5" i="30"/>
  <c r="CD12" i="30" s="1"/>
  <c r="CD4" i="30"/>
  <c r="CD11" i="30" s="1"/>
  <c r="CE3" i="30"/>
  <c r="CD7" i="30"/>
  <c r="CD14" i="30" s="1"/>
  <c r="DA18" i="28" l="1"/>
  <c r="DA14" i="28"/>
  <c r="CO128" i="1"/>
  <c r="CC9" i="29"/>
  <c r="CY12" i="1"/>
  <c r="CY135" i="1"/>
  <c r="DH24" i="28"/>
  <c r="DB13" i="28"/>
  <c r="DA16" i="28"/>
  <c r="CY31" i="28"/>
  <c r="CY72" i="28"/>
  <c r="CZ32" i="28"/>
  <c r="DA29" i="28"/>
  <c r="CY73" i="28"/>
  <c r="CY33" i="28"/>
  <c r="CY35" i="28"/>
  <c r="CY71" i="28"/>
  <c r="CR6" i="1"/>
  <c r="DG30" i="1"/>
  <c r="CD4" i="29"/>
  <c r="CD39" i="29" s="1"/>
  <c r="BU38" i="29"/>
  <c r="BT38" i="29"/>
  <c r="BT40" i="29" s="1"/>
  <c r="BU40" i="29" s="1"/>
  <c r="BV40" i="29" s="1"/>
  <c r="BV38" i="29"/>
  <c r="BZ18" i="30"/>
  <c r="CE7" i="30"/>
  <c r="CE14" i="30" s="1"/>
  <c r="CE6" i="30"/>
  <c r="CE13" i="30" s="1"/>
  <c r="CE5" i="30"/>
  <c r="CE12" i="30" s="1"/>
  <c r="CE4" i="30"/>
  <c r="CE11" i="30" s="1"/>
  <c r="CF3" i="30"/>
  <c r="CE8" i="30"/>
  <c r="DB18" i="28" l="1"/>
  <c r="DB14" i="28"/>
  <c r="CZ12" i="1"/>
  <c r="CZ135" i="1"/>
  <c r="CD9" i="29"/>
  <c r="DB16" i="28"/>
  <c r="DC13" i="28"/>
  <c r="CZ35" i="28"/>
  <c r="CZ71" i="28"/>
  <c r="DB29" i="28"/>
  <c r="DA32" i="28"/>
  <c r="CZ33" i="28"/>
  <c r="CZ73" i="28"/>
  <c r="CZ31" i="28"/>
  <c r="CZ72" i="28"/>
  <c r="CR7" i="1"/>
  <c r="CQ7" i="1"/>
  <c r="CQ11" i="1"/>
  <c r="CR11" i="1"/>
  <c r="CP11" i="1"/>
  <c r="CP128" i="1" s="1"/>
  <c r="BQ41" i="29"/>
  <c r="CF7" i="30"/>
  <c r="CF14" i="30" s="1"/>
  <c r="CF8" i="30"/>
  <c r="CF15" i="30" s="1"/>
  <c r="CF6" i="30"/>
  <c r="CF13" i="30" s="1"/>
  <c r="CF5" i="30"/>
  <c r="CF12" i="30" s="1"/>
  <c r="CF4" i="30"/>
  <c r="CF11" i="30" s="1"/>
  <c r="CG3" i="30"/>
  <c r="CE15" i="30"/>
  <c r="CE4" i="29"/>
  <c r="CE39" i="29" s="1"/>
  <c r="BS41" i="29"/>
  <c r="DC14" i="28" l="1"/>
  <c r="DC18" i="28"/>
  <c r="DA12" i="1"/>
  <c r="CQ128" i="1"/>
  <c r="CR128" i="1" s="1"/>
  <c r="DA135" i="1"/>
  <c r="CE9" i="29"/>
  <c r="DC16" i="28"/>
  <c r="DD13" i="28"/>
  <c r="DA31" i="28"/>
  <c r="DA72" i="28"/>
  <c r="DA35" i="28"/>
  <c r="DA71" i="28"/>
  <c r="DA33" i="28"/>
  <c r="DA73" i="28"/>
  <c r="DC29" i="28"/>
  <c r="DB32" i="28"/>
  <c r="CP7" i="1"/>
  <c r="BR41" i="29"/>
  <c r="CB18" i="30"/>
  <c r="CA18" i="30"/>
  <c r="CG7" i="30"/>
  <c r="CG14" i="30" s="1"/>
  <c r="CG8" i="30"/>
  <c r="CG15" i="30" s="1"/>
  <c r="CG6" i="30"/>
  <c r="CG13" i="30" s="1"/>
  <c r="CG5" i="30"/>
  <c r="CG12" i="30" s="1"/>
  <c r="CG4" i="30"/>
  <c r="CG11" i="30" s="1"/>
  <c r="CH3" i="30"/>
  <c r="BU41" i="29"/>
  <c r="DD14" i="28" l="1"/>
  <c r="DD18" i="28"/>
  <c r="DE13" i="28"/>
  <c r="DD16" i="28"/>
  <c r="DB31" i="28"/>
  <c r="DB72" i="28"/>
  <c r="DB33" i="28"/>
  <c r="DB73" i="28"/>
  <c r="DB35" i="28"/>
  <c r="DB71" i="28"/>
  <c r="DD29" i="28"/>
  <c r="DC32" i="28"/>
  <c r="CG4" i="29"/>
  <c r="CF4" i="29"/>
  <c r="CF39" i="29" s="1"/>
  <c r="BT41" i="29"/>
  <c r="CQ8" i="1"/>
  <c r="CD18" i="30"/>
  <c r="CH7" i="30"/>
  <c r="CH14" i="30" s="1"/>
  <c r="CH8" i="30"/>
  <c r="CH15" i="30" s="1"/>
  <c r="CH6" i="30"/>
  <c r="CH13" i="30" s="1"/>
  <c r="CH5" i="30"/>
  <c r="CH12" i="30" s="1"/>
  <c r="CH4" i="30"/>
  <c r="CH11" i="30" s="1"/>
  <c r="CI3" i="30"/>
  <c r="CC18" i="30"/>
  <c r="BV41" i="29"/>
  <c r="DE18" i="28" l="1"/>
  <c r="DE14" i="28"/>
  <c r="CG39" i="29"/>
  <c r="DC135" i="1" s="1"/>
  <c r="DB12" i="1"/>
  <c r="DC12" i="1"/>
  <c r="DB135" i="1"/>
  <c r="CG9" i="29"/>
  <c r="CF9" i="29"/>
  <c r="DF13" i="28"/>
  <c r="DE16" i="28"/>
  <c r="DC31" i="28"/>
  <c r="DC72" i="28"/>
  <c r="DE29" i="28"/>
  <c r="DD32" i="28"/>
  <c r="DC33" i="28"/>
  <c r="DC73" i="28"/>
  <c r="DC35" i="28"/>
  <c r="DC71" i="28"/>
  <c r="CH4" i="29"/>
  <c r="CH39" i="29" s="1"/>
  <c r="CR8" i="1"/>
  <c r="BW38" i="29"/>
  <c r="BW40" i="29" s="1"/>
  <c r="CI7" i="30"/>
  <c r="CI14" i="30" s="1"/>
  <c r="CI8" i="30"/>
  <c r="CI6" i="30"/>
  <c r="CI13" i="30" s="1"/>
  <c r="CI5" i="30"/>
  <c r="CI12" i="30" s="1"/>
  <c r="CI4" i="30"/>
  <c r="CI11" i="30" s="1"/>
  <c r="CJ3" i="30"/>
  <c r="CE18" i="30"/>
  <c r="DF14" i="28" l="1"/>
  <c r="DF18" i="28"/>
  <c r="CH9" i="29"/>
  <c r="DD135" i="1"/>
  <c r="DD12" i="1"/>
  <c r="DG13" i="28"/>
  <c r="DF16" i="28"/>
  <c r="DF29" i="28"/>
  <c r="DE32" i="28"/>
  <c r="DD35" i="28"/>
  <c r="DD71" i="28"/>
  <c r="DD33" i="28"/>
  <c r="DD73" i="28"/>
  <c r="DD31" i="28"/>
  <c r="DD72" i="28"/>
  <c r="CS11" i="1"/>
  <c r="CS128" i="1" s="1"/>
  <c r="BX38" i="29"/>
  <c r="BX40" i="29" s="1"/>
  <c r="CI15" i="30"/>
  <c r="CI4" i="29"/>
  <c r="CI39" i="29" s="1"/>
  <c r="CJ8" i="30"/>
  <c r="CJ6" i="30"/>
  <c r="CJ13" i="30" s="1"/>
  <c r="CJ7" i="30"/>
  <c r="CJ14" i="30" s="1"/>
  <c r="CJ4" i="30"/>
  <c r="CJ11" i="30" s="1"/>
  <c r="CK3" i="30"/>
  <c r="CJ5" i="30"/>
  <c r="CJ12" i="30" s="1"/>
  <c r="DG14" i="28" l="1"/>
  <c r="DG18" i="28"/>
  <c r="DE12" i="1"/>
  <c r="DE135" i="1"/>
  <c r="CI9" i="29"/>
  <c r="DH13" i="28"/>
  <c r="DG16" i="28"/>
  <c r="DE35" i="28"/>
  <c r="DE71" i="28"/>
  <c r="DE31" i="28"/>
  <c r="DE72" i="28"/>
  <c r="DE33" i="28"/>
  <c r="DE73" i="28"/>
  <c r="DF32" i="28"/>
  <c r="DG29" i="28"/>
  <c r="CT11" i="1"/>
  <c r="CT128" i="1" s="1"/>
  <c r="CS7" i="1"/>
  <c r="CT7" i="1"/>
  <c r="BW41" i="29"/>
  <c r="BZ38" i="29"/>
  <c r="BY38" i="29"/>
  <c r="BY40" i="29" s="1"/>
  <c r="BZ40" i="29" s="1"/>
  <c r="CJ15" i="30"/>
  <c r="CK6" i="30"/>
  <c r="CK13" i="30" s="1"/>
  <c r="CK4" i="30"/>
  <c r="CK11" i="30" s="1"/>
  <c r="CK7" i="30"/>
  <c r="CK14" i="30" s="1"/>
  <c r="CK5" i="30"/>
  <c r="CK12" i="30" s="1"/>
  <c r="CK8" i="30"/>
  <c r="CK15" i="30" s="1"/>
  <c r="CF18" i="30"/>
  <c r="DH18" i="28" l="1"/>
  <c r="DH14" i="28"/>
  <c r="DH16" i="28"/>
  <c r="DF31" i="28"/>
  <c r="DF72" i="28"/>
  <c r="DF33" i="28"/>
  <c r="DF73" i="28"/>
  <c r="DF35" i="28"/>
  <c r="DF71" i="28"/>
  <c r="DH29" i="28"/>
  <c r="DG32" i="28"/>
  <c r="CV7" i="1"/>
  <c r="CU7" i="1"/>
  <c r="CK4" i="29"/>
  <c r="CJ4" i="29"/>
  <c r="CJ39" i="29" s="1"/>
  <c r="CU11" i="1"/>
  <c r="CU128" i="1" s="1"/>
  <c r="CV11" i="1"/>
  <c r="CA38" i="29"/>
  <c r="CA40" i="29" s="1"/>
  <c r="BY41" i="29"/>
  <c r="CK39" i="29" l="1"/>
  <c r="DG135" i="1" s="1"/>
  <c r="DF12" i="1"/>
  <c r="DG12" i="1"/>
  <c r="CV128" i="1"/>
  <c r="DF135" i="1"/>
  <c r="CK9" i="29"/>
  <c r="CJ9" i="29"/>
  <c r="DH32" i="28"/>
  <c r="DG31" i="28"/>
  <c r="DG72" i="28"/>
  <c r="DG33" i="28"/>
  <c r="DG73" i="28"/>
  <c r="DG35" i="28"/>
  <c r="DG71" i="28"/>
  <c r="CW11" i="1"/>
  <c r="CW7" i="1"/>
  <c r="BX41" i="29"/>
  <c r="CG18" i="30"/>
  <c r="CH18" i="30"/>
  <c r="BZ41" i="29"/>
  <c r="F18" i="5" l="1"/>
  <c r="G18" i="5"/>
  <c r="H18" i="5"/>
  <c r="I18" i="5"/>
  <c r="J18" i="5"/>
  <c r="K18" i="5"/>
  <c r="CW128" i="1"/>
  <c r="DH35" i="28"/>
  <c r="DH71" i="28"/>
  <c r="DH33" i="28"/>
  <c r="DH73" i="28"/>
  <c r="DH31" i="28"/>
  <c r="DH72" i="28"/>
  <c r="CD38" i="29"/>
  <c r="CC38" i="29"/>
  <c r="CB38" i="29"/>
  <c r="CB40" i="29" s="1"/>
  <c r="CC40" i="29" s="1"/>
  <c r="CD40" i="29" s="1"/>
  <c r="CJ18" i="30"/>
  <c r="CZ7" i="1" l="1"/>
  <c r="CY7" i="1"/>
  <c r="CX11" i="1"/>
  <c r="CX128" i="1" s="1"/>
  <c r="CY11" i="1"/>
  <c r="CZ11" i="1"/>
  <c r="CE38" i="29"/>
  <c r="CE40" i="29" s="1"/>
  <c r="CF40" i="29" s="1"/>
  <c r="CA41" i="29"/>
  <c r="CI18" i="30"/>
  <c r="CK18" i="30"/>
  <c r="CF38" i="29"/>
  <c r="CY128" i="1" l="1"/>
  <c r="CZ128" i="1" s="1"/>
  <c r="DC6" i="1"/>
  <c r="CX7" i="1"/>
  <c r="DB7" i="1"/>
  <c r="DA7" i="1"/>
  <c r="DA11" i="1"/>
  <c r="DB11" i="1"/>
  <c r="CB41" i="29"/>
  <c r="DA128" i="1" l="1"/>
  <c r="DB128" i="1" s="1"/>
  <c r="DD6" i="1"/>
  <c r="CG38" i="29"/>
  <c r="CG40" i="29" s="1"/>
  <c r="DE6" i="1" l="1"/>
  <c r="DC11" i="1"/>
  <c r="DC128" i="1" s="1"/>
  <c r="CC41" i="29"/>
  <c r="CH38" i="29"/>
  <c r="CH40" i="29" s="1"/>
  <c r="DF6" i="1" l="1"/>
  <c r="DC7" i="1"/>
  <c r="DD11" i="1"/>
  <c r="DD128" i="1" s="1"/>
  <c r="CD41" i="29"/>
  <c r="CE41" i="29"/>
  <c r="DG6" i="1" l="1"/>
  <c r="DD7" i="1"/>
  <c r="CG41" i="29" l="1"/>
  <c r="CF41" i="29"/>
  <c r="CK38" i="29"/>
  <c r="DG11" i="1" s="1"/>
  <c r="CI38" i="29"/>
  <c r="CI40" i="29" s="1"/>
  <c r="CJ38" i="29"/>
  <c r="CJ40" i="29" l="1"/>
  <c r="CK40" i="29" s="1"/>
  <c r="DG7" i="1"/>
  <c r="DF7" i="1"/>
  <c r="DE11" i="1"/>
  <c r="DE128" i="1" s="1"/>
  <c r="DF11" i="1"/>
  <c r="DC8" i="1"/>
  <c r="DF128" i="1" l="1"/>
  <c r="DG128" i="1" s="1"/>
  <c r="DE7" i="1"/>
  <c r="CJ41" i="29"/>
  <c r="CH41" i="29"/>
  <c r="DD8" i="1" l="1"/>
  <c r="DF8" i="1"/>
  <c r="CI41" i="29"/>
  <c r="DE8" i="1" l="1"/>
  <c r="CK41" i="29"/>
  <c r="DG8" i="1" l="1"/>
  <c r="R9" i="28" l="1"/>
  <c r="R71" i="28" s="1"/>
  <c r="AE41" i="1"/>
  <c r="AD41" i="1"/>
  <c r="AC41" i="1"/>
  <c r="AB41" i="1"/>
  <c r="C23" i="31" s="1"/>
  <c r="AA41" i="1"/>
  <c r="Z41" i="1"/>
  <c r="Y41" i="1"/>
  <c r="X41" i="1"/>
  <c r="W41" i="1"/>
  <c r="V41" i="1"/>
  <c r="U41" i="1"/>
  <c r="T41" i="1"/>
  <c r="S41" i="1"/>
  <c r="R41" i="1"/>
  <c r="Q41" i="1"/>
  <c r="P41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X149" i="1"/>
  <c r="X173" i="1" s="1"/>
  <c r="Y149" i="1"/>
  <c r="Z149" i="1"/>
  <c r="AA149" i="1"/>
  <c r="D49" i="5" s="1"/>
  <c r="AB149" i="1"/>
  <c r="AC149" i="1"/>
  <c r="AD149" i="1"/>
  <c r="AE149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L64" i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D8" i="1"/>
  <c r="AE8" i="1"/>
  <c r="AD27" i="1"/>
  <c r="AE27" i="1"/>
  <c r="AD55" i="1"/>
  <c r="AE55" i="1"/>
  <c r="AD85" i="1"/>
  <c r="AD88" i="1" s="1"/>
  <c r="AE85" i="1"/>
  <c r="AE88" i="1" s="1"/>
  <c r="AD102" i="1"/>
  <c r="AE102" i="1"/>
  <c r="AD105" i="1"/>
  <c r="AE105" i="1"/>
  <c r="AF167" i="1" s="1"/>
  <c r="AD116" i="1"/>
  <c r="AE116" i="1"/>
  <c r="AD142" i="1"/>
  <c r="AE142" i="1"/>
  <c r="AC8" i="1"/>
  <c r="AC27" i="1"/>
  <c r="AC55" i="1"/>
  <c r="AC85" i="1"/>
  <c r="AC88" i="1" s="1"/>
  <c r="AC102" i="1"/>
  <c r="AC105" i="1"/>
  <c r="AC116" i="1"/>
  <c r="AC142" i="1"/>
  <c r="G25" i="32"/>
  <c r="P39" i="25"/>
  <c r="G17" i="15"/>
  <c r="F17" i="15"/>
  <c r="E17" i="15"/>
  <c r="D17" i="15"/>
  <c r="C17" i="15"/>
  <c r="N13" i="15"/>
  <c r="N15" i="15" s="1"/>
  <c r="M13" i="15"/>
  <c r="M15" i="15" s="1"/>
  <c r="L13" i="15"/>
  <c r="L15" i="15" s="1"/>
  <c r="K13" i="15"/>
  <c r="K15" i="15" s="1"/>
  <c r="J13" i="15"/>
  <c r="J15" i="15" s="1"/>
  <c r="I13" i="15"/>
  <c r="I15" i="15" s="1"/>
  <c r="H13" i="15"/>
  <c r="H15" i="15" s="1"/>
  <c r="G13" i="15"/>
  <c r="G15" i="15" s="1"/>
  <c r="F13" i="15"/>
  <c r="F15" i="15" s="1"/>
  <c r="E13" i="15"/>
  <c r="E15" i="15" s="1"/>
  <c r="D13" i="15"/>
  <c r="D15" i="15" s="1"/>
  <c r="C13" i="15"/>
  <c r="H13" i="25"/>
  <c r="H15" i="25" s="1"/>
  <c r="F13" i="25"/>
  <c r="F15" i="25" s="1"/>
  <c r="D13" i="25"/>
  <c r="D15" i="25" s="1"/>
  <c r="C13" i="25"/>
  <c r="C15" i="25" s="1"/>
  <c r="E13" i="25"/>
  <c r="E15" i="25" s="1"/>
  <c r="S7" i="24"/>
  <c r="AB2" i="24"/>
  <c r="AN2" i="24" s="1"/>
  <c r="AZ2" i="24" s="1"/>
  <c r="AA2" i="24"/>
  <c r="AM2" i="24" s="1"/>
  <c r="AY2" i="24" s="1"/>
  <c r="Z2" i="24"/>
  <c r="AL2" i="24" s="1"/>
  <c r="AX2" i="24" s="1"/>
  <c r="Y2" i="24"/>
  <c r="AK2" i="24" s="1"/>
  <c r="AW2" i="24" s="1"/>
  <c r="X2" i="24"/>
  <c r="AJ2" i="24" s="1"/>
  <c r="AV2" i="24" s="1"/>
  <c r="W2" i="24"/>
  <c r="AI2" i="24" s="1"/>
  <c r="AU2" i="24" s="1"/>
  <c r="V2" i="24"/>
  <c r="AH2" i="24" s="1"/>
  <c r="AT2" i="24" s="1"/>
  <c r="U2" i="24"/>
  <c r="AG2" i="24" s="1"/>
  <c r="AS2" i="24" s="1"/>
  <c r="T2" i="24"/>
  <c r="AF2" i="24" s="1"/>
  <c r="AR2" i="24" s="1"/>
  <c r="S2" i="24"/>
  <c r="AE2" i="24" s="1"/>
  <c r="AQ2" i="24" s="1"/>
  <c r="R2" i="24"/>
  <c r="AD2" i="24" s="1"/>
  <c r="AP2" i="24" s="1"/>
  <c r="Q2" i="24"/>
  <c r="AC2" i="24" s="1"/>
  <c r="AO2" i="24" s="1"/>
  <c r="AZ1" i="24"/>
  <c r="AZ3" i="24" s="1"/>
  <c r="AY1" i="24"/>
  <c r="AY3" i="24" s="1"/>
  <c r="AX1" i="24"/>
  <c r="AX3" i="24" s="1"/>
  <c r="AW1" i="24"/>
  <c r="AW3" i="24" s="1"/>
  <c r="AV1" i="24"/>
  <c r="AV3" i="24" s="1"/>
  <c r="AU1" i="24"/>
  <c r="AU3" i="24" s="1"/>
  <c r="AT1" i="24"/>
  <c r="AT3" i="24" s="1"/>
  <c r="AS1" i="24"/>
  <c r="AS3" i="24" s="1"/>
  <c r="AR1" i="24"/>
  <c r="AR3" i="24" s="1"/>
  <c r="AQ1" i="24"/>
  <c r="AQ3" i="24" s="1"/>
  <c r="AP1" i="24"/>
  <c r="AP3" i="24" s="1"/>
  <c r="AO1" i="24"/>
  <c r="AO3" i="24" s="1"/>
  <c r="AN1" i="24"/>
  <c r="AN3" i="24" s="1"/>
  <c r="AM1" i="24"/>
  <c r="AM3" i="24" s="1"/>
  <c r="AL1" i="24"/>
  <c r="AL3" i="24" s="1"/>
  <c r="AK1" i="24"/>
  <c r="AK3" i="24" s="1"/>
  <c r="AJ1" i="24"/>
  <c r="AJ3" i="24" s="1"/>
  <c r="AI1" i="24"/>
  <c r="AI3" i="24" s="1"/>
  <c r="AH1" i="24"/>
  <c r="AH3" i="24" s="1"/>
  <c r="AG1" i="24"/>
  <c r="AG3" i="24" s="1"/>
  <c r="AF1" i="24"/>
  <c r="AF3" i="24" s="1"/>
  <c r="AE1" i="24"/>
  <c r="AE3" i="24" s="1"/>
  <c r="AD1" i="24"/>
  <c r="AD3" i="24" s="1"/>
  <c r="AC1" i="24"/>
  <c r="AC3" i="24" s="1"/>
  <c r="AB1" i="24"/>
  <c r="AB3" i="24" s="1"/>
  <c r="AA1" i="24"/>
  <c r="AA3" i="24" s="1"/>
  <c r="Z1" i="24"/>
  <c r="Z3" i="24" s="1"/>
  <c r="Y1" i="24"/>
  <c r="Y3" i="24" s="1"/>
  <c r="X1" i="24"/>
  <c r="X3" i="24" s="1"/>
  <c r="W1" i="24"/>
  <c r="W3" i="24" s="1"/>
  <c r="V1" i="24"/>
  <c r="V3" i="24" s="1"/>
  <c r="U1" i="24"/>
  <c r="U3" i="24" s="1"/>
  <c r="T1" i="24"/>
  <c r="T3" i="24" s="1"/>
  <c r="S1" i="24"/>
  <c r="S3" i="24" s="1"/>
  <c r="R1" i="24"/>
  <c r="R3" i="24" s="1"/>
  <c r="Q1" i="24"/>
  <c r="Q3" i="24" s="1"/>
  <c r="P1" i="24"/>
  <c r="P3" i="24" s="1"/>
  <c r="O1" i="24"/>
  <c r="O3" i="24" s="1"/>
  <c r="N1" i="24"/>
  <c r="N3" i="24" s="1"/>
  <c r="M1" i="24"/>
  <c r="M3" i="24" s="1"/>
  <c r="L1" i="24"/>
  <c r="L3" i="24" s="1"/>
  <c r="K1" i="24"/>
  <c r="K3" i="24" s="1"/>
  <c r="J1" i="24"/>
  <c r="J3" i="24" s="1"/>
  <c r="I1" i="24"/>
  <c r="I3" i="24" s="1"/>
  <c r="H1" i="24"/>
  <c r="H3" i="24" s="1"/>
  <c r="G1" i="24"/>
  <c r="G3" i="24" s="1"/>
  <c r="F1" i="24"/>
  <c r="F3" i="24" s="1"/>
  <c r="E1" i="24"/>
  <c r="E3" i="24" s="1"/>
  <c r="G9" i="28"/>
  <c r="G71" i="28" s="1"/>
  <c r="H9" i="28"/>
  <c r="H71" i="28" s="1"/>
  <c r="I9" i="28"/>
  <c r="I71" i="28" s="1"/>
  <c r="J9" i="28"/>
  <c r="J71" i="28" s="1"/>
  <c r="K9" i="28"/>
  <c r="K71" i="28" s="1"/>
  <c r="L9" i="28"/>
  <c r="L71" i="28" s="1"/>
  <c r="M9" i="28"/>
  <c r="M71" i="28" s="1"/>
  <c r="N9" i="28"/>
  <c r="N71" i="28" s="1"/>
  <c r="O9" i="28"/>
  <c r="O71" i="28" s="1"/>
  <c r="P9" i="28"/>
  <c r="P71" i="28" s="1"/>
  <c r="Q9" i="28"/>
  <c r="Q71" i="28" s="1"/>
  <c r="F9" i="28"/>
  <c r="F71" i="28" s="1"/>
  <c r="E136" i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W173" i="1"/>
  <c r="V173" i="1"/>
  <c r="U173" i="1"/>
  <c r="T173" i="1"/>
  <c r="S173" i="1"/>
  <c r="R173" i="1"/>
  <c r="Q173" i="1"/>
  <c r="AB102" i="1"/>
  <c r="AA102" i="1"/>
  <c r="Z102" i="1"/>
  <c r="Y102" i="1"/>
  <c r="AA134" i="1"/>
  <c r="Z134" i="1"/>
  <c r="Y134" i="1"/>
  <c r="X134" i="1"/>
  <c r="W134" i="1"/>
  <c r="V134" i="1"/>
  <c r="U134" i="1"/>
  <c r="T134" i="1"/>
  <c r="F167" i="1"/>
  <c r="G167" i="1"/>
  <c r="H167" i="1"/>
  <c r="I167" i="1"/>
  <c r="J167" i="1"/>
  <c r="K167" i="1"/>
  <c r="L167" i="1"/>
  <c r="M167" i="1"/>
  <c r="N167" i="1"/>
  <c r="O167" i="1"/>
  <c r="F168" i="1"/>
  <c r="G168" i="1"/>
  <c r="H168" i="1"/>
  <c r="I168" i="1"/>
  <c r="J168" i="1"/>
  <c r="K168" i="1"/>
  <c r="L168" i="1"/>
  <c r="M168" i="1"/>
  <c r="N168" i="1"/>
  <c r="E178" i="1"/>
  <c r="E168" i="1"/>
  <c r="E167" i="1"/>
  <c r="N149" i="1"/>
  <c r="M149" i="1"/>
  <c r="L149" i="1"/>
  <c r="K149" i="1"/>
  <c r="J149" i="1"/>
  <c r="I149" i="1"/>
  <c r="H149" i="1"/>
  <c r="G149" i="1"/>
  <c r="F149" i="1"/>
  <c r="E149" i="1"/>
  <c r="D149" i="1"/>
  <c r="D160" i="1" s="1"/>
  <c r="D161" i="1" s="1"/>
  <c r="D162" i="1" s="1"/>
  <c r="O149" i="1"/>
  <c r="O160" i="1" s="1"/>
  <c r="P142" i="1"/>
  <c r="AB142" i="1"/>
  <c r="O124" i="1"/>
  <c r="N124" i="1"/>
  <c r="M124" i="1"/>
  <c r="L124" i="1"/>
  <c r="K124" i="1"/>
  <c r="J124" i="1"/>
  <c r="I124" i="1"/>
  <c r="H124" i="1"/>
  <c r="G124" i="1"/>
  <c r="F124" i="1"/>
  <c r="E124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B116" i="1"/>
  <c r="N102" i="1"/>
  <c r="N112" i="1" s="1"/>
  <c r="M102" i="1"/>
  <c r="M112" i="1" s="1"/>
  <c r="L102" i="1"/>
  <c r="L112" i="1" s="1"/>
  <c r="K102" i="1"/>
  <c r="K112" i="1" s="1"/>
  <c r="J102" i="1"/>
  <c r="J112" i="1" s="1"/>
  <c r="I102" i="1"/>
  <c r="I112" i="1" s="1"/>
  <c r="H102" i="1"/>
  <c r="H112" i="1" s="1"/>
  <c r="G102" i="1"/>
  <c r="G112" i="1" s="1"/>
  <c r="F102" i="1"/>
  <c r="E102" i="1"/>
  <c r="O102" i="1"/>
  <c r="O112" i="1" s="1"/>
  <c r="O88" i="1"/>
  <c r="O90" i="1" s="1"/>
  <c r="N88" i="1"/>
  <c r="N90" i="1" s="1"/>
  <c r="M88" i="1"/>
  <c r="M90" i="1" s="1"/>
  <c r="L88" i="1"/>
  <c r="L90" i="1" s="1"/>
  <c r="K88" i="1"/>
  <c r="K90" i="1" s="1"/>
  <c r="J88" i="1"/>
  <c r="J90" i="1" s="1"/>
  <c r="I88" i="1"/>
  <c r="I90" i="1" s="1"/>
  <c r="H88" i="1"/>
  <c r="H90" i="1" s="1"/>
  <c r="G88" i="1"/>
  <c r="G90" i="1" s="1"/>
  <c r="F88" i="1"/>
  <c r="F90" i="1" s="1"/>
  <c r="E88" i="1"/>
  <c r="E90" i="1" s="1"/>
  <c r="O66" i="1"/>
  <c r="N66" i="1"/>
  <c r="M66" i="1"/>
  <c r="L66" i="1"/>
  <c r="K66" i="1"/>
  <c r="J66" i="1"/>
  <c r="I66" i="1"/>
  <c r="H66" i="1"/>
  <c r="G66" i="1"/>
  <c r="F66" i="1"/>
  <c r="E66" i="1"/>
  <c r="N55" i="1"/>
  <c r="M55" i="1"/>
  <c r="L55" i="1"/>
  <c r="K55" i="1"/>
  <c r="J55" i="1"/>
  <c r="I55" i="1"/>
  <c r="H55" i="1"/>
  <c r="G55" i="1"/>
  <c r="F55" i="1"/>
  <c r="E55" i="1"/>
  <c r="O55" i="1"/>
  <c r="AB55" i="1"/>
  <c r="Q55" i="1"/>
  <c r="R55" i="1"/>
  <c r="S55" i="1"/>
  <c r="T55" i="1"/>
  <c r="U55" i="1"/>
  <c r="V55" i="1"/>
  <c r="W55" i="1"/>
  <c r="X55" i="1"/>
  <c r="Y55" i="1"/>
  <c r="Z55" i="1"/>
  <c r="AA55" i="1"/>
  <c r="P55" i="1"/>
  <c r="E1" i="1"/>
  <c r="E2" i="1" s="1"/>
  <c r="F1" i="1"/>
  <c r="F2" i="1" s="1"/>
  <c r="G1" i="1"/>
  <c r="G2" i="1" s="1"/>
  <c r="H1" i="1"/>
  <c r="H2" i="1" s="1"/>
  <c r="I1" i="1"/>
  <c r="I2" i="1" s="1"/>
  <c r="J1" i="1"/>
  <c r="K1" i="1"/>
  <c r="K2" i="1" s="1"/>
  <c r="L1" i="1"/>
  <c r="L2" i="1" s="1"/>
  <c r="M1" i="1"/>
  <c r="M2" i="1" s="1"/>
  <c r="N1" i="1"/>
  <c r="N2" i="1" s="1"/>
  <c r="O1" i="1"/>
  <c r="O2" i="1" s="1"/>
  <c r="D1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A142" i="1"/>
  <c r="Z142" i="1"/>
  <c r="Y142" i="1"/>
  <c r="X142" i="1"/>
  <c r="W142" i="1"/>
  <c r="V142" i="1"/>
  <c r="U142" i="1"/>
  <c r="T142" i="1"/>
  <c r="S142" i="1"/>
  <c r="R142" i="1"/>
  <c r="Q142" i="1"/>
  <c r="O142" i="1"/>
  <c r="AL56" i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AL70" i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AL69" i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G27" i="23"/>
  <c r="I27" i="23" s="1"/>
  <c r="AB27" i="1"/>
  <c r="AA26" i="1"/>
  <c r="AA27" i="1" s="1"/>
  <c r="N17" i="15" s="1"/>
  <c r="Z26" i="1"/>
  <c r="Z27" i="1" s="1"/>
  <c r="M17" i="15" s="1"/>
  <c r="Y26" i="1"/>
  <c r="Y27" i="1" s="1"/>
  <c r="L17" i="15" s="1"/>
  <c r="X26" i="1"/>
  <c r="X27" i="1" s="1"/>
  <c r="K17" i="15" s="1"/>
  <c r="W26" i="1"/>
  <c r="W27" i="1" s="1"/>
  <c r="J17" i="15" s="1"/>
  <c r="V26" i="1"/>
  <c r="V27" i="1" s="1"/>
  <c r="I17" i="15" s="1"/>
  <c r="U26" i="1"/>
  <c r="U27" i="1" s="1"/>
  <c r="H17" i="15" s="1"/>
  <c r="F8" i="28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F5" i="28"/>
  <c r="G5" i="28"/>
  <c r="H5" i="28"/>
  <c r="I5" i="28"/>
  <c r="E5" i="28"/>
  <c r="P1" i="28"/>
  <c r="P2" i="28" s="1"/>
  <c r="O1" i="28"/>
  <c r="O2" i="28" s="1"/>
  <c r="N1" i="28"/>
  <c r="N2" i="28" s="1"/>
  <c r="M1" i="28"/>
  <c r="M2" i="28" s="1"/>
  <c r="L1" i="28"/>
  <c r="L2" i="28" s="1"/>
  <c r="K1" i="28"/>
  <c r="K2" i="28" s="1"/>
  <c r="J1" i="28"/>
  <c r="J2" i="28" s="1"/>
  <c r="I1" i="28"/>
  <c r="I2" i="28" s="1"/>
  <c r="H1" i="28"/>
  <c r="H2" i="28" s="1"/>
  <c r="G1" i="28"/>
  <c r="G2" i="28" s="1"/>
  <c r="F1" i="28"/>
  <c r="F2" i="28" s="1"/>
  <c r="E1" i="28"/>
  <c r="E2" i="28" s="1"/>
  <c r="C36" i="25"/>
  <c r="I16" i="23"/>
  <c r="D36" i="25"/>
  <c r="N30" i="27"/>
  <c r="M30" i="27"/>
  <c r="L30" i="27"/>
  <c r="K30" i="27"/>
  <c r="J30" i="27"/>
  <c r="I30" i="27"/>
  <c r="H30" i="27"/>
  <c r="G30" i="27"/>
  <c r="F30" i="27"/>
  <c r="E30" i="27"/>
  <c r="D30" i="27"/>
  <c r="N29" i="27"/>
  <c r="M29" i="27"/>
  <c r="L29" i="27"/>
  <c r="K29" i="27"/>
  <c r="J29" i="27"/>
  <c r="I29" i="27"/>
  <c r="H29" i="27"/>
  <c r="G29" i="27"/>
  <c r="F29" i="27"/>
  <c r="E29" i="27"/>
  <c r="D29" i="27"/>
  <c r="I14" i="23"/>
  <c r="G19" i="23"/>
  <c r="I19" i="23" s="1"/>
  <c r="G20" i="23"/>
  <c r="G21" i="23"/>
  <c r="I21" i="23" s="1"/>
  <c r="G23" i="23"/>
  <c r="I23" i="23" s="1"/>
  <c r="G24" i="23"/>
  <c r="I24" i="23" s="1"/>
  <c r="G25" i="23"/>
  <c r="I25" i="23" s="1"/>
  <c r="G26" i="23"/>
  <c r="I26" i="23" s="1"/>
  <c r="G30" i="23"/>
  <c r="G31" i="23" s="1"/>
  <c r="G32" i="23" s="1"/>
  <c r="I32" i="23" s="1"/>
  <c r="AB8" i="1"/>
  <c r="D33" i="31" l="1"/>
  <c r="P75" i="1"/>
  <c r="P76" i="1" s="1"/>
  <c r="P80" i="1" s="1"/>
  <c r="P81" i="1" s="1"/>
  <c r="C35" i="32"/>
  <c r="C33" i="31"/>
  <c r="F35" i="32"/>
  <c r="F33" i="31"/>
  <c r="AF173" i="1"/>
  <c r="AF174" i="1" s="1"/>
  <c r="G33" i="31"/>
  <c r="E35" i="32"/>
  <c r="E33" i="31"/>
  <c r="D25" i="32"/>
  <c r="D23" i="31"/>
  <c r="E25" i="32"/>
  <c r="E23" i="31"/>
  <c r="F25" i="32"/>
  <c r="F23" i="31"/>
  <c r="AZ64" i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G22" i="23"/>
  <c r="I22" i="23" s="1"/>
  <c r="C25" i="32"/>
  <c r="AZ69" i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70" i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L56" i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D35" i="32"/>
  <c r="O75" i="1"/>
  <c r="O76" i="1" s="1"/>
  <c r="O79" i="1" s="1"/>
  <c r="O89" i="1" s="1"/>
  <c r="O166" i="1" s="1"/>
  <c r="F32" i="32"/>
  <c r="F30" i="31"/>
  <c r="E30" i="31"/>
  <c r="E32" i="32"/>
  <c r="D32" i="32"/>
  <c r="D30" i="31"/>
  <c r="F6" i="28"/>
  <c r="G6" i="28" s="1"/>
  <c r="H6" i="28" s="1"/>
  <c r="I6" i="28" s="1"/>
  <c r="G75" i="1"/>
  <c r="G76" i="1" s="1"/>
  <c r="F10" i="28"/>
  <c r="E75" i="1"/>
  <c r="E76" i="1" s="1"/>
  <c r="E79" i="1" s="1"/>
  <c r="M75" i="1"/>
  <c r="M76" i="1" s="1"/>
  <c r="M79" i="1" s="1"/>
  <c r="M89" i="1" s="1"/>
  <c r="M166" i="1" s="1"/>
  <c r="M170" i="1" s="1"/>
  <c r="F75" i="1"/>
  <c r="F76" i="1" s="1"/>
  <c r="N75" i="1"/>
  <c r="N76" i="1" s="1"/>
  <c r="L75" i="1"/>
  <c r="L76" i="1" s="1"/>
  <c r="AB9" i="1"/>
  <c r="AB33" i="1" s="1"/>
  <c r="H75" i="1"/>
  <c r="H76" i="1" s="1"/>
  <c r="C17" i="25"/>
  <c r="C19" i="25" s="1"/>
  <c r="C21" i="25" s="1"/>
  <c r="AC9" i="1"/>
  <c r="AD9" i="1"/>
  <c r="AD33" i="1" s="1"/>
  <c r="K75" i="1"/>
  <c r="K76" i="1" s="1"/>
  <c r="AE9" i="1"/>
  <c r="O173" i="1"/>
  <c r="O174" i="1" s="1"/>
  <c r="R75" i="1"/>
  <c r="R76" i="1" s="1"/>
  <c r="R80" i="1" s="1"/>
  <c r="I75" i="1"/>
  <c r="I76" i="1" s="1"/>
  <c r="J75" i="1"/>
  <c r="J76" i="1" s="1"/>
  <c r="T75" i="1"/>
  <c r="T76" i="1" s="1"/>
  <c r="T80" i="1" s="1"/>
  <c r="S8" i="28"/>
  <c r="T8" i="28" s="1"/>
  <c r="S75" i="1"/>
  <c r="S76" i="1" s="1"/>
  <c r="S80" i="1" s="1"/>
  <c r="W75" i="1"/>
  <c r="W76" i="1" s="1"/>
  <c r="V75" i="1"/>
  <c r="V76" i="1" s="1"/>
  <c r="Q75" i="1"/>
  <c r="Q76" i="1" s="1"/>
  <c r="Q80" i="1" s="1"/>
  <c r="Y75" i="1"/>
  <c r="Y76" i="1" s="1"/>
  <c r="U75" i="1"/>
  <c r="U76" i="1" s="1"/>
  <c r="X75" i="1"/>
  <c r="X76" i="1" s="1"/>
  <c r="AD75" i="1"/>
  <c r="E24" i="31" s="1"/>
  <c r="AA75" i="1"/>
  <c r="AA76" i="1" s="1"/>
  <c r="AC111" i="1"/>
  <c r="AC112" i="1" s="1"/>
  <c r="AC75" i="1"/>
  <c r="AE143" i="1"/>
  <c r="AE144" i="1" s="1"/>
  <c r="AF168" i="1" s="1"/>
  <c r="AF170" i="1" s="1"/>
  <c r="Z75" i="1"/>
  <c r="AB75" i="1"/>
  <c r="AE75" i="1"/>
  <c r="AD111" i="1"/>
  <c r="AD112" i="1" s="1"/>
  <c r="AC143" i="1"/>
  <c r="AC144" i="1" s="1"/>
  <c r="AE111" i="1"/>
  <c r="AE112" i="1" s="1"/>
  <c r="AD143" i="1"/>
  <c r="AD144" i="1" s="1"/>
  <c r="G35" i="32"/>
  <c r="AL73" i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AL71" i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AL62" i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L148" i="1"/>
  <c r="AL68" i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AL74" i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AL155" i="1"/>
  <c r="T143" i="1"/>
  <c r="T144" i="1" s="1"/>
  <c r="C12" i="25"/>
  <c r="C14" i="25" s="1"/>
  <c r="Y173" i="1"/>
  <c r="D20" i="15"/>
  <c r="D22" i="15" s="1"/>
  <c r="L20" i="15"/>
  <c r="L22" i="15" s="1"/>
  <c r="I20" i="15"/>
  <c r="E20" i="15"/>
  <c r="M20" i="15"/>
  <c r="H20" i="15"/>
  <c r="P17" i="15"/>
  <c r="F20" i="15"/>
  <c r="N20" i="15"/>
  <c r="K20" i="15"/>
  <c r="G20" i="15"/>
  <c r="J20" i="15"/>
  <c r="P13" i="15"/>
  <c r="P15" i="15" s="1"/>
  <c r="C15" i="15"/>
  <c r="C20" i="15" s="1"/>
  <c r="I173" i="1"/>
  <c r="I174" i="1" s="1"/>
  <c r="L173" i="1"/>
  <c r="L174" i="1" s="1"/>
  <c r="Q143" i="1"/>
  <c r="Q144" i="1" s="1"/>
  <c r="P173" i="1"/>
  <c r="P174" i="1" s="1"/>
  <c r="K173" i="1"/>
  <c r="K174" i="1" s="1"/>
  <c r="E173" i="1"/>
  <c r="E174" i="1" s="1"/>
  <c r="M173" i="1"/>
  <c r="M174" i="1" s="1"/>
  <c r="Z173" i="1"/>
  <c r="N173" i="1"/>
  <c r="N174" i="1" s="1"/>
  <c r="F173" i="1"/>
  <c r="F174" i="1" s="1"/>
  <c r="G173" i="1"/>
  <c r="G174" i="1" s="1"/>
  <c r="AB173" i="1"/>
  <c r="U143" i="1"/>
  <c r="U144" i="1" s="1"/>
  <c r="H173" i="1"/>
  <c r="H174" i="1" s="1"/>
  <c r="J2" i="1"/>
  <c r="P143" i="1"/>
  <c r="P144" i="1" s="1"/>
  <c r="D2" i="1"/>
  <c r="AA173" i="1"/>
  <c r="AB143" i="1"/>
  <c r="AB144" i="1" s="1"/>
  <c r="J173" i="1"/>
  <c r="J174" i="1" s="1"/>
  <c r="O143" i="1"/>
  <c r="O144" i="1" s="1"/>
  <c r="O168" i="1" s="1"/>
  <c r="X143" i="1"/>
  <c r="X144" i="1" s="1"/>
  <c r="R143" i="1"/>
  <c r="R144" i="1" s="1"/>
  <c r="Z143" i="1"/>
  <c r="Z144" i="1" s="1"/>
  <c r="Y143" i="1"/>
  <c r="Y144" i="1" s="1"/>
  <c r="W143" i="1"/>
  <c r="W144" i="1" s="1"/>
  <c r="V143" i="1"/>
  <c r="V144" i="1" s="1"/>
  <c r="S143" i="1"/>
  <c r="S144" i="1" s="1"/>
  <c r="AA143" i="1"/>
  <c r="AA144" i="1" s="1"/>
  <c r="AL154" i="1"/>
  <c r="AM154" i="1" s="1"/>
  <c r="AN154" i="1" s="1"/>
  <c r="AO154" i="1" s="1"/>
  <c r="AP154" i="1" s="1"/>
  <c r="AQ154" i="1" s="1"/>
  <c r="E36" i="25"/>
  <c r="I20" i="23"/>
  <c r="I30" i="23"/>
  <c r="I31" i="23"/>
  <c r="E19" i="27"/>
  <c r="F19" i="27"/>
  <c r="G19" i="27"/>
  <c r="H19" i="27"/>
  <c r="I19" i="27"/>
  <c r="J19" i="27"/>
  <c r="K19" i="27"/>
  <c r="L19" i="27"/>
  <c r="L20" i="27" s="1"/>
  <c r="M19" i="27"/>
  <c r="N19" i="27"/>
  <c r="D19" i="27"/>
  <c r="E12" i="27"/>
  <c r="F12" i="27"/>
  <c r="G12" i="27"/>
  <c r="H12" i="27"/>
  <c r="I12" i="27"/>
  <c r="J12" i="27"/>
  <c r="K12" i="27"/>
  <c r="L12" i="27"/>
  <c r="M12" i="27"/>
  <c r="N12" i="27"/>
  <c r="E13" i="27"/>
  <c r="F13" i="27"/>
  <c r="G13" i="27"/>
  <c r="H13" i="27"/>
  <c r="I13" i="27"/>
  <c r="J13" i="27"/>
  <c r="K13" i="27"/>
  <c r="L13" i="27"/>
  <c r="M13" i="27"/>
  <c r="N13" i="27"/>
  <c r="D13" i="27"/>
  <c r="D12" i="27"/>
  <c r="C12" i="27"/>
  <c r="C25" i="27"/>
  <c r="N20" i="27"/>
  <c r="J20" i="27"/>
  <c r="F20" i="27"/>
  <c r="M20" i="27"/>
  <c r="K20" i="27"/>
  <c r="I20" i="27"/>
  <c r="H20" i="27"/>
  <c r="G20" i="27"/>
  <c r="E20" i="27"/>
  <c r="D20" i="27"/>
  <c r="C13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G10" i="28" l="1"/>
  <c r="S125" i="1"/>
  <c r="Q125" i="1"/>
  <c r="DB6" i="1"/>
  <c r="DB8" i="1" s="1"/>
  <c r="AU6" i="1"/>
  <c r="BU6" i="1"/>
  <c r="BU8" i="1" s="1"/>
  <c r="BG6" i="1"/>
  <c r="AV6" i="1"/>
  <c r="AQ6" i="1"/>
  <c r="P125" i="1"/>
  <c r="V125" i="1"/>
  <c r="Y125" i="1"/>
  <c r="X125" i="1"/>
  <c r="U125" i="1"/>
  <c r="T125" i="1"/>
  <c r="R125" i="1"/>
  <c r="W125" i="1"/>
  <c r="AF176" i="1"/>
  <c r="D26" i="32"/>
  <c r="D27" i="32" s="1"/>
  <c r="D24" i="31"/>
  <c r="H24" i="31"/>
  <c r="F26" i="32"/>
  <c r="F27" i="32" s="1"/>
  <c r="F24" i="31"/>
  <c r="C26" i="32"/>
  <c r="C27" i="32" s="1"/>
  <c r="C24" i="31"/>
  <c r="G28" i="23"/>
  <c r="I28" i="23" s="1"/>
  <c r="BX70" i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BX56" i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BL64" i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L71" i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AE106" i="1"/>
  <c r="AE33" i="1"/>
  <c r="BL69" i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L73" i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L74" i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AC106" i="1"/>
  <c r="AC33" i="1"/>
  <c r="E89" i="1"/>
  <c r="E159" i="1" s="1"/>
  <c r="E160" i="1" s="1"/>
  <c r="E161" i="1" s="1"/>
  <c r="E162" i="1" s="1"/>
  <c r="BL68" i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AD76" i="1"/>
  <c r="E26" i="32"/>
  <c r="E27" i="32" s="1"/>
  <c r="AZ62" i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N12" i="31"/>
  <c r="AM6" i="1"/>
  <c r="AN6" i="1"/>
  <c r="C18" i="25"/>
  <c r="C20" i="25" s="1"/>
  <c r="AD106" i="1"/>
  <c r="E25" i="31"/>
  <c r="AL58" i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AC76" i="1"/>
  <c r="AE76" i="1"/>
  <c r="AB76" i="1"/>
  <c r="AB82" i="1" s="1"/>
  <c r="Z76" i="1"/>
  <c r="Z125" i="1" s="1"/>
  <c r="C24" i="15"/>
  <c r="M176" i="1"/>
  <c r="P20" i="15"/>
  <c r="P22" i="15" s="1"/>
  <c r="J22" i="15"/>
  <c r="M22" i="15"/>
  <c r="N22" i="15"/>
  <c r="E22" i="15"/>
  <c r="H22" i="15"/>
  <c r="G22" i="15"/>
  <c r="K22" i="15"/>
  <c r="F22" i="15"/>
  <c r="I22" i="15"/>
  <c r="C22" i="15"/>
  <c r="J6" i="28"/>
  <c r="K6" i="28" s="1"/>
  <c r="L6" i="28" s="1"/>
  <c r="O170" i="1"/>
  <c r="O176" i="1" s="1"/>
  <c r="L79" i="1"/>
  <c r="L89" i="1" s="1"/>
  <c r="L166" i="1" s="1"/>
  <c r="L170" i="1" s="1"/>
  <c r="L176" i="1" s="1"/>
  <c r="J79" i="1"/>
  <c r="J89" i="1" s="1"/>
  <c r="J166" i="1" s="1"/>
  <c r="J170" i="1" s="1"/>
  <c r="J176" i="1" s="1"/>
  <c r="H79" i="1"/>
  <c r="H89" i="1" s="1"/>
  <c r="H166" i="1" s="1"/>
  <c r="H170" i="1" s="1"/>
  <c r="H176" i="1" s="1"/>
  <c r="N79" i="1"/>
  <c r="N89" i="1" s="1"/>
  <c r="N166" i="1" s="1"/>
  <c r="N170" i="1" s="1"/>
  <c r="N176" i="1" s="1"/>
  <c r="F79" i="1"/>
  <c r="F89" i="1" s="1"/>
  <c r="K79" i="1"/>
  <c r="K89" i="1" s="1"/>
  <c r="K166" i="1" s="1"/>
  <c r="K170" i="1" s="1"/>
  <c r="K176" i="1" s="1"/>
  <c r="I79" i="1"/>
  <c r="I89" i="1" s="1"/>
  <c r="I166" i="1" s="1"/>
  <c r="I170" i="1" s="1"/>
  <c r="I176" i="1" s="1"/>
  <c r="G79" i="1"/>
  <c r="G89" i="1" s="1"/>
  <c r="G166" i="1" s="1"/>
  <c r="G170" i="1" s="1"/>
  <c r="G176" i="1" s="1"/>
  <c r="O161" i="1"/>
  <c r="O162" i="1" s="1"/>
  <c r="D17" i="25"/>
  <c r="AM155" i="1"/>
  <c r="AR154" i="1"/>
  <c r="I14" i="27"/>
  <c r="I16" i="27" s="1"/>
  <c r="I17" i="27" s="1"/>
  <c r="G14" i="27"/>
  <c r="G16" i="27" s="1"/>
  <c r="G17" i="27" s="1"/>
  <c r="M14" i="27"/>
  <c r="M16" i="27" s="1"/>
  <c r="M22" i="27" s="1"/>
  <c r="E14" i="27"/>
  <c r="E16" i="27" s="1"/>
  <c r="E22" i="27" s="1"/>
  <c r="K14" i="27"/>
  <c r="K16" i="27" s="1"/>
  <c r="K22" i="27" s="1"/>
  <c r="L14" i="27"/>
  <c r="L16" i="27" s="1"/>
  <c r="L22" i="27" s="1"/>
  <c r="F14" i="27"/>
  <c r="F16" i="27" s="1"/>
  <c r="F22" i="27" s="1"/>
  <c r="J14" i="27"/>
  <c r="J16" i="27" s="1"/>
  <c r="J22" i="27" s="1"/>
  <c r="C14" i="27"/>
  <c r="C16" i="27" s="1"/>
  <c r="C17" i="27" s="1"/>
  <c r="N14" i="27"/>
  <c r="N16" i="27" s="1"/>
  <c r="N22" i="27" s="1"/>
  <c r="H14" i="27"/>
  <c r="H16" i="27" s="1"/>
  <c r="H17" i="27" s="1"/>
  <c r="D14" i="27"/>
  <c r="D16" i="27" s="1"/>
  <c r="D22" i="27" s="1"/>
  <c r="P12" i="27"/>
  <c r="P14" i="27" s="1"/>
  <c r="P16" i="27" s="1"/>
  <c r="AA8" i="1"/>
  <c r="AA9" i="1" s="1"/>
  <c r="AB105" i="1"/>
  <c r="AB174" i="1"/>
  <c r="AC173" i="1"/>
  <c r="AB85" i="1"/>
  <c r="AB88" i="1" s="1"/>
  <c r="D31" i="25"/>
  <c r="G15" i="23"/>
  <c r="I15" i="23" s="1"/>
  <c r="C31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AE82" i="1" l="1"/>
  <c r="AJ125" i="1"/>
  <c r="AI117" i="1"/>
  <c r="AJ117" i="1"/>
  <c r="AI125" i="1"/>
  <c r="AH125" i="1"/>
  <c r="AH117" i="1"/>
  <c r="H10" i="28"/>
  <c r="AP6" i="1"/>
  <c r="AC82" i="1"/>
  <c r="AG125" i="1"/>
  <c r="AG117" i="1"/>
  <c r="BF6" i="1"/>
  <c r="CF6" i="1"/>
  <c r="CF8" i="1" s="1"/>
  <c r="BS6" i="1"/>
  <c r="BS8" i="1" s="1"/>
  <c r="CS6" i="1"/>
  <c r="CS8" i="1" s="1"/>
  <c r="BH6" i="1"/>
  <c r="CT6" i="1"/>
  <c r="CT8" i="1" s="1"/>
  <c r="BT6" i="1"/>
  <c r="BT8" i="1" s="1"/>
  <c r="CG6" i="1"/>
  <c r="CG8" i="1" s="1"/>
  <c r="AB125" i="1"/>
  <c r="AF125" i="1"/>
  <c r="AA125" i="1"/>
  <c r="AD125" i="1"/>
  <c r="AE125" i="1"/>
  <c r="AC125" i="1"/>
  <c r="AD79" i="1"/>
  <c r="AD89" i="1" s="1"/>
  <c r="AD82" i="1"/>
  <c r="E166" i="1"/>
  <c r="E170" i="1" s="1"/>
  <c r="E176" i="1" s="1"/>
  <c r="E179" i="1" s="1"/>
  <c r="E180" i="1" s="1"/>
  <c r="AG166" i="1"/>
  <c r="BX73" i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BX68" i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BX71" i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BX64" i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BX69" i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56" i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BX74" i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0" i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F159" i="1"/>
  <c r="G159" i="1" s="1"/>
  <c r="BL58" i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L62" i="1"/>
  <c r="N14" i="31"/>
  <c r="AO6" i="1"/>
  <c r="C32" i="32"/>
  <c r="C30" i="31"/>
  <c r="G30" i="31"/>
  <c r="G32" i="32"/>
  <c r="N13" i="25"/>
  <c r="N15" i="25" s="1"/>
  <c r="AC79" i="1"/>
  <c r="AC89" i="1" s="1"/>
  <c r="W19" i="28"/>
  <c r="X19" i="28" s="1"/>
  <c r="Y19" i="28" s="1"/>
  <c r="Z19" i="28" s="1"/>
  <c r="AA19" i="28" s="1"/>
  <c r="AB19" i="28" s="1"/>
  <c r="AC19" i="28" s="1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K19" i="28" s="1"/>
  <c r="BL19" i="28" s="1"/>
  <c r="BM19" i="28" s="1"/>
  <c r="BN19" i="28" s="1"/>
  <c r="BO19" i="28" s="1"/>
  <c r="BP19" i="28" s="1"/>
  <c r="BQ19" i="28" s="1"/>
  <c r="BR19" i="28" s="1"/>
  <c r="BS19" i="28" s="1"/>
  <c r="BT19" i="28" s="1"/>
  <c r="BU19" i="28" s="1"/>
  <c r="BV19" i="28" s="1"/>
  <c r="BW19" i="28" s="1"/>
  <c r="BX19" i="28" s="1"/>
  <c r="BY19" i="28" s="1"/>
  <c r="BZ19" i="28" s="1"/>
  <c r="CA19" i="28" s="1"/>
  <c r="CB19" i="28" s="1"/>
  <c r="CC19" i="28" s="1"/>
  <c r="CD19" i="28" s="1"/>
  <c r="CE19" i="28" s="1"/>
  <c r="CF19" i="28" s="1"/>
  <c r="CG19" i="28" s="1"/>
  <c r="CH19" i="28" s="1"/>
  <c r="CI19" i="28" s="1"/>
  <c r="CJ19" i="28" s="1"/>
  <c r="CK19" i="28" s="1"/>
  <c r="CL19" i="28" s="1"/>
  <c r="CM19" i="28" s="1"/>
  <c r="CN19" i="28" s="1"/>
  <c r="CO19" i="28" s="1"/>
  <c r="CP19" i="28" s="1"/>
  <c r="CQ19" i="28" s="1"/>
  <c r="CR19" i="28" s="1"/>
  <c r="CS19" i="28" s="1"/>
  <c r="CT19" i="28" s="1"/>
  <c r="CU19" i="28" s="1"/>
  <c r="CV19" i="28" s="1"/>
  <c r="CW19" i="28" s="1"/>
  <c r="CX19" i="28" s="1"/>
  <c r="CY19" i="28" s="1"/>
  <c r="CZ19" i="28" s="1"/>
  <c r="DA19" i="28" s="1"/>
  <c r="DB19" i="28" s="1"/>
  <c r="DC19" i="28" s="1"/>
  <c r="DD19" i="28" s="1"/>
  <c r="DE19" i="28" s="1"/>
  <c r="DF19" i="28" s="1"/>
  <c r="DG19" i="28" s="1"/>
  <c r="DH19" i="28" s="1"/>
  <c r="F25" i="31"/>
  <c r="D25" i="31"/>
  <c r="E27" i="31"/>
  <c r="AE79" i="1"/>
  <c r="AE89" i="1" s="1"/>
  <c r="AL63" i="1"/>
  <c r="F166" i="1"/>
  <c r="F170" i="1" s="1"/>
  <c r="F176" i="1" s="1"/>
  <c r="D19" i="25"/>
  <c r="D21" i="25" s="1"/>
  <c r="M6" i="28"/>
  <c r="N6" i="28" s="1"/>
  <c r="O6" i="28" s="1"/>
  <c r="AS154" i="1"/>
  <c r="AN155" i="1"/>
  <c r="H26" i="32"/>
  <c r="I22" i="27"/>
  <c r="I23" i="27" s="1"/>
  <c r="G22" i="27"/>
  <c r="G23" i="27" s="1"/>
  <c r="J17" i="27"/>
  <c r="E17" i="27"/>
  <c r="K17" i="27"/>
  <c r="M17" i="27"/>
  <c r="H22" i="27"/>
  <c r="H23" i="27" s="1"/>
  <c r="F17" i="27"/>
  <c r="D17" i="27"/>
  <c r="L17" i="27"/>
  <c r="D25" i="27"/>
  <c r="D26" i="27" s="1"/>
  <c r="D27" i="27" s="1"/>
  <c r="N17" i="27"/>
  <c r="F23" i="27"/>
  <c r="J23" i="27"/>
  <c r="E23" i="27"/>
  <c r="D23" i="27"/>
  <c r="L23" i="27"/>
  <c r="M23" i="27"/>
  <c r="N23" i="27"/>
  <c r="P17" i="27"/>
  <c r="K23" i="27"/>
  <c r="AA85" i="1"/>
  <c r="AA88" i="1" s="1"/>
  <c r="AA105" i="1"/>
  <c r="AB167" i="1" s="1"/>
  <c r="AA110" i="1"/>
  <c r="AA174" i="1"/>
  <c r="F36" i="25"/>
  <c r="Z8" i="1"/>
  <c r="Z9" i="1" s="1"/>
  <c r="W8" i="1"/>
  <c r="W9" i="1" s="1"/>
  <c r="X8" i="1"/>
  <c r="X9" i="1" s="1"/>
  <c r="Y8" i="1"/>
  <c r="Y9" i="1" s="1"/>
  <c r="Y85" i="1"/>
  <c r="Y88" i="1" s="1"/>
  <c r="Y105" i="1"/>
  <c r="Y110" i="1"/>
  <c r="Z85" i="1"/>
  <c r="Z88" i="1" s="1"/>
  <c r="Z110" i="1"/>
  <c r="I10" i="28" l="1"/>
  <c r="J10" i="28" s="1"/>
  <c r="K10" i="28" s="1"/>
  <c r="L10" i="28" s="1"/>
  <c r="M10" i="28" s="1"/>
  <c r="N10" i="28" s="1"/>
  <c r="O10" i="28" s="1"/>
  <c r="P10" i="28" s="1"/>
  <c r="Q10" i="28" s="1"/>
  <c r="R10" i="28" s="1"/>
  <c r="S10" i="28" s="1"/>
  <c r="T10" i="28" s="1"/>
  <c r="F23" i="28"/>
  <c r="F25" i="28"/>
  <c r="F39" i="28"/>
  <c r="G39" i="28" s="1"/>
  <c r="H39" i="28" s="1"/>
  <c r="I39" i="28" s="1"/>
  <c r="J39" i="28" s="1"/>
  <c r="K39" i="28" s="1"/>
  <c r="L39" i="28" s="1"/>
  <c r="M39" i="28" s="1"/>
  <c r="N39" i="28" s="1"/>
  <c r="O39" i="28" s="1"/>
  <c r="P39" i="28" s="1"/>
  <c r="Q39" i="28" s="1"/>
  <c r="R39" i="28" s="1"/>
  <c r="S39" i="28" s="1"/>
  <c r="T39" i="28" s="1"/>
  <c r="U39" i="28" s="1"/>
  <c r="V39" i="28" s="1"/>
  <c r="W39" i="28" s="1"/>
  <c r="X39" i="28" s="1"/>
  <c r="Y39" i="28" s="1"/>
  <c r="Z39" i="28" s="1"/>
  <c r="AA39" i="28" s="1"/>
  <c r="AB39" i="28" s="1"/>
  <c r="AC39" i="28" s="1"/>
  <c r="AD39" i="28" s="1"/>
  <c r="AE39" i="28" s="1"/>
  <c r="AF39" i="28" s="1"/>
  <c r="AG39" i="28" s="1"/>
  <c r="AH39" i="28" s="1"/>
  <c r="AI39" i="28" s="1"/>
  <c r="AJ39" i="28" s="1"/>
  <c r="AK39" i="28" s="1"/>
  <c r="AL39" i="28" s="1"/>
  <c r="AM39" i="28" s="1"/>
  <c r="AN39" i="28" s="1"/>
  <c r="AO39" i="28" s="1"/>
  <c r="AP39" i="28" s="1"/>
  <c r="AQ39" i="28" s="1"/>
  <c r="AR39" i="28" s="1"/>
  <c r="AS39" i="28" s="1"/>
  <c r="AT39" i="28" s="1"/>
  <c r="AU39" i="28" s="1"/>
  <c r="AV39" i="28" s="1"/>
  <c r="AW39" i="28" s="1"/>
  <c r="AX39" i="28" s="1"/>
  <c r="AY39" i="28" s="1"/>
  <c r="AZ39" i="28" s="1"/>
  <c r="BA39" i="28" s="1"/>
  <c r="BB39" i="28" s="1"/>
  <c r="BC39" i="28" s="1"/>
  <c r="BD39" i="28" s="1"/>
  <c r="BE39" i="28" s="1"/>
  <c r="BF39" i="28" s="1"/>
  <c r="BG39" i="28" s="1"/>
  <c r="BH39" i="28" s="1"/>
  <c r="BI39" i="28" s="1"/>
  <c r="BJ39" i="28" s="1"/>
  <c r="BK39" i="28" s="1"/>
  <c r="BL39" i="28" s="1"/>
  <c r="BM39" i="28" s="1"/>
  <c r="BN39" i="28" s="1"/>
  <c r="BO39" i="28" s="1"/>
  <c r="BP39" i="28" s="1"/>
  <c r="BQ39" i="28" s="1"/>
  <c r="BR39" i="28" s="1"/>
  <c r="BS39" i="28" s="1"/>
  <c r="BT39" i="28" s="1"/>
  <c r="BU39" i="28" s="1"/>
  <c r="BV39" i="28" s="1"/>
  <c r="BW39" i="28" s="1"/>
  <c r="BX39" i="28" s="1"/>
  <c r="BY39" i="28" s="1"/>
  <c r="BZ39" i="28" s="1"/>
  <c r="CA39" i="28" s="1"/>
  <c r="CB39" i="28" s="1"/>
  <c r="CC39" i="28" s="1"/>
  <c r="CD39" i="28" s="1"/>
  <c r="CE39" i="28" s="1"/>
  <c r="CF39" i="28" s="1"/>
  <c r="CG39" i="28" s="1"/>
  <c r="CH39" i="28" s="1"/>
  <c r="CI39" i="28" s="1"/>
  <c r="CJ39" i="28" s="1"/>
  <c r="CK39" i="28" s="1"/>
  <c r="CL39" i="28" s="1"/>
  <c r="CM39" i="28" s="1"/>
  <c r="CN39" i="28" s="1"/>
  <c r="CO39" i="28" s="1"/>
  <c r="CP39" i="28" s="1"/>
  <c r="CQ39" i="28" s="1"/>
  <c r="CR39" i="28" s="1"/>
  <c r="CS39" i="28" s="1"/>
  <c r="CT39" i="28" s="1"/>
  <c r="CU39" i="28" s="1"/>
  <c r="CV39" i="28" s="1"/>
  <c r="CW39" i="28" s="1"/>
  <c r="CX39" i="28" s="1"/>
  <c r="CY39" i="28" s="1"/>
  <c r="CZ39" i="28" s="1"/>
  <c r="DA39" i="28" s="1"/>
  <c r="DB39" i="28" s="1"/>
  <c r="DC39" i="28" s="1"/>
  <c r="DD39" i="28" s="1"/>
  <c r="DE39" i="28" s="1"/>
  <c r="DF39" i="28" s="1"/>
  <c r="DG39" i="28" s="1"/>
  <c r="DH39" i="28" s="1"/>
  <c r="F43" i="28"/>
  <c r="G43" i="28" s="1"/>
  <c r="H43" i="28" s="1"/>
  <c r="I43" i="28" s="1"/>
  <c r="J43" i="28" s="1"/>
  <c r="K43" i="28" s="1"/>
  <c r="L43" i="28" s="1"/>
  <c r="M43" i="28" s="1"/>
  <c r="N43" i="28" s="1"/>
  <c r="O43" i="28" s="1"/>
  <c r="P43" i="28" s="1"/>
  <c r="Q43" i="28" s="1"/>
  <c r="R43" i="28" s="1"/>
  <c r="S43" i="28" s="1"/>
  <c r="T43" i="28" s="1"/>
  <c r="U43" i="28" s="1"/>
  <c r="V43" i="28" s="1"/>
  <c r="W43" i="28" s="1"/>
  <c r="X43" i="28" s="1"/>
  <c r="Y43" i="28" s="1"/>
  <c r="Z43" i="28" s="1"/>
  <c r="AA43" i="28" s="1"/>
  <c r="AB43" i="28" s="1"/>
  <c r="AC43" i="28" s="1"/>
  <c r="AD43" i="28" s="1"/>
  <c r="AE43" i="28" s="1"/>
  <c r="AF43" i="28" s="1"/>
  <c r="AG43" i="28" s="1"/>
  <c r="AH43" i="28" s="1"/>
  <c r="AI43" i="28" s="1"/>
  <c r="AJ43" i="28" s="1"/>
  <c r="AK43" i="28" s="1"/>
  <c r="AL43" i="28" s="1"/>
  <c r="AM43" i="28" s="1"/>
  <c r="AN43" i="28" s="1"/>
  <c r="AO43" i="28" s="1"/>
  <c r="AP43" i="28" s="1"/>
  <c r="AQ43" i="28" s="1"/>
  <c r="AR43" i="28" s="1"/>
  <c r="AS43" i="28" s="1"/>
  <c r="AT43" i="28" s="1"/>
  <c r="AU43" i="28" s="1"/>
  <c r="AV43" i="28" s="1"/>
  <c r="AW43" i="28" s="1"/>
  <c r="AX43" i="28" s="1"/>
  <c r="AY43" i="28" s="1"/>
  <c r="AZ43" i="28" s="1"/>
  <c r="BA43" i="28" s="1"/>
  <c r="BB43" i="28" s="1"/>
  <c r="BC43" i="28" s="1"/>
  <c r="BD43" i="28" s="1"/>
  <c r="BE43" i="28" s="1"/>
  <c r="BF43" i="28" s="1"/>
  <c r="BG43" i="28" s="1"/>
  <c r="BH43" i="28" s="1"/>
  <c r="BI43" i="28" s="1"/>
  <c r="BJ43" i="28" s="1"/>
  <c r="BK43" i="28" s="1"/>
  <c r="BL43" i="28" s="1"/>
  <c r="BM43" i="28" s="1"/>
  <c r="BN43" i="28" s="1"/>
  <c r="BO43" i="28" s="1"/>
  <c r="BP43" i="28" s="1"/>
  <c r="BQ43" i="28" s="1"/>
  <c r="BR43" i="28" s="1"/>
  <c r="BS43" i="28" s="1"/>
  <c r="BT43" i="28" s="1"/>
  <c r="BU43" i="28" s="1"/>
  <c r="BV43" i="28" s="1"/>
  <c r="BW43" i="28" s="1"/>
  <c r="BX43" i="28" s="1"/>
  <c r="BY43" i="28" s="1"/>
  <c r="BZ43" i="28" s="1"/>
  <c r="CA43" i="28" s="1"/>
  <c r="CB43" i="28" s="1"/>
  <c r="CC43" i="28" s="1"/>
  <c r="CD43" i="28" s="1"/>
  <c r="CE43" i="28" s="1"/>
  <c r="CF43" i="28" s="1"/>
  <c r="CG43" i="28" s="1"/>
  <c r="CH43" i="28" s="1"/>
  <c r="CI43" i="28" s="1"/>
  <c r="CJ43" i="28" s="1"/>
  <c r="CK43" i="28" s="1"/>
  <c r="CL43" i="28" s="1"/>
  <c r="CM43" i="28" s="1"/>
  <c r="CN43" i="28" s="1"/>
  <c r="CO43" i="28" s="1"/>
  <c r="CP43" i="28" s="1"/>
  <c r="CQ43" i="28" s="1"/>
  <c r="CR43" i="28" s="1"/>
  <c r="CS43" i="28" s="1"/>
  <c r="CT43" i="28" s="1"/>
  <c r="CU43" i="28" s="1"/>
  <c r="CV43" i="28" s="1"/>
  <c r="CW43" i="28" s="1"/>
  <c r="CX43" i="28" s="1"/>
  <c r="CY43" i="28" s="1"/>
  <c r="CZ43" i="28" s="1"/>
  <c r="DA43" i="28" s="1"/>
  <c r="DB43" i="28" s="1"/>
  <c r="DC43" i="28" s="1"/>
  <c r="DD43" i="28" s="1"/>
  <c r="DE43" i="28" s="1"/>
  <c r="DF43" i="28" s="1"/>
  <c r="DG43" i="28" s="1"/>
  <c r="DH43" i="28" s="1"/>
  <c r="F41" i="28"/>
  <c r="G41" i="28" s="1"/>
  <c r="H41" i="28" s="1"/>
  <c r="I41" i="28" s="1"/>
  <c r="J41" i="28" s="1"/>
  <c r="K41" i="28" s="1"/>
  <c r="L41" i="28" s="1"/>
  <c r="M41" i="28" s="1"/>
  <c r="N41" i="28" s="1"/>
  <c r="O41" i="28" s="1"/>
  <c r="P41" i="28" s="1"/>
  <c r="Q41" i="28" s="1"/>
  <c r="R41" i="28" s="1"/>
  <c r="S41" i="28" s="1"/>
  <c r="T41" i="28" s="1"/>
  <c r="U41" i="28" s="1"/>
  <c r="V41" i="28" s="1"/>
  <c r="W41" i="28" s="1"/>
  <c r="X41" i="28" s="1"/>
  <c r="Y41" i="28" s="1"/>
  <c r="Z41" i="28" s="1"/>
  <c r="AA41" i="28" s="1"/>
  <c r="AB41" i="28" s="1"/>
  <c r="AC41" i="28" s="1"/>
  <c r="AD41" i="28" s="1"/>
  <c r="AE41" i="28" s="1"/>
  <c r="AF41" i="28" s="1"/>
  <c r="AG41" i="28" s="1"/>
  <c r="AH41" i="28" s="1"/>
  <c r="AI41" i="28" s="1"/>
  <c r="AJ41" i="28" s="1"/>
  <c r="AK41" i="28" s="1"/>
  <c r="AL41" i="28" s="1"/>
  <c r="AM41" i="28" s="1"/>
  <c r="AN41" i="28" s="1"/>
  <c r="AO41" i="28" s="1"/>
  <c r="AP41" i="28" s="1"/>
  <c r="AQ41" i="28" s="1"/>
  <c r="AR41" i="28" s="1"/>
  <c r="AS41" i="28" s="1"/>
  <c r="AT41" i="28" s="1"/>
  <c r="AU41" i="28" s="1"/>
  <c r="AV41" i="28" s="1"/>
  <c r="AW41" i="28" s="1"/>
  <c r="AX41" i="28" s="1"/>
  <c r="AY41" i="28" s="1"/>
  <c r="AZ41" i="28" s="1"/>
  <c r="BA41" i="28" s="1"/>
  <c r="BB41" i="28" s="1"/>
  <c r="BC41" i="28" s="1"/>
  <c r="BD41" i="28" s="1"/>
  <c r="BE41" i="28" s="1"/>
  <c r="BF41" i="28" s="1"/>
  <c r="BG41" i="28" s="1"/>
  <c r="BH41" i="28" s="1"/>
  <c r="BI41" i="28" s="1"/>
  <c r="BJ41" i="28" s="1"/>
  <c r="BK41" i="28" s="1"/>
  <c r="BL41" i="28" s="1"/>
  <c r="BM41" i="28" s="1"/>
  <c r="BN41" i="28" s="1"/>
  <c r="BO41" i="28" s="1"/>
  <c r="BP41" i="28" s="1"/>
  <c r="BQ41" i="28" s="1"/>
  <c r="BR41" i="28" s="1"/>
  <c r="BS41" i="28" s="1"/>
  <c r="BT41" i="28" s="1"/>
  <c r="BU41" i="28" s="1"/>
  <c r="BV41" i="28" s="1"/>
  <c r="BW41" i="28" s="1"/>
  <c r="BX41" i="28" s="1"/>
  <c r="BY41" i="28" s="1"/>
  <c r="BZ41" i="28" s="1"/>
  <c r="CA41" i="28" s="1"/>
  <c r="CB41" i="28" s="1"/>
  <c r="CC41" i="28" s="1"/>
  <c r="CD41" i="28" s="1"/>
  <c r="CE41" i="28" s="1"/>
  <c r="CF41" i="28" s="1"/>
  <c r="CG41" i="28" s="1"/>
  <c r="CH41" i="28" s="1"/>
  <c r="CI41" i="28" s="1"/>
  <c r="CJ41" i="28" s="1"/>
  <c r="CK41" i="28" s="1"/>
  <c r="CL41" i="28" s="1"/>
  <c r="CM41" i="28" s="1"/>
  <c r="CN41" i="28" s="1"/>
  <c r="CO41" i="28" s="1"/>
  <c r="CP41" i="28" s="1"/>
  <c r="CQ41" i="28" s="1"/>
  <c r="CR41" i="28" s="1"/>
  <c r="CS41" i="28" s="1"/>
  <c r="CT41" i="28" s="1"/>
  <c r="CU41" i="28" s="1"/>
  <c r="CV41" i="28" s="1"/>
  <c r="F27" i="28"/>
  <c r="F160" i="1"/>
  <c r="F161" i="1" s="1"/>
  <c r="F162" i="1" s="1"/>
  <c r="F178" i="1"/>
  <c r="BB6" i="1"/>
  <c r="BC6" i="1"/>
  <c r="CJ74" i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J69" i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J71" i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56" i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CJ68" i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J73" i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BX58" i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V70" i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CJ64" i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G25" i="31"/>
  <c r="G26" i="32"/>
  <c r="G27" i="32" s="1"/>
  <c r="BM62" i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AY6" i="1"/>
  <c r="AW6" i="1"/>
  <c r="BA6" i="1"/>
  <c r="AZ6" i="1"/>
  <c r="AX6" i="1"/>
  <c r="E31" i="31"/>
  <c r="E32" i="31" s="1"/>
  <c r="E28" i="31"/>
  <c r="C25" i="31"/>
  <c r="D27" i="31"/>
  <c r="F27" i="31"/>
  <c r="AM63" i="1"/>
  <c r="F179" i="1"/>
  <c r="F180" i="1" s="1"/>
  <c r="G160" i="1"/>
  <c r="G161" i="1" s="1"/>
  <c r="G162" i="1" s="1"/>
  <c r="H159" i="1"/>
  <c r="H35" i="32"/>
  <c r="AT154" i="1"/>
  <c r="AO155" i="1"/>
  <c r="Y33" i="1"/>
  <c r="AB168" i="1"/>
  <c r="AA33" i="1"/>
  <c r="C19" i="27"/>
  <c r="AA168" i="1"/>
  <c r="Y111" i="1"/>
  <c r="Y112" i="1" s="1"/>
  <c r="Y106" i="1"/>
  <c r="X85" i="1"/>
  <c r="X88" i="1" s="1"/>
  <c r="X102" i="1"/>
  <c r="X105" i="1"/>
  <c r="X110" i="1"/>
  <c r="AL53" i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X33" i="1"/>
  <c r="AL54" i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W85" i="1"/>
  <c r="W88" i="1" s="1"/>
  <c r="W102" i="1"/>
  <c r="W105" i="1"/>
  <c r="W110" i="1"/>
  <c r="W174" i="1"/>
  <c r="I32" i="15"/>
  <c r="H32" i="15"/>
  <c r="G32" i="15"/>
  <c r="F32" i="15"/>
  <c r="E32" i="15"/>
  <c r="D32" i="15"/>
  <c r="C32" i="15"/>
  <c r="V110" i="1"/>
  <c r="U110" i="1"/>
  <c r="T110" i="1"/>
  <c r="S110" i="1"/>
  <c r="R110" i="1"/>
  <c r="Q110" i="1"/>
  <c r="P110" i="1"/>
  <c r="P168" i="1" s="1"/>
  <c r="V8" i="1"/>
  <c r="V9" i="1" s="1"/>
  <c r="U8" i="1"/>
  <c r="U9" i="1" s="1"/>
  <c r="S8" i="1"/>
  <c r="S9" i="1" s="1"/>
  <c r="S102" i="1"/>
  <c r="T102" i="1"/>
  <c r="U102" i="1"/>
  <c r="V102" i="1"/>
  <c r="S105" i="1"/>
  <c r="T105" i="1"/>
  <c r="U105" i="1"/>
  <c r="V105" i="1"/>
  <c r="T85" i="1"/>
  <c r="T88" i="1" s="1"/>
  <c r="T90" i="1" s="1"/>
  <c r="U85" i="1"/>
  <c r="U88" i="1" s="1"/>
  <c r="V85" i="1"/>
  <c r="V88" i="1" s="1"/>
  <c r="S85" i="1"/>
  <c r="S88" i="1" s="1"/>
  <c r="S90" i="1" s="1"/>
  <c r="T8" i="1"/>
  <c r="T9" i="1" s="1"/>
  <c r="G25" i="28" l="1"/>
  <c r="G23" i="28"/>
  <c r="G27" i="28"/>
  <c r="X79" i="1"/>
  <c r="Y79" i="1"/>
  <c r="Y89" i="1" s="1"/>
  <c r="AA79" i="1"/>
  <c r="AA89" i="1" s="1"/>
  <c r="AA166" i="1" s="1"/>
  <c r="AF117" i="1"/>
  <c r="CJ6" i="1"/>
  <c r="CJ8" i="1" s="1"/>
  <c r="CI6" i="1"/>
  <c r="CI8" i="1" s="1"/>
  <c r="BI6" i="1"/>
  <c r="AL125" i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CJ58" i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68" i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CV71" i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CV73" i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CV69" i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CV74" i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AZ53" i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AZ54" i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X62" i="1"/>
  <c r="BO6" i="1"/>
  <c r="BO8" i="1" s="1"/>
  <c r="BN6" i="1"/>
  <c r="BN8" i="1" s="1"/>
  <c r="BL6" i="1"/>
  <c r="BL8" i="1" s="1"/>
  <c r="BK6" i="1"/>
  <c r="BM6" i="1"/>
  <c r="BM8" i="1" s="1"/>
  <c r="BJ6" i="1"/>
  <c r="F28" i="31"/>
  <c r="F31" i="31"/>
  <c r="F32" i="31" s="1"/>
  <c r="D31" i="31"/>
  <c r="D32" i="31" s="1"/>
  <c r="D28" i="31"/>
  <c r="C27" i="31"/>
  <c r="G178" i="1"/>
  <c r="G179" i="1" s="1"/>
  <c r="G180" i="1" s="1"/>
  <c r="H160" i="1"/>
  <c r="H161" i="1" s="1"/>
  <c r="H162" i="1" s="1"/>
  <c r="I159" i="1"/>
  <c r="AP155" i="1"/>
  <c r="AU154" i="1"/>
  <c r="U33" i="1"/>
  <c r="V33" i="1"/>
  <c r="W33" i="1"/>
  <c r="T33" i="1"/>
  <c r="G36" i="25"/>
  <c r="C20" i="27"/>
  <c r="C22" i="27" s="1"/>
  <c r="P19" i="27"/>
  <c r="P20" i="27" s="1"/>
  <c r="P22" i="27" s="1"/>
  <c r="C23" i="25"/>
  <c r="C24" i="25" s="1"/>
  <c r="C27" i="25" s="1"/>
  <c r="AA106" i="1"/>
  <c r="X111" i="1"/>
  <c r="X112" i="1" s="1"/>
  <c r="X106" i="1"/>
  <c r="W168" i="1"/>
  <c r="W111" i="1"/>
  <c r="W112" i="1" s="1"/>
  <c r="W106" i="1"/>
  <c r="T168" i="1"/>
  <c r="S33" i="1"/>
  <c r="V168" i="1"/>
  <c r="J32" i="15"/>
  <c r="U168" i="1"/>
  <c r="S111" i="1"/>
  <c r="S112" i="1" s="1"/>
  <c r="U111" i="1"/>
  <c r="U112" i="1" s="1"/>
  <c r="V111" i="1"/>
  <c r="V112" i="1" s="1"/>
  <c r="T111" i="1"/>
  <c r="T112" i="1" s="1"/>
  <c r="V106" i="1"/>
  <c r="U106" i="1"/>
  <c r="T106" i="1"/>
  <c r="R85" i="1"/>
  <c r="R88" i="1" s="1"/>
  <c r="R90" i="1" s="1"/>
  <c r="R102" i="1"/>
  <c r="R105" i="1"/>
  <c r="S168" i="1"/>
  <c r="R8" i="1"/>
  <c r="R9" i="1" s="1"/>
  <c r="Q8" i="1"/>
  <c r="Q9" i="1" s="1"/>
  <c r="Q85" i="1"/>
  <c r="Q88" i="1" s="1"/>
  <c r="Q90" i="1" s="1"/>
  <c r="Q102" i="1"/>
  <c r="Q105" i="1"/>
  <c r="P102" i="1"/>
  <c r="P85" i="1"/>
  <c r="P88" i="1" s="1"/>
  <c r="P90" i="1" s="1"/>
  <c r="P8" i="1"/>
  <c r="H25" i="28" l="1"/>
  <c r="H23" i="28"/>
  <c r="Q10" i="1"/>
  <c r="Q81" i="1" s="1"/>
  <c r="R10" i="1"/>
  <c r="R81" i="1" s="1"/>
  <c r="H27" i="28"/>
  <c r="W79" i="1"/>
  <c r="S79" i="1"/>
  <c r="X117" i="1"/>
  <c r="T79" i="1"/>
  <c r="Y117" i="1"/>
  <c r="BV6" i="1"/>
  <c r="BV8" i="1" s="1"/>
  <c r="AG168" i="1"/>
  <c r="AG170" i="1" s="1"/>
  <c r="AG176" i="1" s="1"/>
  <c r="I35" i="32"/>
  <c r="I33" i="31"/>
  <c r="I26" i="32"/>
  <c r="I24" i="31"/>
  <c r="BL53" i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CV58" i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BL54" i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Y62" i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BW6" i="1"/>
  <c r="BW8" i="1" s="1"/>
  <c r="CK6" i="1"/>
  <c r="CK8" i="1" s="1"/>
  <c r="CA6" i="1"/>
  <c r="CA8" i="1" s="1"/>
  <c r="BZ6" i="1"/>
  <c r="BZ8" i="1" s="1"/>
  <c r="BX6" i="1"/>
  <c r="BX8" i="1" s="1"/>
  <c r="BY6" i="1"/>
  <c r="BY8" i="1" s="1"/>
  <c r="CB6" i="1"/>
  <c r="CB8" i="1" s="1"/>
  <c r="C31" i="31"/>
  <c r="C32" i="31" s="1"/>
  <c r="C28" i="31"/>
  <c r="H178" i="1"/>
  <c r="H179" i="1" s="1"/>
  <c r="H180" i="1" s="1"/>
  <c r="AO63" i="1"/>
  <c r="P9" i="1"/>
  <c r="C12" i="15"/>
  <c r="C14" i="15" s="1"/>
  <c r="C19" i="15" s="1"/>
  <c r="C21" i="15" s="1"/>
  <c r="C29" i="25"/>
  <c r="C33" i="25"/>
  <c r="C35" i="25" s="1"/>
  <c r="V79" i="1"/>
  <c r="V89" i="1" s="1"/>
  <c r="I160" i="1"/>
  <c r="I161" i="1" s="1"/>
  <c r="I162" i="1" s="1"/>
  <c r="J159" i="1"/>
  <c r="U79" i="1"/>
  <c r="AV154" i="1"/>
  <c r="AQ155" i="1"/>
  <c r="AL123" i="1"/>
  <c r="AL87" i="1"/>
  <c r="H36" i="25"/>
  <c r="P23" i="27"/>
  <c r="C26" i="27"/>
  <c r="C27" i="27" s="1"/>
  <c r="C23" i="27"/>
  <c r="G17" i="23"/>
  <c r="I17" i="23" s="1"/>
  <c r="S106" i="1"/>
  <c r="K32" i="15"/>
  <c r="Q168" i="1"/>
  <c r="R33" i="1"/>
  <c r="R168" i="1"/>
  <c r="X168" i="1"/>
  <c r="Q111" i="1"/>
  <c r="Q112" i="1" s="1"/>
  <c r="R111" i="1"/>
  <c r="R112" i="1" s="1"/>
  <c r="C30" i="6"/>
  <c r="C31" i="6"/>
  <c r="G59" i="28" l="1"/>
  <c r="H59" i="28" s="1"/>
  <c r="I27" i="28"/>
  <c r="I23" i="28"/>
  <c r="I25" i="28"/>
  <c r="G55" i="28"/>
  <c r="G57" i="28"/>
  <c r="R79" i="1"/>
  <c r="W117" i="1"/>
  <c r="P33" i="1"/>
  <c r="P106" i="1"/>
  <c r="CH6" i="1"/>
  <c r="CH8" i="1" s="1"/>
  <c r="J35" i="32"/>
  <c r="J33" i="31"/>
  <c r="J26" i="32"/>
  <c r="J24" i="31"/>
  <c r="BX54" i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BX53" i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62" i="1"/>
  <c r="CO6" i="1"/>
  <c r="CO8" i="1" s="1"/>
  <c r="CM6" i="1"/>
  <c r="CM8" i="1" s="1"/>
  <c r="CX6" i="1"/>
  <c r="CX8" i="1" s="1"/>
  <c r="CY6" i="1"/>
  <c r="CY8" i="1" s="1"/>
  <c r="DA6" i="1"/>
  <c r="DA8" i="1" s="1"/>
  <c r="CN6" i="1"/>
  <c r="CN8" i="1" s="1"/>
  <c r="CZ6" i="1"/>
  <c r="CZ8" i="1" s="1"/>
  <c r="CW6" i="1"/>
  <c r="CW8" i="1" s="1"/>
  <c r="CP6" i="1"/>
  <c r="CP8" i="1" s="1"/>
  <c r="CL6" i="1"/>
  <c r="CL8" i="1" s="1"/>
  <c r="I178" i="1"/>
  <c r="I179" i="1" s="1"/>
  <c r="I180" i="1" s="1"/>
  <c r="U89" i="1"/>
  <c r="AP63" i="1"/>
  <c r="J160" i="1"/>
  <c r="J161" i="1" s="1"/>
  <c r="J162" i="1" s="1"/>
  <c r="K159" i="1"/>
  <c r="AL60" i="1"/>
  <c r="AW154" i="1"/>
  <c r="AR155" i="1"/>
  <c r="AM123" i="1"/>
  <c r="AM87" i="1"/>
  <c r="AL55" i="1"/>
  <c r="Q33" i="1"/>
  <c r="I36" i="25"/>
  <c r="T89" i="1"/>
  <c r="X89" i="1"/>
  <c r="R106" i="1"/>
  <c r="S89" i="1"/>
  <c r="C19" i="6"/>
  <c r="K18" i="19"/>
  <c r="J27" i="28" l="1"/>
  <c r="J25" i="28"/>
  <c r="H55" i="28"/>
  <c r="S10" i="1"/>
  <c r="S81" i="1" s="1"/>
  <c r="J23" i="28"/>
  <c r="H57" i="28"/>
  <c r="P79" i="1"/>
  <c r="P89" i="1" s="1"/>
  <c r="U117" i="1"/>
  <c r="S117" i="1"/>
  <c r="Q117" i="1"/>
  <c r="T117" i="1"/>
  <c r="P117" i="1"/>
  <c r="R117" i="1"/>
  <c r="Q79" i="1"/>
  <c r="V117" i="1"/>
  <c r="CU6" i="1"/>
  <c r="CU8" i="1" s="1"/>
  <c r="K35" i="32"/>
  <c r="K33" i="31"/>
  <c r="K26" i="32"/>
  <c r="K24" i="31"/>
  <c r="CJ53" i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J54" i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K62" i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CV6" i="1"/>
  <c r="CV8" i="1" s="1"/>
  <c r="J178" i="1"/>
  <c r="J179" i="1" s="1"/>
  <c r="J180" i="1" s="1"/>
  <c r="AQ63" i="1"/>
  <c r="W17" i="28"/>
  <c r="X17" i="28" s="1"/>
  <c r="Y17" i="28" s="1"/>
  <c r="Z17" i="28" s="1"/>
  <c r="AA17" i="28" s="1"/>
  <c r="AB17" i="28" s="1"/>
  <c r="K160" i="1"/>
  <c r="K161" i="1" s="1"/>
  <c r="K162" i="1" s="1"/>
  <c r="L159" i="1"/>
  <c r="AM60" i="1"/>
  <c r="AS155" i="1"/>
  <c r="AX154" i="1"/>
  <c r="AN123" i="1"/>
  <c r="AN87" i="1"/>
  <c r="AL57" i="1"/>
  <c r="AL59" i="1" s="1"/>
  <c r="AL61" i="1"/>
  <c r="AL66" i="1" s="1"/>
  <c r="AM55" i="1"/>
  <c r="J36" i="25"/>
  <c r="R89" i="1"/>
  <c r="D20" i="6"/>
  <c r="E20" i="6"/>
  <c r="F20" i="6"/>
  <c r="G20" i="6"/>
  <c r="H20" i="6"/>
  <c r="I20" i="6"/>
  <c r="J20" i="6"/>
  <c r="K20" i="6"/>
  <c r="L20" i="6"/>
  <c r="M20" i="6"/>
  <c r="C20" i="6"/>
  <c r="N20" i="6"/>
  <c r="I59" i="28" l="1"/>
  <c r="K27" i="28"/>
  <c r="K25" i="28"/>
  <c r="I55" i="28"/>
  <c r="T10" i="1"/>
  <c r="K23" i="28"/>
  <c r="I57" i="28"/>
  <c r="L35" i="32"/>
  <c r="L33" i="31"/>
  <c r="L26" i="32"/>
  <c r="L24" i="31"/>
  <c r="CV54" i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CV53" i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K178" i="1"/>
  <c r="K179" i="1" s="1"/>
  <c r="L178" i="1" s="1"/>
  <c r="L179" i="1" s="1"/>
  <c r="AL75" i="1"/>
  <c r="AR63" i="1"/>
  <c r="W15" i="28"/>
  <c r="X15" i="28" s="1"/>
  <c r="L160" i="1"/>
  <c r="L161" i="1" s="1"/>
  <c r="L162" i="1" s="1"/>
  <c r="M159" i="1"/>
  <c r="P166" i="1"/>
  <c r="P159" i="1"/>
  <c r="P160" i="1" s="1"/>
  <c r="AN60" i="1"/>
  <c r="AL147" i="1"/>
  <c r="AT155" i="1"/>
  <c r="AY154" i="1"/>
  <c r="AO123" i="1"/>
  <c r="AO87" i="1"/>
  <c r="AN55" i="1"/>
  <c r="AM61" i="1"/>
  <c r="AM66" i="1" s="1"/>
  <c r="AM57" i="1"/>
  <c r="AM59" i="1" s="1"/>
  <c r="K36" i="25"/>
  <c r="P20" i="6"/>
  <c r="C45" i="18"/>
  <c r="B34" i="18"/>
  <c r="C34" i="18" s="1"/>
  <c r="B12" i="18"/>
  <c r="C12" i="18" s="1"/>
  <c r="E3" i="18"/>
  <c r="C2" i="18"/>
  <c r="K27" i="16"/>
  <c r="AL51" i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J57" i="28" l="1"/>
  <c r="L23" i="28"/>
  <c r="T136" i="1"/>
  <c r="T81" i="1"/>
  <c r="J55" i="28"/>
  <c r="U10" i="1"/>
  <c r="L25" i="28"/>
  <c r="J59" i="28"/>
  <c r="L27" i="28"/>
  <c r="Y15" i="28"/>
  <c r="Z15" i="28" s="1"/>
  <c r="AA15" i="28" s="1"/>
  <c r="AB15" i="28" s="1"/>
  <c r="K180" i="1"/>
  <c r="M26" i="32"/>
  <c r="M24" i="31"/>
  <c r="AZ51" i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AM75" i="1"/>
  <c r="AS63" i="1"/>
  <c r="AL149" i="1"/>
  <c r="L180" i="1"/>
  <c r="M178" i="1"/>
  <c r="M179" i="1" s="1"/>
  <c r="M160" i="1"/>
  <c r="M161" i="1" s="1"/>
  <c r="M162" i="1" s="1"/>
  <c r="N159" i="1"/>
  <c r="N160" i="1" s="1"/>
  <c r="N161" i="1" s="1"/>
  <c r="N162" i="1" s="1"/>
  <c r="AO60" i="1"/>
  <c r="AZ154" i="1"/>
  <c r="AU155" i="1"/>
  <c r="AP123" i="1"/>
  <c r="AP87" i="1"/>
  <c r="AN57" i="1"/>
  <c r="AN59" i="1" s="1"/>
  <c r="AN61" i="1"/>
  <c r="AN66" i="1" s="1"/>
  <c r="AO55" i="1"/>
  <c r="L36" i="25"/>
  <c r="N10" i="15"/>
  <c r="M10" i="15"/>
  <c r="L10" i="15"/>
  <c r="K10" i="15"/>
  <c r="J10" i="15"/>
  <c r="I10" i="15"/>
  <c r="H10" i="15"/>
  <c r="G10" i="15"/>
  <c r="F10" i="15"/>
  <c r="E10" i="15"/>
  <c r="D10" i="15"/>
  <c r="C10" i="1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2" i="1" s="1"/>
  <c r="R1" i="1"/>
  <c r="R2" i="1" s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Z1" i="1"/>
  <c r="Z2" i="1" s="1"/>
  <c r="AA1" i="1"/>
  <c r="AA2" i="1" s="1"/>
  <c r="AB1" i="1"/>
  <c r="AB2" i="1" s="1"/>
  <c r="AC1" i="1"/>
  <c r="AC2" i="1" s="1"/>
  <c r="AD1" i="1"/>
  <c r="AD2" i="1" s="1"/>
  <c r="AE1" i="1"/>
  <c r="AE2" i="1" s="1"/>
  <c r="AF1" i="1"/>
  <c r="AF2" i="1" s="1"/>
  <c r="AG1" i="1"/>
  <c r="AG2" i="1" s="1"/>
  <c r="AH1" i="1"/>
  <c r="AH2" i="1" s="1"/>
  <c r="AI1" i="1"/>
  <c r="AI2" i="1" s="1"/>
  <c r="AJ1" i="1"/>
  <c r="AJ2" i="1" s="1"/>
  <c r="AK1" i="1"/>
  <c r="AK2" i="1" s="1"/>
  <c r="AL1" i="1"/>
  <c r="AL2" i="1" s="1"/>
  <c r="AM1" i="1"/>
  <c r="AM2" i="1" s="1"/>
  <c r="AN1" i="1"/>
  <c r="AO1" i="1"/>
  <c r="AP1" i="1"/>
  <c r="AP2" i="1" s="1"/>
  <c r="AQ1" i="1"/>
  <c r="AQ2" i="1" s="1"/>
  <c r="AR1" i="1"/>
  <c r="AR2" i="1" s="1"/>
  <c r="AS1" i="1"/>
  <c r="AS2" i="1" s="1"/>
  <c r="AT1" i="1"/>
  <c r="AT2" i="1" s="1"/>
  <c r="AU1" i="1"/>
  <c r="AU2" i="1" s="1"/>
  <c r="AV1" i="1"/>
  <c r="AV2" i="1" s="1"/>
  <c r="AW1" i="1"/>
  <c r="AW2" i="1" s="1"/>
  <c r="AX1" i="1"/>
  <c r="AX2" i="1" s="1"/>
  <c r="AY1" i="1"/>
  <c r="AY2" i="1" s="1"/>
  <c r="AZ1" i="1"/>
  <c r="BA1" i="1"/>
  <c r="BB1" i="1"/>
  <c r="BB2" i="1" s="1"/>
  <c r="BC1" i="1"/>
  <c r="BC2" i="1" s="1"/>
  <c r="BD1" i="1"/>
  <c r="BD2" i="1" s="1"/>
  <c r="BE1" i="1"/>
  <c r="BE2" i="1" s="1"/>
  <c r="BF1" i="1"/>
  <c r="BF2" i="1" s="1"/>
  <c r="BG1" i="1"/>
  <c r="BG2" i="1" s="1"/>
  <c r="BH1" i="1"/>
  <c r="BH2" i="1" s="1"/>
  <c r="BI1" i="1"/>
  <c r="BI2" i="1" s="1"/>
  <c r="BJ1" i="1"/>
  <c r="BJ2" i="1" s="1"/>
  <c r="BK1" i="1"/>
  <c r="BK2" i="1" s="1"/>
  <c r="BL1" i="1"/>
  <c r="BL2" i="1" s="1"/>
  <c r="BM1" i="1"/>
  <c r="BM2" i="1" s="1"/>
  <c r="BN1" i="1"/>
  <c r="BN2" i="1" s="1"/>
  <c r="BO1" i="1"/>
  <c r="BO2" i="1" s="1"/>
  <c r="BP1" i="1"/>
  <c r="BP2" i="1" s="1"/>
  <c r="BQ1" i="1"/>
  <c r="BQ2" i="1" s="1"/>
  <c r="BR1" i="1"/>
  <c r="BR2" i="1" s="1"/>
  <c r="BS1" i="1"/>
  <c r="BS2" i="1" s="1"/>
  <c r="BT1" i="1"/>
  <c r="BT2" i="1" s="1"/>
  <c r="BU1" i="1"/>
  <c r="BU2" i="1" s="1"/>
  <c r="BV1" i="1"/>
  <c r="BV2" i="1" s="1"/>
  <c r="BW1" i="1"/>
  <c r="BW2" i="1" s="1"/>
  <c r="BX1" i="1"/>
  <c r="BX2" i="1" s="1"/>
  <c r="BY1" i="1"/>
  <c r="BY2" i="1" s="1"/>
  <c r="BZ1" i="1"/>
  <c r="BZ2" i="1" s="1"/>
  <c r="CA1" i="1"/>
  <c r="CA2" i="1" s="1"/>
  <c r="CB1" i="1"/>
  <c r="CB2" i="1" s="1"/>
  <c r="CC1" i="1"/>
  <c r="CC2" i="1" s="1"/>
  <c r="CD1" i="1"/>
  <c r="CD2" i="1" s="1"/>
  <c r="CE1" i="1"/>
  <c r="CE2" i="1" s="1"/>
  <c r="CF1" i="1"/>
  <c r="CF2" i="1" s="1"/>
  <c r="CG1" i="1"/>
  <c r="CG2" i="1" s="1"/>
  <c r="CH1" i="1"/>
  <c r="CH2" i="1" s="1"/>
  <c r="CI1" i="1"/>
  <c r="CI2" i="1" s="1"/>
  <c r="CJ1" i="1"/>
  <c r="CJ2" i="1" s="1"/>
  <c r="CK1" i="1"/>
  <c r="CK2" i="1" s="1"/>
  <c r="CL1" i="1"/>
  <c r="CL2" i="1" s="1"/>
  <c r="CM1" i="1"/>
  <c r="CM2" i="1" s="1"/>
  <c r="CN1" i="1"/>
  <c r="CN2" i="1" s="1"/>
  <c r="CO1" i="1"/>
  <c r="CO2" i="1" s="1"/>
  <c r="CP1" i="1"/>
  <c r="CP2" i="1" s="1"/>
  <c r="CQ1" i="1"/>
  <c r="CQ2" i="1" s="1"/>
  <c r="CR1" i="1"/>
  <c r="CR2" i="1" s="1"/>
  <c r="CS1" i="1"/>
  <c r="CS2" i="1" s="1"/>
  <c r="CT1" i="1"/>
  <c r="CT2" i="1" s="1"/>
  <c r="CU1" i="1"/>
  <c r="CU2" i="1" s="1"/>
  <c r="CV1" i="1"/>
  <c r="CV2" i="1" s="1"/>
  <c r="CW1" i="1"/>
  <c r="CW2" i="1" s="1"/>
  <c r="CX1" i="1"/>
  <c r="CX2" i="1" s="1"/>
  <c r="CY1" i="1"/>
  <c r="CY2" i="1" s="1"/>
  <c r="CZ1" i="1"/>
  <c r="CZ2" i="1" s="1"/>
  <c r="DA1" i="1"/>
  <c r="DA2" i="1" s="1"/>
  <c r="DB1" i="1"/>
  <c r="DB2" i="1" s="1"/>
  <c r="DC1" i="1"/>
  <c r="DC2" i="1" s="1"/>
  <c r="DD1" i="1"/>
  <c r="DD2" i="1" s="1"/>
  <c r="DE1" i="1"/>
  <c r="DE2" i="1" s="1"/>
  <c r="DF1" i="1"/>
  <c r="DF2" i="1" s="1"/>
  <c r="DG1" i="1"/>
  <c r="DG2" i="1" s="1"/>
  <c r="AL52" i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L38" i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U34" i="1" l="1"/>
  <c r="U80" i="1" s="1"/>
  <c r="U90" i="1" s="1"/>
  <c r="AZ44" i="1"/>
  <c r="AN75" i="1"/>
  <c r="BA2" i="1"/>
  <c r="BA44" i="1"/>
  <c r="AZ46" i="1"/>
  <c r="AZ45" i="1"/>
  <c r="AO2" i="1"/>
  <c r="AL39" i="1"/>
  <c r="AM39" i="1" s="1"/>
  <c r="K57" i="28"/>
  <c r="U136" i="1"/>
  <c r="M23" i="28"/>
  <c r="K59" i="28"/>
  <c r="M25" i="28"/>
  <c r="M27" i="28"/>
  <c r="K55" i="28"/>
  <c r="V10" i="1"/>
  <c r="D15" i="5"/>
  <c r="D34" i="5"/>
  <c r="J14" i="5"/>
  <c r="F16" i="5"/>
  <c r="D25" i="5"/>
  <c r="G15" i="5"/>
  <c r="K14" i="5"/>
  <c r="D42" i="5"/>
  <c r="E16" i="5"/>
  <c r="D16" i="5"/>
  <c r="D14" i="5"/>
  <c r="H35" i="5"/>
  <c r="I15" i="5"/>
  <c r="K15" i="5"/>
  <c r="F14" i="5"/>
  <c r="G16" i="5"/>
  <c r="F35" i="5"/>
  <c r="D33" i="5"/>
  <c r="J15" i="5"/>
  <c r="D23" i="5"/>
  <c r="E34" i="5"/>
  <c r="H14" i="5"/>
  <c r="H16" i="5"/>
  <c r="D24" i="5"/>
  <c r="J35" i="5"/>
  <c r="I14" i="5"/>
  <c r="I16" i="5"/>
  <c r="D22" i="5"/>
  <c r="G35" i="5"/>
  <c r="H15" i="5"/>
  <c r="G14" i="5"/>
  <c r="K16" i="5"/>
  <c r="D35" i="5"/>
  <c r="K35" i="5"/>
  <c r="E35" i="5"/>
  <c r="E14" i="5"/>
  <c r="I35" i="5"/>
  <c r="J16" i="5"/>
  <c r="AN2" i="1"/>
  <c r="AO151" i="1"/>
  <c r="P36" i="34" s="1"/>
  <c r="AO150" i="1"/>
  <c r="P35" i="34" s="1"/>
  <c r="AZ2" i="1"/>
  <c r="M35" i="32"/>
  <c r="M33" i="31"/>
  <c r="N26" i="32"/>
  <c r="N24" i="31"/>
  <c r="BL51" i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AZ38" i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AZ52" i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C25" i="34"/>
  <c r="AT63" i="1"/>
  <c r="P2" i="1"/>
  <c r="N178" i="1"/>
  <c r="N179" i="1" s="1"/>
  <c r="M180" i="1"/>
  <c r="AP60" i="1"/>
  <c r="AV155" i="1"/>
  <c r="BA154" i="1"/>
  <c r="AQ123" i="1"/>
  <c r="AQ87" i="1"/>
  <c r="AP55" i="1"/>
  <c r="AO61" i="1"/>
  <c r="AO66" i="1" s="1"/>
  <c r="AO57" i="1"/>
  <c r="AO59" i="1" s="1"/>
  <c r="AO75" i="1" s="1"/>
  <c r="M36" i="25"/>
  <c r="AA17" i="1"/>
  <c r="AA18" i="1"/>
  <c r="AA16" i="1"/>
  <c r="Q16" i="1"/>
  <c r="R18" i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V34" i="1" l="1"/>
  <c r="V80" i="1" s="1"/>
  <c r="V90" i="1" s="1"/>
  <c r="U81" i="1"/>
  <c r="AZ47" i="1"/>
  <c r="AP151" i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BB44" i="1"/>
  <c r="BA46" i="1"/>
  <c r="BA45" i="1"/>
  <c r="BA47" i="1" s="1"/>
  <c r="AP150" i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N39" i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N27" i="28"/>
  <c r="V136" i="1"/>
  <c r="L57" i="28"/>
  <c r="N25" i="28"/>
  <c r="N23" i="28"/>
  <c r="L59" i="28"/>
  <c r="L55" i="28"/>
  <c r="W10" i="1"/>
  <c r="W34" i="1" s="1"/>
  <c r="W80" i="1" s="1"/>
  <c r="W90" i="1" s="1"/>
  <c r="G19" i="5"/>
  <c r="K19" i="5"/>
  <c r="H19" i="5"/>
  <c r="I19" i="5"/>
  <c r="D36" i="5"/>
  <c r="J19" i="5"/>
  <c r="D19" i="5"/>
  <c r="D27" i="5" s="1"/>
  <c r="BL38" i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L52" i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1" i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D25" i="34"/>
  <c r="AU63" i="1"/>
  <c r="N180" i="1"/>
  <c r="O178" i="1"/>
  <c r="O179" i="1" s="1"/>
  <c r="AQ60" i="1"/>
  <c r="BB154" i="1"/>
  <c r="AW155" i="1"/>
  <c r="AR123" i="1"/>
  <c r="AR87" i="1"/>
  <c r="AP61" i="1"/>
  <c r="AP66" i="1" s="1"/>
  <c r="AP57" i="1"/>
  <c r="AP59" i="1" s="1"/>
  <c r="AP75" i="1" s="1"/>
  <c r="AQ55" i="1"/>
  <c r="N36" i="25"/>
  <c r="P36" i="25" s="1"/>
  <c r="AA15" i="1"/>
  <c r="AA19" i="1" s="1"/>
  <c r="M26" i="6"/>
  <c r="N26" i="6"/>
  <c r="K16" i="6"/>
  <c r="L17" i="6"/>
  <c r="V81" i="1" l="1"/>
  <c r="BC44" i="1"/>
  <c r="BB46" i="1"/>
  <c r="BB45" i="1"/>
  <c r="BB47" i="1" s="1"/>
  <c r="W48" i="1"/>
  <c r="W49" i="1"/>
  <c r="M59" i="28"/>
  <c r="N59" i="28" s="1"/>
  <c r="W136" i="1"/>
  <c r="M57" i="28"/>
  <c r="O27" i="28"/>
  <c r="X10" i="1"/>
  <c r="X34" i="1" s="1"/>
  <c r="X80" i="1" s="1"/>
  <c r="X90" i="1" s="1"/>
  <c r="M55" i="28"/>
  <c r="O23" i="28"/>
  <c r="O25" i="28"/>
  <c r="W29" i="1"/>
  <c r="W28" i="1"/>
  <c r="W30" i="1"/>
  <c r="W81" i="1"/>
  <c r="D39" i="5"/>
  <c r="D44" i="5" s="1"/>
  <c r="D48" i="5" s="1"/>
  <c r="D29" i="5"/>
  <c r="BX52" i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1" i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BX38" i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P178" i="1"/>
  <c r="O180" i="1"/>
  <c r="AV63" i="1"/>
  <c r="AR60" i="1"/>
  <c r="BC154" i="1"/>
  <c r="AX155" i="1"/>
  <c r="AS123" i="1"/>
  <c r="AS87" i="1"/>
  <c r="AR55" i="1"/>
  <c r="AQ57" i="1"/>
  <c r="AQ59" i="1" s="1"/>
  <c r="AQ61" i="1"/>
  <c r="AQ66" i="1" s="1"/>
  <c r="AA20" i="1"/>
  <c r="K17" i="6"/>
  <c r="AQ75" i="1" l="1"/>
  <c r="BD44" i="1"/>
  <c r="BC46" i="1"/>
  <c r="BC45" i="1"/>
  <c r="BC47" i="1" s="1"/>
  <c r="X48" i="1"/>
  <c r="X49" i="1"/>
  <c r="N57" i="28"/>
  <c r="X29" i="1"/>
  <c r="X28" i="1"/>
  <c r="X30" i="1"/>
  <c r="X81" i="1"/>
  <c r="P25" i="28"/>
  <c r="N55" i="28"/>
  <c r="Y10" i="1"/>
  <c r="Y34" i="1" s="1"/>
  <c r="Y80" i="1" s="1"/>
  <c r="Y90" i="1" s="1"/>
  <c r="P27" i="28"/>
  <c r="P23" i="28"/>
  <c r="O59" i="28"/>
  <c r="X136" i="1"/>
  <c r="E25" i="34"/>
  <c r="CV51" i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CJ38" i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J52" i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F25" i="34"/>
  <c r="AW63" i="1"/>
  <c r="AS60" i="1"/>
  <c r="AY155" i="1"/>
  <c r="BD154" i="1"/>
  <c r="AT123" i="1"/>
  <c r="AT87" i="1"/>
  <c r="AR61" i="1"/>
  <c r="AR66" i="1" s="1"/>
  <c r="AR57" i="1"/>
  <c r="AR59" i="1" s="1"/>
  <c r="AS55" i="1"/>
  <c r="W89" i="1"/>
  <c r="W167" i="1"/>
  <c r="AR75" i="1" l="1"/>
  <c r="Y48" i="1"/>
  <c r="Y49" i="1"/>
  <c r="BE44" i="1"/>
  <c r="BD45" i="1"/>
  <c r="BD46" i="1"/>
  <c r="BD47" i="1" s="1"/>
  <c r="Y136" i="1"/>
  <c r="Q23" i="28"/>
  <c r="Q25" i="28"/>
  <c r="P59" i="28"/>
  <c r="O57" i="28"/>
  <c r="Q27" i="28"/>
  <c r="O55" i="28"/>
  <c r="Z10" i="1"/>
  <c r="Z34" i="1" s="1"/>
  <c r="Z80" i="1" s="1"/>
  <c r="Z90" i="1" s="1"/>
  <c r="Y29" i="1"/>
  <c r="Y30" i="1"/>
  <c r="Y28" i="1"/>
  <c r="Y81" i="1"/>
  <c r="CV38" i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CV52" i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AX63" i="1"/>
  <c r="AT60" i="1"/>
  <c r="BE154" i="1"/>
  <c r="AZ155" i="1"/>
  <c r="AU123" i="1"/>
  <c r="AU87" i="1"/>
  <c r="AT55" i="1"/>
  <c r="AS57" i="1"/>
  <c r="AS59" i="1" s="1"/>
  <c r="AS61" i="1"/>
  <c r="AS66" i="1" s="1"/>
  <c r="W166" i="1"/>
  <c r="W170" i="1" s="1"/>
  <c r="W176" i="1" s="1"/>
  <c r="AS75" i="1" l="1"/>
  <c r="Z48" i="1"/>
  <c r="Z49" i="1"/>
  <c r="BF44" i="1"/>
  <c r="BE45" i="1"/>
  <c r="BE46" i="1"/>
  <c r="BE47" i="1" s="1"/>
  <c r="Z136" i="1"/>
  <c r="R23" i="28"/>
  <c r="R25" i="28"/>
  <c r="Z28" i="1"/>
  <c r="Z29" i="1"/>
  <c r="Z30" i="1"/>
  <c r="Z81" i="1"/>
  <c r="P57" i="28"/>
  <c r="R27" i="28"/>
  <c r="P55" i="28"/>
  <c r="G25" i="34"/>
  <c r="H25" i="34"/>
  <c r="AY63" i="1"/>
  <c r="AZ63" i="1" s="1"/>
  <c r="AU60" i="1"/>
  <c r="BA155" i="1"/>
  <c r="BF154" i="1"/>
  <c r="AV123" i="1"/>
  <c r="AV87" i="1"/>
  <c r="AT61" i="1"/>
  <c r="AT66" i="1" s="1"/>
  <c r="AT57" i="1"/>
  <c r="AT59" i="1" s="1"/>
  <c r="AT75" i="1" s="1"/>
  <c r="AU55" i="1"/>
  <c r="AD173" i="1"/>
  <c r="Y168" i="1"/>
  <c r="BG44" i="1" l="1"/>
  <c r="BF45" i="1"/>
  <c r="BF46" i="1"/>
  <c r="BF47" i="1" s="1"/>
  <c r="S23" i="28"/>
  <c r="Q55" i="28"/>
  <c r="Q57" i="28"/>
  <c r="S25" i="28"/>
  <c r="Q59" i="28"/>
  <c r="S27" i="28"/>
  <c r="I25" i="34"/>
  <c r="AV60" i="1"/>
  <c r="BG154" i="1"/>
  <c r="BB155" i="1"/>
  <c r="AW123" i="1"/>
  <c r="AW87" i="1"/>
  <c r="AU57" i="1"/>
  <c r="AU59" i="1" s="1"/>
  <c r="AV55" i="1"/>
  <c r="AU61" i="1"/>
  <c r="AU66" i="1" s="1"/>
  <c r="AE173" i="1"/>
  <c r="Z168" i="1"/>
  <c r="AU75" i="1" l="1"/>
  <c r="BH44" i="1"/>
  <c r="BG46" i="1"/>
  <c r="BG45" i="1"/>
  <c r="BG47" i="1"/>
  <c r="R59" i="28"/>
  <c r="R57" i="28"/>
  <c r="R55" i="28"/>
  <c r="T23" i="28"/>
  <c r="T27" i="28"/>
  <c r="T25" i="28"/>
  <c r="J25" i="34"/>
  <c r="BA63" i="1"/>
  <c r="AW60" i="1"/>
  <c r="BH154" i="1"/>
  <c r="BC155" i="1"/>
  <c r="AX123" i="1"/>
  <c r="AX87" i="1"/>
  <c r="AV61" i="1"/>
  <c r="AV66" i="1" s="1"/>
  <c r="AW55" i="1"/>
  <c r="AV57" i="1"/>
  <c r="AV59" i="1" s="1"/>
  <c r="AV75" i="1" s="1"/>
  <c r="AL108" i="1"/>
  <c r="AL110" i="1" s="1"/>
  <c r="BI44" i="1" l="1"/>
  <c r="BH46" i="1"/>
  <c r="BH45" i="1"/>
  <c r="BH47" i="1" s="1"/>
  <c r="S59" i="28"/>
  <c r="S57" i="28"/>
  <c r="S55" i="28"/>
  <c r="K25" i="34"/>
  <c r="BB63" i="1"/>
  <c r="AX60" i="1"/>
  <c r="BI154" i="1"/>
  <c r="BD155" i="1"/>
  <c r="AY123" i="1"/>
  <c r="AY87" i="1"/>
  <c r="AW57" i="1"/>
  <c r="AW59" i="1" s="1"/>
  <c r="AX55" i="1"/>
  <c r="AW61" i="1"/>
  <c r="AW66" i="1" s="1"/>
  <c r="AM108" i="1"/>
  <c r="AM110" i="1" s="1"/>
  <c r="AW75" i="1" l="1"/>
  <c r="L25" i="34" s="1"/>
  <c r="BJ44" i="1"/>
  <c r="BI46" i="1"/>
  <c r="BI45" i="1"/>
  <c r="BI47" i="1" s="1"/>
  <c r="T57" i="28"/>
  <c r="T55" i="28"/>
  <c r="T59" i="28"/>
  <c r="BC63" i="1"/>
  <c r="AY60" i="1"/>
  <c r="BJ154" i="1"/>
  <c r="BE155" i="1"/>
  <c r="AZ123" i="1"/>
  <c r="AZ87" i="1"/>
  <c r="AY55" i="1"/>
  <c r="AX57" i="1"/>
  <c r="AX59" i="1" s="1"/>
  <c r="AX61" i="1"/>
  <c r="AX66" i="1" s="1"/>
  <c r="AN108" i="1"/>
  <c r="AN110" i="1" s="1"/>
  <c r="AX75" i="1" l="1"/>
  <c r="BK44" i="1"/>
  <c r="BJ46" i="1"/>
  <c r="BJ45" i="1"/>
  <c r="BJ47" i="1" s="1"/>
  <c r="M25" i="34"/>
  <c r="BD63" i="1"/>
  <c r="AZ60" i="1"/>
  <c r="BK154" i="1"/>
  <c r="BF155" i="1"/>
  <c r="BA123" i="1"/>
  <c r="BA87" i="1"/>
  <c r="AY61" i="1"/>
  <c r="AY66" i="1" s="1"/>
  <c r="AY57" i="1"/>
  <c r="AZ55" i="1"/>
  <c r="AO108" i="1"/>
  <c r="AO110" i="1" s="1"/>
  <c r="L32" i="15"/>
  <c r="BL44" i="1" l="1"/>
  <c r="BK46" i="1"/>
  <c r="BK45" i="1"/>
  <c r="BK47" i="1" s="1"/>
  <c r="AY59" i="1"/>
  <c r="AY75" i="1" s="1"/>
  <c r="AZ57" i="1"/>
  <c r="AZ59" i="1" s="1"/>
  <c r="AZ61" i="1"/>
  <c r="AZ66" i="1" s="1"/>
  <c r="BE63" i="1"/>
  <c r="BA60" i="1"/>
  <c r="BG155" i="1"/>
  <c r="BL154" i="1"/>
  <c r="BB123" i="1"/>
  <c r="BB87" i="1"/>
  <c r="BA55" i="1"/>
  <c r="AP108" i="1"/>
  <c r="AP110" i="1" s="1"/>
  <c r="M32" i="15"/>
  <c r="AZ75" i="1" l="1"/>
  <c r="BM44" i="1"/>
  <c r="BL45" i="1"/>
  <c r="BL46" i="1"/>
  <c r="N25" i="34"/>
  <c r="P25" i="34" s="1"/>
  <c r="BF63" i="1"/>
  <c r="BB60" i="1"/>
  <c r="BH155" i="1"/>
  <c r="BM154" i="1"/>
  <c r="BC123" i="1"/>
  <c r="BC87" i="1"/>
  <c r="BA57" i="1"/>
  <c r="BA59" i="1" s="1"/>
  <c r="BB55" i="1"/>
  <c r="BA61" i="1"/>
  <c r="BA66" i="1" s="1"/>
  <c r="AQ108" i="1"/>
  <c r="AQ110" i="1" s="1"/>
  <c r="N32" i="15"/>
  <c r="AK173" i="1"/>
  <c r="BA75" i="1" l="1"/>
  <c r="BL47" i="1"/>
  <c r="BN44" i="1"/>
  <c r="BM45" i="1"/>
  <c r="BM46" i="1"/>
  <c r="BG63" i="1"/>
  <c r="BC60" i="1"/>
  <c r="BI155" i="1"/>
  <c r="BN154" i="1"/>
  <c r="BD123" i="1"/>
  <c r="BD87" i="1"/>
  <c r="BB61" i="1"/>
  <c r="BB66" i="1" s="1"/>
  <c r="BC55" i="1"/>
  <c r="BB57" i="1"/>
  <c r="BB59" i="1" s="1"/>
  <c r="AR108" i="1"/>
  <c r="AR110" i="1" s="1"/>
  <c r="AL153" i="1"/>
  <c r="AL156" i="1" s="1"/>
  <c r="AL173" i="1" s="1"/>
  <c r="P32" i="15"/>
  <c r="BB75" i="1" l="1"/>
  <c r="BM47" i="1"/>
  <c r="BO44" i="1"/>
  <c r="BN45" i="1"/>
  <c r="BN46" i="1"/>
  <c r="BN47" i="1" s="1"/>
  <c r="BH63" i="1"/>
  <c r="BD60" i="1"/>
  <c r="BO154" i="1"/>
  <c r="BJ155" i="1"/>
  <c r="BE123" i="1"/>
  <c r="BE87" i="1"/>
  <c r="BC61" i="1"/>
  <c r="BC66" i="1" s="1"/>
  <c r="BC57" i="1"/>
  <c r="BC59" i="1" s="1"/>
  <c r="BD55" i="1"/>
  <c r="AS108" i="1"/>
  <c r="AS110" i="1" s="1"/>
  <c r="BC75" i="1" l="1"/>
  <c r="BP44" i="1"/>
  <c r="BO45" i="1"/>
  <c r="BO46" i="1"/>
  <c r="BO47" i="1"/>
  <c r="BI63" i="1"/>
  <c r="BE60" i="1"/>
  <c r="BK155" i="1"/>
  <c r="BP154" i="1"/>
  <c r="BF123" i="1"/>
  <c r="BF87" i="1"/>
  <c r="BE55" i="1"/>
  <c r="BD57" i="1"/>
  <c r="BD59" i="1" s="1"/>
  <c r="BD61" i="1"/>
  <c r="BD66" i="1" s="1"/>
  <c r="AT108" i="1"/>
  <c r="AT110" i="1" s="1"/>
  <c r="E25" i="27"/>
  <c r="E31" i="25"/>
  <c r="BD75" i="1" l="1"/>
  <c r="BQ44" i="1"/>
  <c r="BP46" i="1"/>
  <c r="BP45" i="1"/>
  <c r="BP47" i="1" s="1"/>
  <c r="BJ63" i="1"/>
  <c r="BF60" i="1"/>
  <c r="BQ154" i="1"/>
  <c r="BL155" i="1"/>
  <c r="BG123" i="1"/>
  <c r="BG87" i="1"/>
  <c r="BE61" i="1"/>
  <c r="BE66" i="1" s="1"/>
  <c r="BE57" i="1"/>
  <c r="BE59" i="1" s="1"/>
  <c r="BE75" i="1" s="1"/>
  <c r="BF55" i="1"/>
  <c r="AU108" i="1"/>
  <c r="AU110" i="1" s="1"/>
  <c r="F25" i="27"/>
  <c r="F26" i="27" s="1"/>
  <c r="F27" i="27" s="1"/>
  <c r="E26" i="27"/>
  <c r="E27" i="27" s="1"/>
  <c r="F31" i="25"/>
  <c r="G25" i="27"/>
  <c r="G26" i="27" s="1"/>
  <c r="G27" i="27" s="1"/>
  <c r="BR44" i="1" l="1"/>
  <c r="BQ46" i="1"/>
  <c r="BQ45" i="1"/>
  <c r="BQ47" i="1" s="1"/>
  <c r="BK63" i="1"/>
  <c r="BL63" i="1" s="1"/>
  <c r="BG60" i="1"/>
  <c r="BR154" i="1"/>
  <c r="BM155" i="1"/>
  <c r="BH123" i="1"/>
  <c r="BH87" i="1"/>
  <c r="BG55" i="1"/>
  <c r="BF57" i="1"/>
  <c r="BF59" i="1" s="1"/>
  <c r="BF61" i="1"/>
  <c r="BF66" i="1" s="1"/>
  <c r="AV108" i="1"/>
  <c r="AV110" i="1" s="1"/>
  <c r="G31" i="25"/>
  <c r="BF75" i="1" l="1"/>
  <c r="BS44" i="1"/>
  <c r="BR46" i="1"/>
  <c r="BR45" i="1"/>
  <c r="BR47" i="1" s="1"/>
  <c r="H25" i="32"/>
  <c r="H27" i="32" s="1"/>
  <c r="H25" i="31"/>
  <c r="BH60" i="1"/>
  <c r="BN155" i="1"/>
  <c r="BS154" i="1"/>
  <c r="BI123" i="1"/>
  <c r="BI87" i="1"/>
  <c r="BG61" i="1"/>
  <c r="BG66" i="1" s="1"/>
  <c r="BG57" i="1"/>
  <c r="BG59" i="1" s="1"/>
  <c r="BG75" i="1" s="1"/>
  <c r="BH55" i="1"/>
  <c r="AW108" i="1"/>
  <c r="AW110" i="1" s="1"/>
  <c r="H25" i="27"/>
  <c r="H31" i="25"/>
  <c r="BT44" i="1" l="1"/>
  <c r="BS45" i="1"/>
  <c r="BS46" i="1"/>
  <c r="I23" i="31"/>
  <c r="I25" i="32"/>
  <c r="I27" i="32" s="1"/>
  <c r="H32" i="32"/>
  <c r="H30" i="31"/>
  <c r="I25" i="31"/>
  <c r="BM63" i="1"/>
  <c r="BI60" i="1"/>
  <c r="BO155" i="1"/>
  <c r="BT154" i="1"/>
  <c r="BJ123" i="1"/>
  <c r="BJ87" i="1"/>
  <c r="BI55" i="1"/>
  <c r="BH57" i="1"/>
  <c r="BH59" i="1" s="1"/>
  <c r="BH75" i="1" s="1"/>
  <c r="BH61" i="1"/>
  <c r="BH66" i="1" s="1"/>
  <c r="AX108" i="1"/>
  <c r="AX110" i="1" s="1"/>
  <c r="H26" i="27"/>
  <c r="H27" i="27" s="1"/>
  <c r="I25" i="27"/>
  <c r="I26" i="27" s="1"/>
  <c r="I27" i="27" s="1"/>
  <c r="I31" i="25"/>
  <c r="J23" i="31"/>
  <c r="AL106" i="1"/>
  <c r="AL104" i="1" s="1"/>
  <c r="BS47" i="1" l="1"/>
  <c r="BU44" i="1"/>
  <c r="BT45" i="1"/>
  <c r="BT46" i="1"/>
  <c r="J25" i="32"/>
  <c r="J27" i="32" s="1"/>
  <c r="I32" i="32"/>
  <c r="I30" i="31"/>
  <c r="J25" i="27"/>
  <c r="J26" i="27" s="1"/>
  <c r="J27" i="27" s="1"/>
  <c r="BN63" i="1"/>
  <c r="BJ60" i="1"/>
  <c r="BU154" i="1"/>
  <c r="BP155" i="1"/>
  <c r="BK123" i="1"/>
  <c r="BK87" i="1"/>
  <c r="AY108" i="1"/>
  <c r="AY110" i="1" s="1"/>
  <c r="BI61" i="1"/>
  <c r="BI66" i="1" s="1"/>
  <c r="BI57" i="1"/>
  <c r="BI59" i="1" s="1"/>
  <c r="BJ55" i="1"/>
  <c r="J31" i="25"/>
  <c r="K23" i="31"/>
  <c r="AM106" i="1"/>
  <c r="AM104" i="1" s="1"/>
  <c r="BI75" i="1" l="1"/>
  <c r="BT47" i="1"/>
  <c r="BV44" i="1"/>
  <c r="BU45" i="1"/>
  <c r="BU47" i="1" s="1"/>
  <c r="BU46" i="1"/>
  <c r="K25" i="32"/>
  <c r="K27" i="32" s="1"/>
  <c r="J30" i="31"/>
  <c r="J32" i="32"/>
  <c r="K25" i="31"/>
  <c r="J25" i="31"/>
  <c r="BO63" i="1"/>
  <c r="BK60" i="1"/>
  <c r="BL60" i="1" s="1"/>
  <c r="BV154" i="1"/>
  <c r="BQ155" i="1"/>
  <c r="BL123" i="1"/>
  <c r="BL87" i="1"/>
  <c r="BK55" i="1"/>
  <c r="BJ57" i="1"/>
  <c r="BJ59" i="1" s="1"/>
  <c r="BJ61" i="1"/>
  <c r="BJ66" i="1" s="1"/>
  <c r="AZ108" i="1"/>
  <c r="AZ110" i="1" s="1"/>
  <c r="K25" i="27"/>
  <c r="K26" i="27" s="1"/>
  <c r="K27" i="27" s="1"/>
  <c r="K31" i="25"/>
  <c r="AL37" i="1"/>
  <c r="AN106" i="1"/>
  <c r="AN104" i="1" s="1"/>
  <c r="BJ75" i="1" l="1"/>
  <c r="BW44" i="1"/>
  <c r="BV45" i="1"/>
  <c r="BV46" i="1"/>
  <c r="BL55" i="1"/>
  <c r="L23" i="31"/>
  <c r="L25" i="32"/>
  <c r="L27" i="32" s="1"/>
  <c r="K30" i="31"/>
  <c r="K32" i="32"/>
  <c r="L25" i="31"/>
  <c r="BP63" i="1"/>
  <c r="BW154" i="1"/>
  <c r="BR155" i="1"/>
  <c r="BM123" i="1"/>
  <c r="BM87" i="1"/>
  <c r="BK61" i="1"/>
  <c r="BK66" i="1" s="1"/>
  <c r="BA108" i="1"/>
  <c r="BA110" i="1" s="1"/>
  <c r="BK57" i="1"/>
  <c r="L25" i="27"/>
  <c r="L26" i="27" s="1"/>
  <c r="L27" i="27" s="1"/>
  <c r="L31" i="25"/>
  <c r="AM37" i="1"/>
  <c r="AL41" i="1"/>
  <c r="M23" i="31" s="1"/>
  <c r="AO106" i="1"/>
  <c r="AO104" i="1" s="1"/>
  <c r="AL84" i="1"/>
  <c r="BV47" i="1" l="1"/>
  <c r="BX44" i="1"/>
  <c r="BW45" i="1"/>
  <c r="BW47" i="1" s="1"/>
  <c r="BW46" i="1"/>
  <c r="AL76" i="1"/>
  <c r="AL122" i="1" s="1"/>
  <c r="AL124" i="1" s="1"/>
  <c r="M25" i="32"/>
  <c r="M27" i="32" s="1"/>
  <c r="BL61" i="1"/>
  <c r="BL66" i="1" s="1"/>
  <c r="BK59" i="1"/>
  <c r="BK75" i="1" s="1"/>
  <c r="BL57" i="1"/>
  <c r="BL59" i="1" s="1"/>
  <c r="L30" i="31"/>
  <c r="L32" i="32"/>
  <c r="M25" i="31"/>
  <c r="M25" i="27"/>
  <c r="M26" i="27" s="1"/>
  <c r="M27" i="27" s="1"/>
  <c r="BQ63" i="1"/>
  <c r="BM60" i="1"/>
  <c r="BX154" i="1"/>
  <c r="BS155" i="1"/>
  <c r="BN123" i="1"/>
  <c r="BN87" i="1"/>
  <c r="BB108" i="1"/>
  <c r="BB110" i="1" s="1"/>
  <c r="BM55" i="1"/>
  <c r="M31" i="25"/>
  <c r="AN37" i="1"/>
  <c r="AM41" i="1"/>
  <c r="N23" i="31" s="1"/>
  <c r="P23" i="31" s="1"/>
  <c r="AP106" i="1"/>
  <c r="AP104" i="1" s="1"/>
  <c r="AM84" i="1"/>
  <c r="AL85" i="1"/>
  <c r="AL88" i="1" s="1"/>
  <c r="BL75" i="1" l="1"/>
  <c r="BY44" i="1"/>
  <c r="BX46" i="1"/>
  <c r="BX45" i="1"/>
  <c r="BX47" i="1" s="1"/>
  <c r="AM76" i="1"/>
  <c r="AM122" i="1" s="1"/>
  <c r="AM124" i="1" s="1"/>
  <c r="N25" i="32"/>
  <c r="M32" i="32"/>
  <c r="M30" i="31"/>
  <c r="P24" i="31"/>
  <c r="P25" i="31" s="1"/>
  <c r="N25" i="27"/>
  <c r="P25" i="27" s="1"/>
  <c r="P26" i="27" s="1"/>
  <c r="P27" i="27" s="1"/>
  <c r="BR63" i="1"/>
  <c r="BN60" i="1"/>
  <c r="BY154" i="1"/>
  <c r="BT155" i="1"/>
  <c r="BO123" i="1"/>
  <c r="BC108" i="1"/>
  <c r="BC110" i="1" s="1"/>
  <c r="BO87" i="1"/>
  <c r="BM61" i="1"/>
  <c r="BM66" i="1" s="1"/>
  <c r="BM57" i="1"/>
  <c r="BM59" i="1" s="1"/>
  <c r="BN55" i="1"/>
  <c r="N31" i="25"/>
  <c r="P31" i="25" s="1"/>
  <c r="AO37" i="1"/>
  <c r="AN41" i="1"/>
  <c r="AQ106" i="1"/>
  <c r="AQ104" i="1" s="1"/>
  <c r="AN84" i="1"/>
  <c r="AM85" i="1"/>
  <c r="AM88" i="1" s="1"/>
  <c r="BM75" i="1" l="1"/>
  <c r="BZ44" i="1"/>
  <c r="BY46" i="1"/>
  <c r="BY45" i="1"/>
  <c r="C24" i="34"/>
  <c r="C26" i="34" s="1"/>
  <c r="P25" i="32"/>
  <c r="N27" i="32"/>
  <c r="AN76" i="1"/>
  <c r="AN122" i="1" s="1"/>
  <c r="AN124" i="1" s="1"/>
  <c r="N30" i="31"/>
  <c r="P30" i="31" s="1"/>
  <c r="N32" i="32"/>
  <c r="P32" i="32" s="1"/>
  <c r="N26" i="27"/>
  <c r="N27" i="27" s="1"/>
  <c r="N25" i="31"/>
  <c r="P26" i="32"/>
  <c r="BS63" i="1"/>
  <c r="BO60" i="1"/>
  <c r="BZ154" i="1"/>
  <c r="BU155" i="1"/>
  <c r="BP123" i="1"/>
  <c r="BD108" i="1"/>
  <c r="BD110" i="1" s="1"/>
  <c r="BP87" i="1"/>
  <c r="BN57" i="1"/>
  <c r="BN59" i="1" s="1"/>
  <c r="BO55" i="1"/>
  <c r="BN61" i="1"/>
  <c r="BN66" i="1" s="1"/>
  <c r="AP37" i="1"/>
  <c r="AO41" i="1"/>
  <c r="AR106" i="1"/>
  <c r="AR104" i="1" s="1"/>
  <c r="AO84" i="1"/>
  <c r="AN85" i="1"/>
  <c r="AN88" i="1" s="1"/>
  <c r="BY47" i="1" l="1"/>
  <c r="BN75" i="1"/>
  <c r="CA44" i="1"/>
  <c r="BZ46" i="1"/>
  <c r="BZ45" i="1"/>
  <c r="BZ47" i="1" s="1"/>
  <c r="C31" i="34"/>
  <c r="AO76" i="1"/>
  <c r="AO122" i="1" s="1"/>
  <c r="AO124" i="1" s="1"/>
  <c r="D24" i="34"/>
  <c r="P27" i="32"/>
  <c r="BT63" i="1"/>
  <c r="BP60" i="1"/>
  <c r="CA154" i="1"/>
  <c r="BV155" i="1"/>
  <c r="BQ123" i="1"/>
  <c r="BE108" i="1"/>
  <c r="BE110" i="1" s="1"/>
  <c r="BQ87" i="1"/>
  <c r="BO57" i="1"/>
  <c r="BO59" i="1" s="1"/>
  <c r="BO61" i="1"/>
  <c r="BO66" i="1" s="1"/>
  <c r="BP55" i="1"/>
  <c r="AQ37" i="1"/>
  <c r="AP41" i="1"/>
  <c r="AS106" i="1"/>
  <c r="AS104" i="1" s="1"/>
  <c r="AP84" i="1"/>
  <c r="AO85" i="1"/>
  <c r="AO88" i="1" s="1"/>
  <c r="D31" i="34" s="1"/>
  <c r="BO75" i="1" l="1"/>
  <c r="CB44" i="1"/>
  <c r="CA46" i="1"/>
  <c r="CA45" i="1"/>
  <c r="CA47" i="1" s="1"/>
  <c r="E24" i="34"/>
  <c r="E26" i="34" s="1"/>
  <c r="D26" i="34"/>
  <c r="AP76" i="1"/>
  <c r="AP122" i="1" s="1"/>
  <c r="AP124" i="1" s="1"/>
  <c r="BU63" i="1"/>
  <c r="BQ60" i="1"/>
  <c r="BW155" i="1"/>
  <c r="CB154" i="1"/>
  <c r="BR123" i="1"/>
  <c r="BF108" i="1"/>
  <c r="BF110" i="1" s="1"/>
  <c r="BR87" i="1"/>
  <c r="BQ55" i="1"/>
  <c r="BP61" i="1"/>
  <c r="BP66" i="1" s="1"/>
  <c r="BP57" i="1"/>
  <c r="BP59" i="1" s="1"/>
  <c r="AR37" i="1"/>
  <c r="AQ41" i="1"/>
  <c r="AT106" i="1"/>
  <c r="AT104" i="1" s="1"/>
  <c r="AQ84" i="1"/>
  <c r="AP85" i="1"/>
  <c r="AP88" i="1" s="1"/>
  <c r="BP75" i="1" l="1"/>
  <c r="CC44" i="1"/>
  <c r="CB45" i="1"/>
  <c r="CB46" i="1"/>
  <c r="E31" i="34"/>
  <c r="AQ76" i="1"/>
  <c r="AQ122" i="1" s="1"/>
  <c r="AQ124" i="1" s="1"/>
  <c r="F24" i="34"/>
  <c r="BV63" i="1"/>
  <c r="BR60" i="1"/>
  <c r="CC154" i="1"/>
  <c r="BX155" i="1"/>
  <c r="BS123" i="1"/>
  <c r="BG108" i="1"/>
  <c r="BG110" i="1" s="1"/>
  <c r="BS87" i="1"/>
  <c r="BQ57" i="1"/>
  <c r="BQ59" i="1" s="1"/>
  <c r="BQ61" i="1"/>
  <c r="BQ66" i="1" s="1"/>
  <c r="BR55" i="1"/>
  <c r="AS37" i="1"/>
  <c r="AR41" i="1"/>
  <c r="AU106" i="1"/>
  <c r="AU104" i="1" s="1"/>
  <c r="AR84" i="1"/>
  <c r="AQ85" i="1"/>
  <c r="AQ88" i="1" s="1"/>
  <c r="F31" i="34" s="1"/>
  <c r="BQ75" i="1" l="1"/>
  <c r="CB47" i="1"/>
  <c r="CD44" i="1"/>
  <c r="CC45" i="1"/>
  <c r="CC46" i="1"/>
  <c r="F26" i="34"/>
  <c r="AR76" i="1"/>
  <c r="AR122" i="1" s="1"/>
  <c r="AR124" i="1" s="1"/>
  <c r="G24" i="34"/>
  <c r="G26" i="34" s="1"/>
  <c r="BW63" i="1"/>
  <c r="BX63" i="1" s="1"/>
  <c r="BS60" i="1"/>
  <c r="BY155" i="1"/>
  <c r="CD154" i="1"/>
  <c r="BT123" i="1"/>
  <c r="BH108" i="1"/>
  <c r="BH110" i="1" s="1"/>
  <c r="BT87" i="1"/>
  <c r="BS55" i="1"/>
  <c r="BR61" i="1"/>
  <c r="BR66" i="1" s="1"/>
  <c r="BR57" i="1"/>
  <c r="BR59" i="1" s="1"/>
  <c r="AT37" i="1"/>
  <c r="AS41" i="1"/>
  <c r="AV106" i="1"/>
  <c r="AV104" i="1" s="1"/>
  <c r="AS84" i="1"/>
  <c r="AR85" i="1"/>
  <c r="AR88" i="1" s="1"/>
  <c r="G31" i="34" s="1"/>
  <c r="CC47" i="1" l="1"/>
  <c r="BR75" i="1"/>
  <c r="CE44" i="1"/>
  <c r="CD45" i="1"/>
  <c r="CD46" i="1"/>
  <c r="CD47" i="1"/>
  <c r="AS76" i="1"/>
  <c r="AS122" i="1" s="1"/>
  <c r="AS124" i="1" s="1"/>
  <c r="H24" i="34"/>
  <c r="H26" i="34" s="1"/>
  <c r="BT60" i="1"/>
  <c r="BZ155" i="1"/>
  <c r="CE154" i="1"/>
  <c r="BU123" i="1"/>
  <c r="BI108" i="1"/>
  <c r="BI110" i="1" s="1"/>
  <c r="BU87" i="1"/>
  <c r="BT55" i="1"/>
  <c r="BS57" i="1"/>
  <c r="BS59" i="1" s="1"/>
  <c r="BS61" i="1"/>
  <c r="BS66" i="1" s="1"/>
  <c r="AU37" i="1"/>
  <c r="AT41" i="1"/>
  <c r="AW106" i="1"/>
  <c r="AW104" i="1" s="1"/>
  <c r="AT84" i="1"/>
  <c r="AS85" i="1"/>
  <c r="AS88" i="1" s="1"/>
  <c r="H31" i="34" s="1"/>
  <c r="BS75" i="1" l="1"/>
  <c r="CF44" i="1"/>
  <c r="CE46" i="1"/>
  <c r="CE45" i="1"/>
  <c r="CE47" i="1"/>
  <c r="AT76" i="1"/>
  <c r="AT122" i="1" s="1"/>
  <c r="AT124" i="1" s="1"/>
  <c r="I24" i="34"/>
  <c r="I26" i="34" s="1"/>
  <c r="BY63" i="1"/>
  <c r="BU60" i="1"/>
  <c r="CA155" i="1"/>
  <c r="CF154" i="1"/>
  <c r="BJ108" i="1"/>
  <c r="BJ110" i="1" s="1"/>
  <c r="BV123" i="1"/>
  <c r="BV87" i="1"/>
  <c r="BT61" i="1"/>
  <c r="BT66" i="1" s="1"/>
  <c r="BT57" i="1"/>
  <c r="BT59" i="1" s="1"/>
  <c r="BU55" i="1"/>
  <c r="AV37" i="1"/>
  <c r="AU41" i="1"/>
  <c r="AX106" i="1"/>
  <c r="AX104" i="1" s="1"/>
  <c r="AU84" i="1"/>
  <c r="AT85" i="1"/>
  <c r="AT88" i="1" s="1"/>
  <c r="I31" i="34" s="1"/>
  <c r="BT75" i="1" l="1"/>
  <c r="CG44" i="1"/>
  <c r="CF46" i="1"/>
  <c r="CF45" i="1"/>
  <c r="CF47" i="1" s="1"/>
  <c r="AU76" i="1"/>
  <c r="AU122" i="1" s="1"/>
  <c r="AU124" i="1" s="1"/>
  <c r="J24" i="34"/>
  <c r="J26" i="34" s="1"/>
  <c r="BZ63" i="1"/>
  <c r="BV60" i="1"/>
  <c r="BK108" i="1"/>
  <c r="BK110" i="1" s="1"/>
  <c r="CG154" i="1"/>
  <c r="CB155" i="1"/>
  <c r="BW123" i="1"/>
  <c r="BW87" i="1"/>
  <c r="BU57" i="1"/>
  <c r="BU59" i="1" s="1"/>
  <c r="BV55" i="1"/>
  <c r="BU61" i="1"/>
  <c r="AW37" i="1"/>
  <c r="AV41" i="1"/>
  <c r="AY106" i="1"/>
  <c r="AY104" i="1" s="1"/>
  <c r="AV84" i="1"/>
  <c r="AU85" i="1"/>
  <c r="AU88" i="1" s="1"/>
  <c r="J31" i="34" s="1"/>
  <c r="CH44" i="1" l="1"/>
  <c r="CG46" i="1"/>
  <c r="CG45" i="1"/>
  <c r="CG47" i="1" s="1"/>
  <c r="BU66" i="1"/>
  <c r="BU75" i="1" s="1"/>
  <c r="AV76" i="1"/>
  <c r="AV122" i="1" s="1"/>
  <c r="AV124" i="1" s="1"/>
  <c r="K24" i="34"/>
  <c r="K26" i="34" s="1"/>
  <c r="CA63" i="1"/>
  <c r="BL108" i="1"/>
  <c r="BL110" i="1" s="1"/>
  <c r="BW60" i="1"/>
  <c r="BX60" i="1" s="1"/>
  <c r="CH154" i="1"/>
  <c r="CC155" i="1"/>
  <c r="BX123" i="1"/>
  <c r="BX87" i="1"/>
  <c r="BV61" i="1"/>
  <c r="BV66" i="1" s="1"/>
  <c r="BW55" i="1"/>
  <c r="BV57" i="1"/>
  <c r="BV59" i="1" s="1"/>
  <c r="AX37" i="1"/>
  <c r="AW41" i="1"/>
  <c r="AZ106" i="1"/>
  <c r="AZ104" i="1" s="1"/>
  <c r="AW84" i="1"/>
  <c r="AV85" i="1"/>
  <c r="AV88" i="1" s="1"/>
  <c r="K31" i="34" s="1"/>
  <c r="BV75" i="1" l="1"/>
  <c r="CI44" i="1"/>
  <c r="CH46" i="1"/>
  <c r="CH45" i="1"/>
  <c r="CH47" i="1" s="1"/>
  <c r="BX55" i="1"/>
  <c r="AW76" i="1"/>
  <c r="AW122" i="1" s="1"/>
  <c r="AW124" i="1" s="1"/>
  <c r="L24" i="34"/>
  <c r="L26" i="34" s="1"/>
  <c r="CB63" i="1"/>
  <c r="BM108" i="1"/>
  <c r="BM110" i="1" s="1"/>
  <c r="CD155" i="1"/>
  <c r="CI154" i="1"/>
  <c r="BY123" i="1"/>
  <c r="BY87" i="1"/>
  <c r="BW57" i="1"/>
  <c r="BW61" i="1"/>
  <c r="BW66" i="1" s="1"/>
  <c r="AY37" i="1"/>
  <c r="AZ37" i="1" s="1"/>
  <c r="AX41" i="1"/>
  <c r="BA106" i="1"/>
  <c r="BA104" i="1" s="1"/>
  <c r="AX84" i="1"/>
  <c r="AW85" i="1"/>
  <c r="AW88" i="1" s="1"/>
  <c r="L31" i="34" s="1"/>
  <c r="CJ44" i="1" l="1"/>
  <c r="CI46" i="1"/>
  <c r="CI45" i="1"/>
  <c r="CI47" i="1" s="1"/>
  <c r="AX76" i="1"/>
  <c r="AX122" i="1" s="1"/>
  <c r="AX124" i="1" s="1"/>
  <c r="M24" i="34"/>
  <c r="M26" i="34" s="1"/>
  <c r="BX61" i="1"/>
  <c r="BX66" i="1" s="1"/>
  <c r="BW59" i="1"/>
  <c r="BW75" i="1" s="1"/>
  <c r="BX57" i="1"/>
  <c r="BX59" i="1" s="1"/>
  <c r="BX75" i="1" s="1"/>
  <c r="CC63" i="1"/>
  <c r="BN108" i="1"/>
  <c r="BN110" i="1" s="1"/>
  <c r="BY60" i="1"/>
  <c r="CJ154" i="1"/>
  <c r="CE155" i="1"/>
  <c r="BZ123" i="1"/>
  <c r="BZ87" i="1"/>
  <c r="BY55" i="1"/>
  <c r="AY41" i="1"/>
  <c r="BB106" i="1"/>
  <c r="BB104" i="1" s="1"/>
  <c r="AY84" i="1"/>
  <c r="AX85" i="1"/>
  <c r="AX88" i="1" s="1"/>
  <c r="M31" i="34" s="1"/>
  <c r="CK44" i="1" l="1"/>
  <c r="CJ45" i="1"/>
  <c r="CJ46" i="1"/>
  <c r="AY76" i="1"/>
  <c r="AY122" i="1" s="1"/>
  <c r="AY124" i="1" s="1"/>
  <c r="N24" i="34"/>
  <c r="CD63" i="1"/>
  <c r="BO108" i="1"/>
  <c r="BO110" i="1" s="1"/>
  <c r="BZ60" i="1"/>
  <c r="CK154" i="1"/>
  <c r="CF155" i="1"/>
  <c r="CA123" i="1"/>
  <c r="CA87" i="1"/>
  <c r="BZ55" i="1"/>
  <c r="BY57" i="1"/>
  <c r="BY59" i="1" s="1"/>
  <c r="BY61" i="1"/>
  <c r="BY66" i="1" s="1"/>
  <c r="BY75" i="1" s="1"/>
  <c r="BA37" i="1"/>
  <c r="AZ41" i="1"/>
  <c r="BC106" i="1"/>
  <c r="BC104" i="1" s="1"/>
  <c r="AZ84" i="1"/>
  <c r="AY85" i="1"/>
  <c r="AY88" i="1" s="1"/>
  <c r="N31" i="34" s="1"/>
  <c r="P31" i="34" s="1"/>
  <c r="CJ47" i="1" l="1"/>
  <c r="CL44" i="1"/>
  <c r="CK45" i="1"/>
  <c r="CK46" i="1"/>
  <c r="N26" i="34"/>
  <c r="P24" i="34"/>
  <c r="P26" i="34" s="1"/>
  <c r="AZ76" i="1"/>
  <c r="AZ122" i="1" s="1"/>
  <c r="AZ124" i="1" s="1"/>
  <c r="CE63" i="1"/>
  <c r="BP108" i="1"/>
  <c r="BP110" i="1" s="1"/>
  <c r="CA60" i="1"/>
  <c r="CG155" i="1"/>
  <c r="CL154" i="1"/>
  <c r="CB123" i="1"/>
  <c r="CB87" i="1"/>
  <c r="BZ61" i="1"/>
  <c r="BZ66" i="1" s="1"/>
  <c r="BZ57" i="1"/>
  <c r="BZ59" i="1" s="1"/>
  <c r="BZ75" i="1" s="1"/>
  <c r="CA55" i="1"/>
  <c r="BB37" i="1"/>
  <c r="BA41" i="1"/>
  <c r="BA76" i="1" s="1"/>
  <c r="BA122" i="1" s="1"/>
  <c r="BA124" i="1" s="1"/>
  <c r="BD106" i="1"/>
  <c r="BD104" i="1" s="1"/>
  <c r="BA84" i="1"/>
  <c r="AZ85" i="1"/>
  <c r="AZ88" i="1" s="1"/>
  <c r="CK47" i="1" l="1"/>
  <c r="CM44" i="1"/>
  <c r="CL45" i="1"/>
  <c r="CL46" i="1"/>
  <c r="CL47" i="1" s="1"/>
  <c r="CF63" i="1"/>
  <c r="BQ108" i="1"/>
  <c r="BQ110" i="1" s="1"/>
  <c r="CB60" i="1"/>
  <c r="CM154" i="1"/>
  <c r="CH155" i="1"/>
  <c r="CC123" i="1"/>
  <c r="CC87" i="1"/>
  <c r="CB55" i="1"/>
  <c r="CA61" i="1"/>
  <c r="CA66" i="1" s="1"/>
  <c r="CA57" i="1"/>
  <c r="CA59" i="1" s="1"/>
  <c r="BC37" i="1"/>
  <c r="BB41" i="1"/>
  <c r="BE106" i="1"/>
  <c r="BE104" i="1" s="1"/>
  <c r="BB84" i="1"/>
  <c r="BA85" i="1"/>
  <c r="BA88" i="1" s="1"/>
  <c r="CA75" i="1" l="1"/>
  <c r="CN44" i="1"/>
  <c r="CM45" i="1"/>
  <c r="CM46" i="1"/>
  <c r="CM47" i="1" s="1"/>
  <c r="BB76" i="1"/>
  <c r="BB122" i="1" s="1"/>
  <c r="BB124" i="1" s="1"/>
  <c r="CG63" i="1"/>
  <c r="BR108" i="1"/>
  <c r="BR110" i="1" s="1"/>
  <c r="CC60" i="1"/>
  <c r="CI155" i="1"/>
  <c r="CN154" i="1"/>
  <c r="CD123" i="1"/>
  <c r="CD87" i="1"/>
  <c r="CC55" i="1"/>
  <c r="CB57" i="1"/>
  <c r="CB59" i="1" s="1"/>
  <c r="CB61" i="1"/>
  <c r="CB66" i="1" s="1"/>
  <c r="BD37" i="1"/>
  <c r="BC41" i="1"/>
  <c r="BC76" i="1" s="1"/>
  <c r="BC122" i="1" s="1"/>
  <c r="BC124" i="1" s="1"/>
  <c r="BF106" i="1"/>
  <c r="BF104" i="1" s="1"/>
  <c r="BC84" i="1"/>
  <c r="BB85" i="1"/>
  <c r="BB88" i="1" s="1"/>
  <c r="CB75" i="1" l="1"/>
  <c r="CO44" i="1"/>
  <c r="CN46" i="1"/>
  <c r="CN45" i="1"/>
  <c r="CN47" i="1" s="1"/>
  <c r="CH63" i="1"/>
  <c r="BS108" i="1"/>
  <c r="BS110" i="1" s="1"/>
  <c r="CD60" i="1"/>
  <c r="CO154" i="1"/>
  <c r="CJ155" i="1"/>
  <c r="CE123" i="1"/>
  <c r="CE87" i="1"/>
  <c r="CC61" i="1"/>
  <c r="CC66" i="1" s="1"/>
  <c r="CC57" i="1"/>
  <c r="CC59" i="1" s="1"/>
  <c r="CC75" i="1" s="1"/>
  <c r="CD55" i="1"/>
  <c r="BE37" i="1"/>
  <c r="BD41" i="1"/>
  <c r="BD76" i="1" s="1"/>
  <c r="BD122" i="1" s="1"/>
  <c r="BD124" i="1" s="1"/>
  <c r="BG106" i="1"/>
  <c r="BG104" i="1" s="1"/>
  <c r="BD84" i="1"/>
  <c r="BC85" i="1"/>
  <c r="BC88" i="1" s="1"/>
  <c r="CP44" i="1" l="1"/>
  <c r="CO46" i="1"/>
  <c r="CO45" i="1"/>
  <c r="CO47" i="1" s="1"/>
  <c r="CI63" i="1"/>
  <c r="CJ63" i="1" s="1"/>
  <c r="BT108" i="1"/>
  <c r="BT110" i="1" s="1"/>
  <c r="CE60" i="1"/>
  <c r="CP154" i="1"/>
  <c r="CK155" i="1"/>
  <c r="CF123" i="1"/>
  <c r="CF87" i="1"/>
  <c r="CE55" i="1"/>
  <c r="CD61" i="1"/>
  <c r="CD66" i="1" s="1"/>
  <c r="CD57" i="1"/>
  <c r="CD59" i="1" s="1"/>
  <c r="BF37" i="1"/>
  <c r="BE41" i="1"/>
  <c r="BE76" i="1" s="1"/>
  <c r="BE122" i="1" s="1"/>
  <c r="BE124" i="1" s="1"/>
  <c r="BH106" i="1"/>
  <c r="BH104" i="1" s="1"/>
  <c r="BE84" i="1"/>
  <c r="BD85" i="1"/>
  <c r="BD88" i="1" s="1"/>
  <c r="CD75" i="1" l="1"/>
  <c r="CQ44" i="1"/>
  <c r="CP46" i="1"/>
  <c r="CP45" i="1"/>
  <c r="CP47" i="1" s="1"/>
  <c r="BU108" i="1"/>
  <c r="BU110" i="1" s="1"/>
  <c r="CF60" i="1"/>
  <c r="CL155" i="1"/>
  <c r="CQ154" i="1"/>
  <c r="CG123" i="1"/>
  <c r="CG87" i="1"/>
  <c r="CE61" i="1"/>
  <c r="CE66" i="1" s="1"/>
  <c r="CF55" i="1"/>
  <c r="CE57" i="1"/>
  <c r="CE59" i="1" s="1"/>
  <c r="CE75" i="1" s="1"/>
  <c r="BV108" i="1"/>
  <c r="BV110" i="1" s="1"/>
  <c r="BG37" i="1"/>
  <c r="BF41" i="1"/>
  <c r="BF76" i="1" s="1"/>
  <c r="BF122" i="1" s="1"/>
  <c r="BF124" i="1" s="1"/>
  <c r="BI106" i="1"/>
  <c r="BI104" i="1" s="1"/>
  <c r="BF84" i="1"/>
  <c r="BE85" i="1"/>
  <c r="BE88" i="1" s="1"/>
  <c r="CR44" i="1" l="1"/>
  <c r="CQ45" i="1"/>
  <c r="CQ46" i="1"/>
  <c r="CK63" i="1"/>
  <c r="CG60" i="1"/>
  <c r="CR154" i="1"/>
  <c r="CM155" i="1"/>
  <c r="CH123" i="1"/>
  <c r="CH87" i="1"/>
  <c r="CG55" i="1"/>
  <c r="CF57" i="1"/>
  <c r="CF59" i="1" s="1"/>
  <c r="CF61" i="1"/>
  <c r="CF66" i="1" s="1"/>
  <c r="BW108" i="1"/>
  <c r="BW110" i="1" s="1"/>
  <c r="BH37" i="1"/>
  <c r="BG41" i="1"/>
  <c r="BG76" i="1" s="1"/>
  <c r="BG122" i="1" s="1"/>
  <c r="BG124" i="1" s="1"/>
  <c r="BJ106" i="1"/>
  <c r="BJ104" i="1" s="1"/>
  <c r="BG84" i="1"/>
  <c r="BF85" i="1"/>
  <c r="BF88" i="1" s="1"/>
  <c r="CF75" i="1" l="1"/>
  <c r="CQ47" i="1"/>
  <c r="CS44" i="1"/>
  <c r="CR45" i="1"/>
  <c r="CR46" i="1"/>
  <c r="CL63" i="1"/>
  <c r="CH60" i="1"/>
  <c r="CN155" i="1"/>
  <c r="CS154" i="1"/>
  <c r="CI123" i="1"/>
  <c r="CI87" i="1"/>
  <c r="CG61" i="1"/>
  <c r="CG66" i="1" s="1"/>
  <c r="CG57" i="1"/>
  <c r="CG59" i="1" s="1"/>
  <c r="CG75" i="1" s="1"/>
  <c r="CH55" i="1"/>
  <c r="BX108" i="1"/>
  <c r="BX110" i="1" s="1"/>
  <c r="BI37" i="1"/>
  <c r="BH41" i="1"/>
  <c r="BH76" i="1" s="1"/>
  <c r="BH122" i="1" s="1"/>
  <c r="BH124" i="1" s="1"/>
  <c r="BK106" i="1"/>
  <c r="BK104" i="1" s="1"/>
  <c r="BH84" i="1"/>
  <c r="BG85" i="1"/>
  <c r="BG88" i="1" s="1"/>
  <c r="CR47" i="1" l="1"/>
  <c r="CT44" i="1"/>
  <c r="CS45" i="1"/>
  <c r="CS46" i="1"/>
  <c r="CM63" i="1"/>
  <c r="CI60" i="1"/>
  <c r="CJ60" i="1" s="1"/>
  <c r="CO155" i="1"/>
  <c r="CT154" i="1"/>
  <c r="CJ123" i="1"/>
  <c r="CJ87" i="1"/>
  <c r="CI55" i="1"/>
  <c r="CH57" i="1"/>
  <c r="CH59" i="1" s="1"/>
  <c r="CH61" i="1"/>
  <c r="CH66" i="1" s="1"/>
  <c r="BY108" i="1"/>
  <c r="BY110" i="1" s="1"/>
  <c r="BJ37" i="1"/>
  <c r="BI41" i="1"/>
  <c r="BI76" i="1" s="1"/>
  <c r="BI122" i="1" s="1"/>
  <c r="BI124" i="1" s="1"/>
  <c r="BL106" i="1"/>
  <c r="BL104" i="1" s="1"/>
  <c r="BI84" i="1"/>
  <c r="BH85" i="1"/>
  <c r="BH88" i="1" s="1"/>
  <c r="CH75" i="1" l="1"/>
  <c r="CS47" i="1"/>
  <c r="CJ55" i="1"/>
  <c r="CU44" i="1"/>
  <c r="CT45" i="1"/>
  <c r="CT46" i="1"/>
  <c r="CT47" i="1" s="1"/>
  <c r="CN63" i="1"/>
  <c r="CU154" i="1"/>
  <c r="CP155" i="1"/>
  <c r="CK123" i="1"/>
  <c r="CK87" i="1"/>
  <c r="CI61" i="1"/>
  <c r="CI66" i="1" s="1"/>
  <c r="CI57" i="1"/>
  <c r="BZ108" i="1"/>
  <c r="BZ110" i="1" s="1"/>
  <c r="BK37" i="1"/>
  <c r="BL37" i="1" s="1"/>
  <c r="BJ41" i="1"/>
  <c r="BJ76" i="1" s="1"/>
  <c r="BJ122" i="1" s="1"/>
  <c r="BJ124" i="1" s="1"/>
  <c r="BM106" i="1"/>
  <c r="BM104" i="1" s="1"/>
  <c r="BJ84" i="1"/>
  <c r="BI85" i="1"/>
  <c r="BI88" i="1" s="1"/>
  <c r="CV44" i="1" l="1"/>
  <c r="CU45" i="1"/>
  <c r="CU46" i="1"/>
  <c r="CU47" i="1"/>
  <c r="CJ61" i="1"/>
  <c r="CJ66" i="1" s="1"/>
  <c r="CI59" i="1"/>
  <c r="CI75" i="1" s="1"/>
  <c r="CJ57" i="1"/>
  <c r="CJ59" i="1" s="1"/>
  <c r="CO63" i="1"/>
  <c r="CK60" i="1"/>
  <c r="CQ155" i="1"/>
  <c r="CV154" i="1"/>
  <c r="CL123" i="1"/>
  <c r="CL87" i="1"/>
  <c r="CK55" i="1"/>
  <c r="CA108" i="1"/>
  <c r="CA110" i="1" s="1"/>
  <c r="BN106" i="1"/>
  <c r="BN104" i="1" s="1"/>
  <c r="BK84" i="1"/>
  <c r="BJ85" i="1"/>
  <c r="BJ88" i="1" s="1"/>
  <c r="CJ75" i="1" l="1"/>
  <c r="CW44" i="1"/>
  <c r="CV46" i="1"/>
  <c r="CV45" i="1"/>
  <c r="CV47" i="1" s="1"/>
  <c r="BK41" i="1"/>
  <c r="BK76" i="1" s="1"/>
  <c r="BK122" i="1" s="1"/>
  <c r="BK124" i="1" s="1"/>
  <c r="BL41" i="1"/>
  <c r="CP63" i="1"/>
  <c r="CL60" i="1"/>
  <c r="CW154" i="1"/>
  <c r="CR155" i="1"/>
  <c r="CM123" i="1"/>
  <c r="CM87" i="1"/>
  <c r="CK57" i="1"/>
  <c r="CK59" i="1" s="1"/>
  <c r="CL55" i="1"/>
  <c r="CK61" i="1"/>
  <c r="CK66" i="1" s="1"/>
  <c r="CB108" i="1"/>
  <c r="CB110" i="1" s="1"/>
  <c r="BM37" i="1"/>
  <c r="BO106" i="1"/>
  <c r="BO104" i="1" s="1"/>
  <c r="BL84" i="1"/>
  <c r="BK85" i="1"/>
  <c r="BK88" i="1" s="1"/>
  <c r="CK75" i="1" l="1"/>
  <c r="CX44" i="1"/>
  <c r="CW46" i="1"/>
  <c r="CW45" i="1"/>
  <c r="CW47" i="1" s="1"/>
  <c r="BL76" i="1"/>
  <c r="BL122" i="1" s="1"/>
  <c r="BL124" i="1" s="1"/>
  <c r="CQ63" i="1"/>
  <c r="CM60" i="1"/>
  <c r="CS155" i="1"/>
  <c r="CX154" i="1"/>
  <c r="CN123" i="1"/>
  <c r="CN87" i="1"/>
  <c r="CM55" i="1"/>
  <c r="CL61" i="1"/>
  <c r="CL66" i="1" s="1"/>
  <c r="CL57" i="1"/>
  <c r="CL59" i="1" s="1"/>
  <c r="CL75" i="1" s="1"/>
  <c r="CC108" i="1"/>
  <c r="CC110" i="1" s="1"/>
  <c r="BN37" i="1"/>
  <c r="BM41" i="1"/>
  <c r="BM76" i="1" s="1"/>
  <c r="BM122" i="1" s="1"/>
  <c r="BM124" i="1" s="1"/>
  <c r="BP106" i="1"/>
  <c r="BP104" i="1" s="1"/>
  <c r="BM84" i="1"/>
  <c r="BL85" i="1"/>
  <c r="BL88" i="1" s="1"/>
  <c r="CY44" i="1" l="1"/>
  <c r="CX46" i="1"/>
  <c r="CX45" i="1"/>
  <c r="CX47" i="1" s="1"/>
  <c r="CR63" i="1"/>
  <c r="CN60" i="1"/>
  <c r="CT155" i="1"/>
  <c r="CY154" i="1"/>
  <c r="CO123" i="1"/>
  <c r="CO87" i="1"/>
  <c r="CM57" i="1"/>
  <c r="CM59" i="1" s="1"/>
  <c r="CM61" i="1"/>
  <c r="CM66" i="1" s="1"/>
  <c r="CN55" i="1"/>
  <c r="CD108" i="1"/>
  <c r="CD110" i="1" s="1"/>
  <c r="BO37" i="1"/>
  <c r="BN41" i="1"/>
  <c r="BN76" i="1" s="1"/>
  <c r="BN122" i="1" s="1"/>
  <c r="BN124" i="1" s="1"/>
  <c r="BQ106" i="1"/>
  <c r="BQ104" i="1" s="1"/>
  <c r="BN84" i="1"/>
  <c r="BM85" i="1"/>
  <c r="BM88" i="1" s="1"/>
  <c r="CM75" i="1" l="1"/>
  <c r="CZ44" i="1"/>
  <c r="CY45" i="1"/>
  <c r="CY46" i="1"/>
  <c r="CS63" i="1"/>
  <c r="CO60" i="1"/>
  <c r="CZ154" i="1"/>
  <c r="CU155" i="1"/>
  <c r="CP123" i="1"/>
  <c r="CP87" i="1"/>
  <c r="CO55" i="1"/>
  <c r="CN61" i="1"/>
  <c r="CN66" i="1" s="1"/>
  <c r="CN57" i="1"/>
  <c r="CN59" i="1" s="1"/>
  <c r="CE108" i="1"/>
  <c r="CE110" i="1" s="1"/>
  <c r="BP37" i="1"/>
  <c r="BO41" i="1"/>
  <c r="BO76" i="1" s="1"/>
  <c r="BO122" i="1" s="1"/>
  <c r="BO124" i="1" s="1"/>
  <c r="BR106" i="1"/>
  <c r="BR104" i="1" s="1"/>
  <c r="BO84" i="1"/>
  <c r="BN85" i="1"/>
  <c r="BN88" i="1" s="1"/>
  <c r="CN75" i="1" l="1"/>
  <c r="CY47" i="1"/>
  <c r="DA44" i="1"/>
  <c r="CZ45" i="1"/>
  <c r="CZ46" i="1"/>
  <c r="CT63" i="1"/>
  <c r="CP60" i="1"/>
  <c r="DA154" i="1"/>
  <c r="CV155" i="1"/>
  <c r="CQ123" i="1"/>
  <c r="CQ87" i="1"/>
  <c r="CO57" i="1"/>
  <c r="CO59" i="1" s="1"/>
  <c r="CO61" i="1"/>
  <c r="CO66" i="1" s="1"/>
  <c r="CP55" i="1"/>
  <c r="CF108" i="1"/>
  <c r="CF110" i="1" s="1"/>
  <c r="BQ37" i="1"/>
  <c r="BP41" i="1"/>
  <c r="BP76" i="1" s="1"/>
  <c r="BP122" i="1" s="1"/>
  <c r="BP124" i="1" s="1"/>
  <c r="BS106" i="1"/>
  <c r="BS104" i="1" s="1"/>
  <c r="BP84" i="1"/>
  <c r="BO85" i="1"/>
  <c r="BO88" i="1" s="1"/>
  <c r="CO75" i="1" l="1"/>
  <c r="CZ47" i="1"/>
  <c r="DB44" i="1"/>
  <c r="DA45" i="1"/>
  <c r="DA46" i="1"/>
  <c r="CU63" i="1"/>
  <c r="CV63" i="1" s="1"/>
  <c r="CQ60" i="1"/>
  <c r="CW155" i="1"/>
  <c r="DB154" i="1"/>
  <c r="CR123" i="1"/>
  <c r="CR87" i="1"/>
  <c r="CP61" i="1"/>
  <c r="CP66" i="1" s="1"/>
  <c r="CQ55" i="1"/>
  <c r="CP57" i="1"/>
  <c r="CP59" i="1" s="1"/>
  <c r="CP75" i="1" s="1"/>
  <c r="CG108" i="1"/>
  <c r="CG110" i="1" s="1"/>
  <c r="BR37" i="1"/>
  <c r="BQ41" i="1"/>
  <c r="BQ76" i="1" s="1"/>
  <c r="BQ122" i="1" s="1"/>
  <c r="BQ124" i="1" s="1"/>
  <c r="BT106" i="1"/>
  <c r="BT104" i="1" s="1"/>
  <c r="BQ84" i="1"/>
  <c r="BP85" i="1"/>
  <c r="BP88" i="1" s="1"/>
  <c r="DA47" i="1" l="1"/>
  <c r="DC44" i="1"/>
  <c r="DB45" i="1"/>
  <c r="DB46" i="1"/>
  <c r="DB47" i="1" s="1"/>
  <c r="CR60" i="1"/>
  <c r="DC154" i="1"/>
  <c r="CX155" i="1"/>
  <c r="CS123" i="1"/>
  <c r="CS87" i="1"/>
  <c r="CQ57" i="1"/>
  <c r="CQ59" i="1" s="1"/>
  <c r="CR55" i="1"/>
  <c r="CQ61" i="1"/>
  <c r="CQ66" i="1" s="1"/>
  <c r="CH108" i="1"/>
  <c r="CH110" i="1" s="1"/>
  <c r="BS37" i="1"/>
  <c r="BR41" i="1"/>
  <c r="BR76" i="1" s="1"/>
  <c r="BR122" i="1" s="1"/>
  <c r="BR124" i="1" s="1"/>
  <c r="BU106" i="1"/>
  <c r="BU104" i="1" s="1"/>
  <c r="BR84" i="1"/>
  <c r="BQ85" i="1"/>
  <c r="BQ88" i="1" s="1"/>
  <c r="CQ75" i="1" l="1"/>
  <c r="DD44" i="1"/>
  <c r="DC46" i="1"/>
  <c r="DC45" i="1"/>
  <c r="DC47" i="1"/>
  <c r="CW63" i="1"/>
  <c r="CS60" i="1"/>
  <c r="DD154" i="1"/>
  <c r="CY155" i="1"/>
  <c r="CT123" i="1"/>
  <c r="CT87" i="1"/>
  <c r="CS55" i="1"/>
  <c r="CR61" i="1"/>
  <c r="CR66" i="1" s="1"/>
  <c r="CR57" i="1"/>
  <c r="CR59" i="1" s="1"/>
  <c r="CR75" i="1" s="1"/>
  <c r="CI108" i="1"/>
  <c r="CI110" i="1" s="1"/>
  <c r="BT37" i="1"/>
  <c r="BS41" i="1"/>
  <c r="BS76" i="1" s="1"/>
  <c r="BS122" i="1" s="1"/>
  <c r="BS124" i="1" s="1"/>
  <c r="BV106" i="1"/>
  <c r="BV104" i="1" s="1"/>
  <c r="BS84" i="1"/>
  <c r="BR85" i="1"/>
  <c r="BR88" i="1" s="1"/>
  <c r="DE44" i="1" l="1"/>
  <c r="DD46" i="1"/>
  <c r="DD45" i="1"/>
  <c r="DD47" i="1" s="1"/>
  <c r="CX63" i="1"/>
  <c r="CT60" i="1"/>
  <c r="CZ155" i="1"/>
  <c r="DE154" i="1"/>
  <c r="CU123" i="1"/>
  <c r="CU87" i="1"/>
  <c r="CS57" i="1"/>
  <c r="CS59" i="1" s="1"/>
  <c r="CS61" i="1"/>
  <c r="CS66" i="1" s="1"/>
  <c r="CT55" i="1"/>
  <c r="CJ108" i="1"/>
  <c r="CJ110" i="1" s="1"/>
  <c r="BU37" i="1"/>
  <c r="BT41" i="1"/>
  <c r="BT76" i="1" s="1"/>
  <c r="BT122" i="1" s="1"/>
  <c r="BT124" i="1" s="1"/>
  <c r="BW106" i="1"/>
  <c r="BW104" i="1" s="1"/>
  <c r="BT84" i="1"/>
  <c r="BS85" i="1"/>
  <c r="BS88" i="1" s="1"/>
  <c r="CS75" i="1" l="1"/>
  <c r="DF44" i="1"/>
  <c r="DE46" i="1"/>
  <c r="DE45" i="1"/>
  <c r="DE47" i="1" s="1"/>
  <c r="CY63" i="1"/>
  <c r="CU60" i="1"/>
  <c r="CV60" i="1" s="1"/>
  <c r="DF154" i="1"/>
  <c r="DA155" i="1"/>
  <c r="CV123" i="1"/>
  <c r="CV87" i="1"/>
  <c r="CU55" i="1"/>
  <c r="CT61" i="1"/>
  <c r="CT66" i="1" s="1"/>
  <c r="CT57" i="1"/>
  <c r="CT59" i="1" s="1"/>
  <c r="CK108" i="1"/>
  <c r="CK110" i="1" s="1"/>
  <c r="BV37" i="1"/>
  <c r="BU41" i="1"/>
  <c r="BU76" i="1" s="1"/>
  <c r="BU122" i="1" s="1"/>
  <c r="BU124" i="1" s="1"/>
  <c r="BX106" i="1"/>
  <c r="BX104" i="1" s="1"/>
  <c r="BU84" i="1"/>
  <c r="BT85" i="1"/>
  <c r="BT88" i="1" s="1"/>
  <c r="CT75" i="1" l="1"/>
  <c r="CV55" i="1"/>
  <c r="DG44" i="1"/>
  <c r="DF46" i="1"/>
  <c r="DF45" i="1"/>
  <c r="DF47" i="1" s="1"/>
  <c r="CZ63" i="1"/>
  <c r="DB155" i="1"/>
  <c r="DG154" i="1"/>
  <c r="CW123" i="1"/>
  <c r="CW87" i="1"/>
  <c r="CU57" i="1"/>
  <c r="CU61" i="1"/>
  <c r="CL108" i="1"/>
  <c r="CL110" i="1" s="1"/>
  <c r="BW37" i="1"/>
  <c r="BX37" i="1" s="1"/>
  <c r="BV41" i="1"/>
  <c r="BV76" i="1" s="1"/>
  <c r="BV122" i="1" s="1"/>
  <c r="BV124" i="1" s="1"/>
  <c r="BY106" i="1"/>
  <c r="BY104" i="1" s="1"/>
  <c r="BV84" i="1"/>
  <c r="BU85" i="1"/>
  <c r="BU88" i="1" s="1"/>
  <c r="DG46" i="1" l="1"/>
  <c r="DG45" i="1"/>
  <c r="DG47" i="1" s="1"/>
  <c r="CV61" i="1"/>
  <c r="CV66" i="1" s="1"/>
  <c r="CU66" i="1"/>
  <c r="CU59" i="1"/>
  <c r="CU75" i="1" s="1"/>
  <c r="CV57" i="1"/>
  <c r="CV59" i="1" s="1"/>
  <c r="DA63" i="1"/>
  <c r="CW60" i="1"/>
  <c r="DC155" i="1"/>
  <c r="CX123" i="1"/>
  <c r="CX87" i="1"/>
  <c r="CW55" i="1"/>
  <c r="CM108" i="1"/>
  <c r="CM110" i="1" s="1"/>
  <c r="BZ106" i="1"/>
  <c r="BZ104" i="1" s="1"/>
  <c r="BW84" i="1"/>
  <c r="BV85" i="1"/>
  <c r="BV88" i="1" s="1"/>
  <c r="CV75" i="1" l="1"/>
  <c r="BW41" i="1"/>
  <c r="BW76" i="1" s="1"/>
  <c r="BW122" i="1" s="1"/>
  <c r="BW124" i="1" s="1"/>
  <c r="BX41" i="1"/>
  <c r="BX76" i="1" s="1"/>
  <c r="BX122" i="1" s="1"/>
  <c r="BX124" i="1" s="1"/>
  <c r="DB63" i="1"/>
  <c r="CX60" i="1"/>
  <c r="DD155" i="1"/>
  <c r="CY123" i="1"/>
  <c r="CY87" i="1"/>
  <c r="CW61" i="1"/>
  <c r="CW66" i="1" s="1"/>
  <c r="CW57" i="1"/>
  <c r="CW59" i="1" s="1"/>
  <c r="CX55" i="1"/>
  <c r="CN108" i="1"/>
  <c r="CN110" i="1" s="1"/>
  <c r="BY37" i="1"/>
  <c r="CA106" i="1"/>
  <c r="CA104" i="1" s="1"/>
  <c r="BX84" i="1"/>
  <c r="BW85" i="1"/>
  <c r="BW88" i="1" s="1"/>
  <c r="CW75" i="1" l="1"/>
  <c r="DC63" i="1"/>
  <c r="CY60" i="1"/>
  <c r="DE155" i="1"/>
  <c r="CZ123" i="1"/>
  <c r="CZ87" i="1"/>
  <c r="CY55" i="1"/>
  <c r="CX57" i="1"/>
  <c r="CX59" i="1" s="1"/>
  <c r="CX61" i="1"/>
  <c r="CX66" i="1" s="1"/>
  <c r="CO108" i="1"/>
  <c r="CO110" i="1" s="1"/>
  <c r="BZ37" i="1"/>
  <c r="BY41" i="1"/>
  <c r="BY76" i="1" s="1"/>
  <c r="BY122" i="1" s="1"/>
  <c r="BY124" i="1" s="1"/>
  <c r="CB106" i="1"/>
  <c r="CB104" i="1" s="1"/>
  <c r="BY84" i="1"/>
  <c r="BX85" i="1"/>
  <c r="BX88" i="1" s="1"/>
  <c r="CX75" i="1" l="1"/>
  <c r="DD63" i="1"/>
  <c r="CZ60" i="1"/>
  <c r="DF155" i="1"/>
  <c r="DA123" i="1"/>
  <c r="DA87" i="1"/>
  <c r="CY61" i="1"/>
  <c r="CY66" i="1" s="1"/>
  <c r="CY57" i="1"/>
  <c r="CY59" i="1" s="1"/>
  <c r="CZ55" i="1"/>
  <c r="CP108" i="1"/>
  <c r="CP110" i="1" s="1"/>
  <c r="CA37" i="1"/>
  <c r="BZ41" i="1"/>
  <c r="CC106" i="1"/>
  <c r="CC104" i="1" s="1"/>
  <c r="BZ84" i="1"/>
  <c r="BY85" i="1"/>
  <c r="BY88" i="1" s="1"/>
  <c r="CY75" i="1" l="1"/>
  <c r="BZ76" i="1"/>
  <c r="BZ122" i="1" s="1"/>
  <c r="BZ124" i="1" s="1"/>
  <c r="DE63" i="1"/>
  <c r="DA60" i="1"/>
  <c r="DG155" i="1"/>
  <c r="DB123" i="1"/>
  <c r="DB87" i="1"/>
  <c r="DA55" i="1"/>
  <c r="CZ57" i="1"/>
  <c r="CZ59" i="1" s="1"/>
  <c r="CZ61" i="1"/>
  <c r="CZ66" i="1" s="1"/>
  <c r="CQ108" i="1"/>
  <c r="CQ110" i="1" s="1"/>
  <c r="CB37" i="1"/>
  <c r="CA41" i="1"/>
  <c r="CA76" i="1" s="1"/>
  <c r="CA122" i="1" s="1"/>
  <c r="CA124" i="1" s="1"/>
  <c r="CD106" i="1"/>
  <c r="CD104" i="1" s="1"/>
  <c r="CA84" i="1"/>
  <c r="BZ85" i="1"/>
  <c r="BZ88" i="1" s="1"/>
  <c r="CZ75" i="1" l="1"/>
  <c r="DF63" i="1"/>
  <c r="DB60" i="1"/>
  <c r="DC123" i="1"/>
  <c r="DC87" i="1"/>
  <c r="DA61" i="1"/>
  <c r="DA66" i="1" s="1"/>
  <c r="DA57" i="1"/>
  <c r="DA59" i="1" s="1"/>
  <c r="DA75" i="1" s="1"/>
  <c r="DB55" i="1"/>
  <c r="CR108" i="1"/>
  <c r="CR110" i="1" s="1"/>
  <c r="CC37" i="1"/>
  <c r="CB41" i="1"/>
  <c r="CB76" i="1" s="1"/>
  <c r="CB122" i="1" s="1"/>
  <c r="CB124" i="1" s="1"/>
  <c r="CE106" i="1"/>
  <c r="CE104" i="1" s="1"/>
  <c r="CB84" i="1"/>
  <c r="CA85" i="1"/>
  <c r="CA88" i="1" s="1"/>
  <c r="DG63" i="1" l="1"/>
  <c r="DC60" i="1"/>
  <c r="DD123" i="1"/>
  <c r="DD87" i="1"/>
  <c r="DC55" i="1"/>
  <c r="DB57" i="1"/>
  <c r="DB59" i="1" s="1"/>
  <c r="DB61" i="1"/>
  <c r="DB66" i="1" s="1"/>
  <c r="CS108" i="1"/>
  <c r="CS110" i="1" s="1"/>
  <c r="CD37" i="1"/>
  <c r="CC41" i="1"/>
  <c r="CC76" i="1" s="1"/>
  <c r="CC122" i="1" s="1"/>
  <c r="CC124" i="1" s="1"/>
  <c r="CF106" i="1"/>
  <c r="CF104" i="1" s="1"/>
  <c r="CC84" i="1"/>
  <c r="CB85" i="1"/>
  <c r="CB88" i="1" s="1"/>
  <c r="DB75" i="1" l="1"/>
  <c r="DD60" i="1"/>
  <c r="DE123" i="1"/>
  <c r="DE87" i="1"/>
  <c r="DC61" i="1"/>
  <c r="DC66" i="1" s="1"/>
  <c r="DC57" i="1"/>
  <c r="DC59" i="1" s="1"/>
  <c r="DC75" i="1" s="1"/>
  <c r="DD55" i="1"/>
  <c r="CT108" i="1"/>
  <c r="CT110" i="1" s="1"/>
  <c r="CE37" i="1"/>
  <c r="CD41" i="1"/>
  <c r="CD76" i="1" s="1"/>
  <c r="CD122" i="1" s="1"/>
  <c r="CD124" i="1" s="1"/>
  <c r="CG106" i="1"/>
  <c r="CG104" i="1" s="1"/>
  <c r="CD84" i="1"/>
  <c r="CC85" i="1"/>
  <c r="CC88" i="1" s="1"/>
  <c r="DE60" i="1" l="1"/>
  <c r="DF123" i="1"/>
  <c r="DF87" i="1"/>
  <c r="DE55" i="1"/>
  <c r="DD57" i="1"/>
  <c r="DD59" i="1" s="1"/>
  <c r="DD61" i="1"/>
  <c r="DD66" i="1" s="1"/>
  <c r="CU108" i="1"/>
  <c r="CU110" i="1" s="1"/>
  <c r="CF37" i="1"/>
  <c r="CE41" i="1"/>
  <c r="CE76" i="1" s="1"/>
  <c r="CE122" i="1" s="1"/>
  <c r="CE124" i="1" s="1"/>
  <c r="CH106" i="1"/>
  <c r="CH104" i="1" s="1"/>
  <c r="CE84" i="1"/>
  <c r="CD85" i="1"/>
  <c r="CD88" i="1" s="1"/>
  <c r="DD75" i="1" l="1"/>
  <c r="DF60" i="1"/>
  <c r="DG123" i="1"/>
  <c r="DG87" i="1"/>
  <c r="DE61" i="1"/>
  <c r="DE66" i="1" s="1"/>
  <c r="DE57" i="1"/>
  <c r="DE59" i="1" s="1"/>
  <c r="DF55" i="1"/>
  <c r="CV108" i="1"/>
  <c r="CV110" i="1" s="1"/>
  <c r="CG37" i="1"/>
  <c r="CF41" i="1"/>
  <c r="CF76" i="1" s="1"/>
  <c r="CF122" i="1" s="1"/>
  <c r="CF124" i="1" s="1"/>
  <c r="CI106" i="1"/>
  <c r="CI104" i="1" s="1"/>
  <c r="CF84" i="1"/>
  <c r="CE85" i="1"/>
  <c r="CE88" i="1" s="1"/>
  <c r="DE75" i="1" l="1"/>
  <c r="DG60" i="1"/>
  <c r="DG55" i="1"/>
  <c r="DF57" i="1"/>
  <c r="DF59" i="1" s="1"/>
  <c r="DF61" i="1"/>
  <c r="DF66" i="1" s="1"/>
  <c r="CW108" i="1"/>
  <c r="CW110" i="1" s="1"/>
  <c r="CH37" i="1"/>
  <c r="CG41" i="1"/>
  <c r="CG76" i="1" s="1"/>
  <c r="CG122" i="1" s="1"/>
  <c r="CG124" i="1" s="1"/>
  <c r="CJ106" i="1"/>
  <c r="CJ104" i="1" s="1"/>
  <c r="CG84" i="1"/>
  <c r="CF85" i="1"/>
  <c r="CF88" i="1" s="1"/>
  <c r="DF75" i="1" l="1"/>
  <c r="DG57" i="1"/>
  <c r="DG59" i="1" s="1"/>
  <c r="DG61" i="1"/>
  <c r="DG66" i="1" s="1"/>
  <c r="CX108" i="1"/>
  <c r="CX110" i="1" s="1"/>
  <c r="CI37" i="1"/>
  <c r="CJ37" i="1" s="1"/>
  <c r="CH41" i="1"/>
  <c r="CH76" i="1" s="1"/>
  <c r="CH122" i="1" s="1"/>
  <c r="CH124" i="1" s="1"/>
  <c r="CK106" i="1"/>
  <c r="CK104" i="1" s="1"/>
  <c r="CH84" i="1"/>
  <c r="CG85" i="1"/>
  <c r="CG88" i="1" s="1"/>
  <c r="DG75" i="1" l="1"/>
  <c r="CY108" i="1"/>
  <c r="CY110" i="1" s="1"/>
  <c r="CL106" i="1"/>
  <c r="CL104" i="1" s="1"/>
  <c r="CI84" i="1"/>
  <c r="CH85" i="1"/>
  <c r="CH88" i="1" s="1"/>
  <c r="F34" i="5" l="1"/>
  <c r="G34" i="5"/>
  <c r="H34" i="5"/>
  <c r="I34" i="5"/>
  <c r="J34" i="5"/>
  <c r="K34" i="5"/>
  <c r="CI41" i="1"/>
  <c r="CI76" i="1" s="1"/>
  <c r="CI122" i="1" s="1"/>
  <c r="CI124" i="1" s="1"/>
  <c r="CJ41" i="1"/>
  <c r="CZ108" i="1"/>
  <c r="CZ110" i="1" s="1"/>
  <c r="CK37" i="1"/>
  <c r="CM106" i="1"/>
  <c r="CM104" i="1" s="1"/>
  <c r="CJ84" i="1"/>
  <c r="CI85" i="1"/>
  <c r="CI88" i="1" s="1"/>
  <c r="CJ76" i="1" l="1"/>
  <c r="CJ122" i="1" s="1"/>
  <c r="CJ124" i="1" s="1"/>
  <c r="DA108" i="1"/>
  <c r="DA110" i="1" s="1"/>
  <c r="CL37" i="1"/>
  <c r="CK41" i="1"/>
  <c r="CK76" i="1" s="1"/>
  <c r="CK122" i="1" s="1"/>
  <c r="CK124" i="1" s="1"/>
  <c r="CN106" i="1"/>
  <c r="CN104" i="1" s="1"/>
  <c r="CK84" i="1"/>
  <c r="CJ85" i="1"/>
  <c r="CJ88" i="1" s="1"/>
  <c r="DB108" i="1" l="1"/>
  <c r="DB110" i="1" s="1"/>
  <c r="CM37" i="1"/>
  <c r="CL41" i="1"/>
  <c r="CO106" i="1"/>
  <c r="CO104" i="1" s="1"/>
  <c r="CL84" i="1"/>
  <c r="CK85" i="1"/>
  <c r="CK88" i="1" s="1"/>
  <c r="CL76" i="1" l="1"/>
  <c r="CL122" i="1" s="1"/>
  <c r="CL124" i="1" s="1"/>
  <c r="DC108" i="1"/>
  <c r="DC110" i="1" s="1"/>
  <c r="CN37" i="1"/>
  <c r="CM41" i="1"/>
  <c r="CM76" i="1" s="1"/>
  <c r="CM122" i="1" s="1"/>
  <c r="CM124" i="1" s="1"/>
  <c r="CP106" i="1"/>
  <c r="CP104" i="1" s="1"/>
  <c r="CM84" i="1"/>
  <c r="CL85" i="1"/>
  <c r="CL88" i="1" s="1"/>
  <c r="DD108" i="1" l="1"/>
  <c r="DD110" i="1" s="1"/>
  <c r="CO37" i="1"/>
  <c r="CN41" i="1"/>
  <c r="CQ106" i="1"/>
  <c r="CQ104" i="1" s="1"/>
  <c r="CN84" i="1"/>
  <c r="CM85" i="1"/>
  <c r="CM88" i="1" s="1"/>
  <c r="CN76" i="1" l="1"/>
  <c r="CN122" i="1" s="1"/>
  <c r="CN124" i="1" s="1"/>
  <c r="DE108" i="1"/>
  <c r="DE110" i="1" s="1"/>
  <c r="CP37" i="1"/>
  <c r="CO41" i="1"/>
  <c r="CO76" i="1" s="1"/>
  <c r="CO122" i="1" s="1"/>
  <c r="CO124" i="1" s="1"/>
  <c r="CR106" i="1"/>
  <c r="CR104" i="1" s="1"/>
  <c r="CO84" i="1"/>
  <c r="CN85" i="1"/>
  <c r="CN88" i="1" s="1"/>
  <c r="DF108" i="1" l="1"/>
  <c r="DF110" i="1" s="1"/>
  <c r="CQ37" i="1"/>
  <c r="CP41" i="1"/>
  <c r="CP76" i="1" s="1"/>
  <c r="CP122" i="1" s="1"/>
  <c r="CP124" i="1" s="1"/>
  <c r="CS106" i="1"/>
  <c r="CS104" i="1" s="1"/>
  <c r="CP84" i="1"/>
  <c r="CO85" i="1"/>
  <c r="CO88" i="1" s="1"/>
  <c r="DG108" i="1" l="1"/>
  <c r="DG110" i="1" s="1"/>
  <c r="CR37" i="1"/>
  <c r="CQ41" i="1"/>
  <c r="CQ76" i="1" s="1"/>
  <c r="CQ122" i="1" s="1"/>
  <c r="CQ124" i="1" s="1"/>
  <c r="CT106" i="1"/>
  <c r="CT104" i="1" s="1"/>
  <c r="CQ84" i="1"/>
  <c r="CP85" i="1"/>
  <c r="CP88" i="1" s="1"/>
  <c r="CS37" i="1" l="1"/>
  <c r="CR41" i="1"/>
  <c r="CR76" i="1" s="1"/>
  <c r="CR122" i="1" s="1"/>
  <c r="CR124" i="1" s="1"/>
  <c r="CU106" i="1"/>
  <c r="CU104" i="1" s="1"/>
  <c r="CR84" i="1"/>
  <c r="CQ85" i="1"/>
  <c r="CQ88" i="1" s="1"/>
  <c r="CT37" i="1" l="1"/>
  <c r="CS41" i="1"/>
  <c r="CS76" i="1" s="1"/>
  <c r="CS122" i="1" s="1"/>
  <c r="CS124" i="1" s="1"/>
  <c r="CV106" i="1"/>
  <c r="CV104" i="1" s="1"/>
  <c r="CS84" i="1"/>
  <c r="CR85" i="1"/>
  <c r="CR88" i="1" s="1"/>
  <c r="CU37" i="1" l="1"/>
  <c r="CV37" i="1" s="1"/>
  <c r="CT41" i="1"/>
  <c r="CT76" i="1" s="1"/>
  <c r="CT122" i="1" s="1"/>
  <c r="CT124" i="1" s="1"/>
  <c r="CW106" i="1"/>
  <c r="CW104" i="1" s="1"/>
  <c r="CT84" i="1"/>
  <c r="CS85" i="1"/>
  <c r="CS88" i="1" s="1"/>
  <c r="CX106" i="1" l="1"/>
  <c r="CX104" i="1" s="1"/>
  <c r="CU84" i="1"/>
  <c r="CT85" i="1"/>
  <c r="CT88" i="1" s="1"/>
  <c r="CU41" i="1" l="1"/>
  <c r="CU76" i="1" s="1"/>
  <c r="CU122" i="1" s="1"/>
  <c r="CU124" i="1" s="1"/>
  <c r="CV41" i="1"/>
  <c r="CW37" i="1"/>
  <c r="CY106" i="1"/>
  <c r="CY104" i="1" s="1"/>
  <c r="CV84" i="1"/>
  <c r="CU85" i="1"/>
  <c r="CU88" i="1" s="1"/>
  <c r="CV76" i="1" l="1"/>
  <c r="CV122" i="1" s="1"/>
  <c r="CV124" i="1" s="1"/>
  <c r="CX37" i="1"/>
  <c r="CW41" i="1"/>
  <c r="CW76" i="1" s="1"/>
  <c r="CW122" i="1" s="1"/>
  <c r="CW124" i="1" s="1"/>
  <c r="CZ106" i="1"/>
  <c r="CZ104" i="1" s="1"/>
  <c r="CW84" i="1"/>
  <c r="CV85" i="1"/>
  <c r="CV88" i="1" s="1"/>
  <c r="CY37" i="1" l="1"/>
  <c r="CX41" i="1"/>
  <c r="DA106" i="1"/>
  <c r="DA104" i="1" s="1"/>
  <c r="CX84" i="1"/>
  <c r="CW85" i="1"/>
  <c r="CW88" i="1" s="1"/>
  <c r="CX76" i="1" l="1"/>
  <c r="CX122" i="1" s="1"/>
  <c r="CX124" i="1" s="1"/>
  <c r="CZ37" i="1"/>
  <c r="CY41" i="1"/>
  <c r="CY76" i="1" s="1"/>
  <c r="CY122" i="1" s="1"/>
  <c r="CY124" i="1" s="1"/>
  <c r="DB106" i="1"/>
  <c r="DB104" i="1" s="1"/>
  <c r="CY84" i="1"/>
  <c r="CX85" i="1"/>
  <c r="CX88" i="1" s="1"/>
  <c r="DA37" i="1" l="1"/>
  <c r="CZ41" i="1"/>
  <c r="DC106" i="1"/>
  <c r="DC104" i="1" s="1"/>
  <c r="CZ84" i="1"/>
  <c r="CY85" i="1"/>
  <c r="CY88" i="1" s="1"/>
  <c r="CZ76" i="1" l="1"/>
  <c r="CZ122" i="1" s="1"/>
  <c r="CZ124" i="1" s="1"/>
  <c r="DB37" i="1"/>
  <c r="DA41" i="1"/>
  <c r="DA76" i="1" s="1"/>
  <c r="DA122" i="1" s="1"/>
  <c r="DA124" i="1" s="1"/>
  <c r="DD106" i="1"/>
  <c r="DD104" i="1" s="1"/>
  <c r="DA84" i="1"/>
  <c r="CZ85" i="1"/>
  <c r="CZ88" i="1" s="1"/>
  <c r="DC37" i="1" l="1"/>
  <c r="DB41" i="1"/>
  <c r="DB76" i="1" s="1"/>
  <c r="DB122" i="1" s="1"/>
  <c r="DB124" i="1" s="1"/>
  <c r="DE106" i="1"/>
  <c r="DE104" i="1" s="1"/>
  <c r="DB84" i="1"/>
  <c r="DA85" i="1"/>
  <c r="DA88" i="1" s="1"/>
  <c r="DD37" i="1" l="1"/>
  <c r="DC41" i="1"/>
  <c r="DC76" i="1" s="1"/>
  <c r="DC122" i="1" s="1"/>
  <c r="DC124" i="1" s="1"/>
  <c r="DF106" i="1"/>
  <c r="DF104" i="1" s="1"/>
  <c r="DC84" i="1"/>
  <c r="DB85" i="1"/>
  <c r="DB88" i="1" s="1"/>
  <c r="DE37" i="1" l="1"/>
  <c r="DD41" i="1"/>
  <c r="DD76" i="1" s="1"/>
  <c r="DD122" i="1" s="1"/>
  <c r="DD124" i="1" s="1"/>
  <c r="DG106" i="1"/>
  <c r="DG104" i="1" s="1"/>
  <c r="DD84" i="1"/>
  <c r="DC85" i="1"/>
  <c r="DC88" i="1" s="1"/>
  <c r="DF37" i="1" l="1"/>
  <c r="DE41" i="1"/>
  <c r="DE76" i="1" s="1"/>
  <c r="DE122" i="1" s="1"/>
  <c r="DE124" i="1" s="1"/>
  <c r="DE84" i="1"/>
  <c r="DD85" i="1"/>
  <c r="DD88" i="1" s="1"/>
  <c r="DG37" i="1" l="1"/>
  <c r="DF41" i="1"/>
  <c r="DF76" i="1" s="1"/>
  <c r="DF122" i="1" s="1"/>
  <c r="DF124" i="1" s="1"/>
  <c r="DF84" i="1"/>
  <c r="DE85" i="1"/>
  <c r="DE88" i="1" s="1"/>
  <c r="DG41" i="1" l="1"/>
  <c r="DG84" i="1"/>
  <c r="DG85" i="1" s="1"/>
  <c r="DG88" i="1" s="1"/>
  <c r="DF85" i="1"/>
  <c r="DF88" i="1" s="1"/>
  <c r="E42" i="5" l="1"/>
  <c r="F42" i="5"/>
  <c r="G42" i="5"/>
  <c r="H42" i="5"/>
  <c r="I42" i="5"/>
  <c r="J42" i="5"/>
  <c r="K42" i="5"/>
  <c r="E33" i="5"/>
  <c r="E36" i="5" s="1"/>
  <c r="F33" i="5"/>
  <c r="F36" i="5" s="1"/>
  <c r="G33" i="5"/>
  <c r="G36" i="5" s="1"/>
  <c r="H33" i="5"/>
  <c r="H36" i="5" s="1"/>
  <c r="I33" i="5"/>
  <c r="I36" i="5" s="1"/>
  <c r="J33" i="5"/>
  <c r="J36" i="5" s="1"/>
  <c r="K33" i="5"/>
  <c r="K36" i="5" s="1"/>
  <c r="DG76" i="1"/>
  <c r="DG122" i="1" s="1"/>
  <c r="DG124" i="1" s="1"/>
  <c r="Q174" i="1"/>
  <c r="R174" i="1"/>
  <c r="S174" i="1"/>
  <c r="T174" i="1"/>
  <c r="U174" i="1"/>
  <c r="V174" i="1"/>
  <c r="X174" i="1"/>
  <c r="Y174" i="1"/>
  <c r="Z174" i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D97" i="5" l="1"/>
  <c r="D98" i="5"/>
  <c r="Q17" i="1"/>
  <c r="Q18" i="1"/>
  <c r="C27" i="6"/>
  <c r="C28" i="6" s="1"/>
  <c r="D19" i="6" l="1"/>
  <c r="D24" i="15"/>
  <c r="D30" i="6" l="1"/>
  <c r="D31" i="6" s="1"/>
  <c r="E24" i="15"/>
  <c r="E19" i="6"/>
  <c r="E21" i="6" s="1"/>
  <c r="E23" i="6" s="1"/>
  <c r="E30" i="6"/>
  <c r="D21" i="6"/>
  <c r="D23" i="6" s="1"/>
  <c r="E31" i="6" l="1"/>
  <c r="F19" i="6"/>
  <c r="F24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24" i="15"/>
  <c r="G30" i="6"/>
  <c r="G31" i="6" s="1"/>
  <c r="F21" i="6"/>
  <c r="F23" i="6" s="1"/>
  <c r="H24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24" i="15"/>
  <c r="H24" i="6"/>
  <c r="H27" i="6"/>
  <c r="H28" i="6" s="1"/>
  <c r="I30" i="6"/>
  <c r="I31" i="6" s="1"/>
  <c r="J19" i="6" l="1"/>
  <c r="J21" i="6" s="1"/>
  <c r="J23" i="6" s="1"/>
  <c r="J24" i="15"/>
  <c r="I24" i="6"/>
  <c r="I27" i="6"/>
  <c r="I28" i="6" s="1"/>
  <c r="J30" i="6"/>
  <c r="J31" i="6" s="1"/>
  <c r="K24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24" i="15"/>
  <c r="L30" i="6"/>
  <c r="L31" i="6" s="1"/>
  <c r="M19" i="6" l="1"/>
  <c r="M21" i="6" s="1"/>
  <c r="M24" i="15"/>
  <c r="L27" i="6"/>
  <c r="L28" i="6" s="1"/>
  <c r="L24" i="6"/>
  <c r="D23" i="25" l="1"/>
  <c r="D24" i="25" s="1"/>
  <c r="D27" i="25" s="1"/>
  <c r="D33" i="25" l="1"/>
  <c r="D35" i="25" s="1"/>
  <c r="D29" i="25"/>
  <c r="E23" i="25"/>
  <c r="F23" i="25" l="1"/>
  <c r="F24" i="25" s="1"/>
  <c r="E24" i="25"/>
  <c r="G23" i="25" l="1"/>
  <c r="G24" i="25" l="1"/>
  <c r="AL42" i="1" l="1"/>
  <c r="AM42" i="1" l="1"/>
  <c r="AN42" i="1" l="1"/>
  <c r="AO42" i="1" l="1"/>
  <c r="AP42" i="1" l="1"/>
  <c r="AQ42" i="1" l="1"/>
  <c r="AR42" i="1" l="1"/>
  <c r="AS42" i="1" l="1"/>
  <c r="AT42" i="1" l="1"/>
  <c r="AU42" i="1" l="1"/>
  <c r="AV42" i="1" l="1"/>
  <c r="AW42" i="1" l="1"/>
  <c r="AX42" i="1" l="1"/>
  <c r="AY42" i="1" l="1"/>
  <c r="AZ42" i="1" l="1"/>
  <c r="BA42" i="1" l="1"/>
  <c r="BB42" i="1" l="1"/>
  <c r="BC42" i="1" l="1"/>
  <c r="BD42" i="1" l="1"/>
  <c r="BE42" i="1" l="1"/>
  <c r="BF42" i="1" l="1"/>
  <c r="BG42" i="1" l="1"/>
  <c r="BH42" i="1" l="1"/>
  <c r="BI42" i="1" l="1"/>
  <c r="BJ42" i="1" l="1"/>
  <c r="BK42" i="1" l="1"/>
  <c r="BL42" i="1" s="1"/>
  <c r="BM42" i="1" l="1"/>
  <c r="BN42" i="1" l="1"/>
  <c r="BO42" i="1" l="1"/>
  <c r="BP42" i="1" l="1"/>
  <c r="BQ42" i="1" l="1"/>
  <c r="BR42" i="1" l="1"/>
  <c r="BS42" i="1" l="1"/>
  <c r="BT42" i="1" l="1"/>
  <c r="BU42" i="1" l="1"/>
  <c r="BV42" i="1" l="1"/>
  <c r="BW42" i="1" l="1"/>
  <c r="BX42" i="1" s="1"/>
  <c r="BY42" i="1" l="1"/>
  <c r="BZ42" i="1" l="1"/>
  <c r="CA42" i="1" l="1"/>
  <c r="CB42" i="1" l="1"/>
  <c r="CC42" i="1" l="1"/>
  <c r="CD42" i="1" l="1"/>
  <c r="CE42" i="1" l="1"/>
  <c r="CF42" i="1" l="1"/>
  <c r="CG42" i="1" l="1"/>
  <c r="CH42" i="1" l="1"/>
  <c r="CI42" i="1" l="1"/>
  <c r="CJ42" i="1" s="1"/>
  <c r="CK42" i="1" l="1"/>
  <c r="CL42" i="1" l="1"/>
  <c r="CM42" i="1" l="1"/>
  <c r="CN42" i="1" l="1"/>
  <c r="CO42" i="1" l="1"/>
  <c r="CP42" i="1" l="1"/>
  <c r="CQ42" i="1" l="1"/>
  <c r="CR42" i="1" l="1"/>
  <c r="CS42" i="1" l="1"/>
  <c r="CT42" i="1" l="1"/>
  <c r="CU42" i="1" l="1"/>
  <c r="CV42" i="1" s="1"/>
  <c r="CW42" i="1" l="1"/>
  <c r="CX42" i="1" l="1"/>
  <c r="CY42" i="1" l="1"/>
  <c r="CZ42" i="1" l="1"/>
  <c r="DA42" i="1" l="1"/>
  <c r="DB42" i="1" l="1"/>
  <c r="DC42" i="1" l="1"/>
  <c r="DD42" i="1" l="1"/>
  <c r="DE42" i="1" l="1"/>
  <c r="DF42" i="1" l="1"/>
  <c r="DG42" i="1" l="1"/>
  <c r="M12" i="6" l="1"/>
  <c r="R16" i="1" l="1"/>
  <c r="M14" i="6"/>
  <c r="M16" i="6" s="1"/>
  <c r="M23" i="6" l="1"/>
  <c r="M17" i="6"/>
  <c r="M24" i="6" l="1"/>
  <c r="M27" i="6"/>
  <c r="M28" i="6" s="1"/>
  <c r="M30" i="6" l="1"/>
  <c r="M31" i="6" s="1"/>
  <c r="N12" i="6" l="1"/>
  <c r="R17" i="1" l="1"/>
  <c r="P12" i="6"/>
  <c r="P14" i="6" s="1"/>
  <c r="P16" i="6" s="1"/>
  <c r="N14" i="6"/>
  <c r="N16" i="6" s="1"/>
  <c r="R15" i="1" l="1"/>
  <c r="R19" i="1" s="1"/>
  <c r="P17" i="6"/>
  <c r="N17" i="6"/>
  <c r="R20" i="1" l="1"/>
  <c r="N30" i="6" l="1"/>
  <c r="N31" i="6" s="1"/>
  <c r="C25" i="15" l="1"/>
  <c r="C28" i="15" s="1"/>
  <c r="C30" i="15" l="1"/>
  <c r="C34" i="15"/>
  <c r="C36" i="15" s="1"/>
  <c r="C27" i="15"/>
  <c r="C29" i="15" s="1"/>
  <c r="P161" i="1"/>
  <c r="C33" i="15" l="1"/>
  <c r="C35" i="15" s="1"/>
  <c r="D25" i="15" l="1"/>
  <c r="D28" i="15" s="1"/>
  <c r="D30" i="15" l="1"/>
  <c r="D34" i="15"/>
  <c r="D36" i="15" s="1"/>
  <c r="P105" i="1"/>
  <c r="P167" i="1" s="1"/>
  <c r="P170" i="1" s="1"/>
  <c r="P176" i="1" s="1"/>
  <c r="P179" i="1" s="1"/>
  <c r="P180" i="1" s="1"/>
  <c r="P111" i="1" l="1"/>
  <c r="P112" i="1" s="1"/>
  <c r="P162" i="1" s="1"/>
  <c r="Q167" i="1"/>
  <c r="Q106" i="1" l="1"/>
  <c r="D12" i="15"/>
  <c r="D14" i="15" s="1"/>
  <c r="D19" i="15" s="1"/>
  <c r="D21" i="15" l="1"/>
  <c r="Q89" i="1"/>
  <c r="Q159" i="1" s="1"/>
  <c r="Q160" i="1" s="1"/>
  <c r="C39" i="15"/>
  <c r="E12" i="15"/>
  <c r="E14" i="15" l="1"/>
  <c r="E19" i="15" s="1"/>
  <c r="R159" i="1"/>
  <c r="R160" i="1" s="1"/>
  <c r="Q161" i="1"/>
  <c r="Q162" i="1" s="1"/>
  <c r="Q166" i="1"/>
  <c r="Q170" i="1" s="1"/>
  <c r="Q176" i="1" s="1"/>
  <c r="C38" i="15"/>
  <c r="Q178" i="1"/>
  <c r="D27" i="15"/>
  <c r="D29" i="15" s="1"/>
  <c r="R167" i="1"/>
  <c r="E21" i="15" l="1"/>
  <c r="S159" i="1"/>
  <c r="S160" i="1" s="1"/>
  <c r="S161" i="1" s="1"/>
  <c r="S162" i="1" s="1"/>
  <c r="R161" i="1"/>
  <c r="R162" i="1" s="1"/>
  <c r="Q179" i="1"/>
  <c r="D39" i="15"/>
  <c r="R166" i="1"/>
  <c r="R170" i="1" s="1"/>
  <c r="R176" i="1" s="1"/>
  <c r="F25" i="15"/>
  <c r="F28" i="15" s="1"/>
  <c r="D33" i="15"/>
  <c r="D35" i="15" s="1"/>
  <c r="E25" i="15"/>
  <c r="F30" i="15" l="1"/>
  <c r="F34" i="15"/>
  <c r="F36" i="15" s="1"/>
  <c r="E27" i="15"/>
  <c r="E29" i="15" s="1"/>
  <c r="E28" i="15"/>
  <c r="T159" i="1"/>
  <c r="T160" i="1" s="1"/>
  <c r="T161" i="1" s="1"/>
  <c r="T162" i="1" s="1"/>
  <c r="Q180" i="1"/>
  <c r="R178" i="1"/>
  <c r="R179" i="1" s="1"/>
  <c r="D38" i="15"/>
  <c r="G25" i="15"/>
  <c r="G28" i="15" s="1"/>
  <c r="E39" i="15"/>
  <c r="E33" i="15" l="1"/>
  <c r="E35" i="15" s="1"/>
  <c r="U159" i="1"/>
  <c r="U160" i="1" s="1"/>
  <c r="U161" i="1" s="1"/>
  <c r="U162" i="1" s="1"/>
  <c r="E30" i="15"/>
  <c r="E34" i="15"/>
  <c r="E36" i="15" s="1"/>
  <c r="G30" i="15"/>
  <c r="G34" i="15"/>
  <c r="G36" i="15" s="1"/>
  <c r="R180" i="1"/>
  <c r="S178" i="1"/>
  <c r="E38" i="15"/>
  <c r="H25" i="15"/>
  <c r="H28" i="15" s="1"/>
  <c r="V159" i="1" l="1"/>
  <c r="V160" i="1" s="1"/>
  <c r="V161" i="1" s="1"/>
  <c r="V162" i="1" s="1"/>
  <c r="H30" i="15"/>
  <c r="H34" i="15"/>
  <c r="H36" i="15" s="1"/>
  <c r="I25" i="15"/>
  <c r="I28" i="15" s="1"/>
  <c r="W159" i="1" l="1"/>
  <c r="X159" i="1" s="1"/>
  <c r="X160" i="1" s="1"/>
  <c r="X161" i="1" s="1"/>
  <c r="X162" i="1" s="1"/>
  <c r="I30" i="15"/>
  <c r="I34" i="15"/>
  <c r="I36" i="15" s="1"/>
  <c r="J25" i="15"/>
  <c r="J28" i="15" s="1"/>
  <c r="Y159" i="1" l="1"/>
  <c r="Y160" i="1" s="1"/>
  <c r="Y161" i="1" s="1"/>
  <c r="Y162" i="1" s="1"/>
  <c r="W160" i="1"/>
  <c r="W161" i="1" s="1"/>
  <c r="W162" i="1" s="1"/>
  <c r="J30" i="15"/>
  <c r="J34" i="15"/>
  <c r="J36" i="15" s="1"/>
  <c r="K25" i="15"/>
  <c r="K28" i="15" s="1"/>
  <c r="K30" i="15" l="1"/>
  <c r="K34" i="15"/>
  <c r="K36" i="15" s="1"/>
  <c r="L25" i="15"/>
  <c r="L28" i="15" s="1"/>
  <c r="L30" i="15" l="1"/>
  <c r="L34" i="15"/>
  <c r="L36" i="15" s="1"/>
  <c r="M25" i="15"/>
  <c r="M28" i="15" s="1"/>
  <c r="M30" i="15" l="1"/>
  <c r="M34" i="15"/>
  <c r="M36" i="15" s="1"/>
  <c r="S167" i="1"/>
  <c r="F12" i="15"/>
  <c r="F14" i="15" l="1"/>
  <c r="F19" i="15" s="1"/>
  <c r="S166" i="1"/>
  <c r="S170" i="1" s="1"/>
  <c r="S176" i="1" s="1"/>
  <c r="G12" i="15"/>
  <c r="F21" i="15" l="1"/>
  <c r="F27" i="15"/>
  <c r="F29" i="15" s="1"/>
  <c r="G14" i="15"/>
  <c r="G19" i="15" s="1"/>
  <c r="G21" i="15" s="1"/>
  <c r="I12" i="15"/>
  <c r="S179" i="1"/>
  <c r="F39" i="15"/>
  <c r="F33" i="15" l="1"/>
  <c r="F35" i="15" s="1"/>
  <c r="G27" i="15"/>
  <c r="G29" i="15" s="1"/>
  <c r="I14" i="15"/>
  <c r="I19" i="15" s="1"/>
  <c r="I21" i="15" s="1"/>
  <c r="T166" i="1"/>
  <c r="F38" i="15"/>
  <c r="S180" i="1"/>
  <c r="T178" i="1"/>
  <c r="H12" i="15"/>
  <c r="H14" i="15" s="1"/>
  <c r="H19" i="15" s="1"/>
  <c r="H21" i="15" s="1"/>
  <c r="T167" i="1"/>
  <c r="G33" i="15" l="1"/>
  <c r="G35" i="15" s="1"/>
  <c r="I27" i="15"/>
  <c r="I29" i="15" s="1"/>
  <c r="V166" i="1"/>
  <c r="V167" i="1"/>
  <c r="T170" i="1"/>
  <c r="T176" i="1" s="1"/>
  <c r="I33" i="15" l="1"/>
  <c r="I35" i="15" s="1"/>
  <c r="T179" i="1"/>
  <c r="V170" i="1"/>
  <c r="V176" i="1" s="1"/>
  <c r="U166" i="1"/>
  <c r="U167" i="1"/>
  <c r="G39" i="15"/>
  <c r="H27" i="15"/>
  <c r="H29" i="15" s="1"/>
  <c r="U178" i="1" l="1"/>
  <c r="G38" i="15"/>
  <c r="I39" i="15"/>
  <c r="H33" i="15"/>
  <c r="H35" i="15" s="1"/>
  <c r="U170" i="1"/>
  <c r="U176" i="1" s="1"/>
  <c r="T180" i="1"/>
  <c r="H39" i="15" l="1"/>
  <c r="U179" i="1"/>
  <c r="H38" i="15" l="1"/>
  <c r="U180" i="1"/>
  <c r="V178" i="1"/>
  <c r="V179" i="1" s="1"/>
  <c r="W178" i="1" s="1"/>
  <c r="W179" i="1" s="1"/>
  <c r="W180" i="1" s="1"/>
  <c r="V180" i="1" l="1"/>
  <c r="I38" i="15"/>
  <c r="J12" i="15" l="1"/>
  <c r="J14" i="15" s="1"/>
  <c r="J19" i="15" s="1"/>
  <c r="J21" i="15" s="1"/>
  <c r="K12" i="15" l="1"/>
  <c r="K14" i="15" l="1"/>
  <c r="K19" i="15" s="1"/>
  <c r="K21" i="15" s="1"/>
  <c r="X167" i="1"/>
  <c r="J27" i="15"/>
  <c r="J29" i="15" s="1"/>
  <c r="K27" i="15" l="1"/>
  <c r="X166" i="1"/>
  <c r="X170" i="1" s="1"/>
  <c r="X176" i="1" s="1"/>
  <c r="J33" i="15"/>
  <c r="J35" i="15" s="1"/>
  <c r="J39" i="15"/>
  <c r="K33" i="15" l="1"/>
  <c r="K35" i="15" s="1"/>
  <c r="K29" i="15"/>
  <c r="K39" i="15"/>
  <c r="J38" i="15"/>
  <c r="X178" i="1"/>
  <c r="X179" i="1" s="1"/>
  <c r="X180" i="1" l="1"/>
  <c r="K38" i="15"/>
  <c r="Y178" i="1"/>
  <c r="Q15" i="1" l="1"/>
  <c r="Q20" i="1" s="1"/>
  <c r="Q19" i="1" l="1"/>
  <c r="L12" i="15" l="1"/>
  <c r="L14" i="15" s="1"/>
  <c r="L19" i="15" s="1"/>
  <c r="L21" i="15" s="1"/>
  <c r="Y167" i="1" l="1"/>
  <c r="L27" i="15"/>
  <c r="L29" i="15" s="1"/>
  <c r="Y166" i="1" l="1"/>
  <c r="Y170" i="1" s="1"/>
  <c r="Y176" i="1" s="1"/>
  <c r="L33" i="15"/>
  <c r="L35" i="15" s="1"/>
  <c r="L39" i="15" l="1"/>
  <c r="Y179" i="1"/>
  <c r="N12" i="15"/>
  <c r="N14" i="15" s="1"/>
  <c r="N19" i="15" s="1"/>
  <c r="N21" i="15" l="1"/>
  <c r="Y180" i="1"/>
  <c r="L38" i="15"/>
  <c r="Z178" i="1"/>
  <c r="Z105" i="1" l="1"/>
  <c r="AA167" i="1" s="1"/>
  <c r="AA170" i="1" s="1"/>
  <c r="AA176" i="1" s="1"/>
  <c r="Z167" i="1" l="1"/>
  <c r="M12" i="15"/>
  <c r="P12" i="15" l="1"/>
  <c r="P14" i="15" s="1"/>
  <c r="P19" i="15" s="1"/>
  <c r="M14" i="15"/>
  <c r="Z106" i="1"/>
  <c r="Z33" i="1"/>
  <c r="AE117" i="1" l="1"/>
  <c r="AC117" i="1"/>
  <c r="AD117" i="1"/>
  <c r="AB117" i="1"/>
  <c r="Z117" i="1"/>
  <c r="AA117" i="1"/>
  <c r="M19" i="15"/>
  <c r="Z79" i="1"/>
  <c r="AL117" i="1" l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M21" i="15"/>
  <c r="P21" i="15"/>
  <c r="M27" i="15"/>
  <c r="M29" i="15" s="1"/>
  <c r="Z89" i="1"/>
  <c r="Z159" i="1" s="1"/>
  <c r="Z160" i="1" s="1"/>
  <c r="Z166" i="1" l="1"/>
  <c r="Z170" i="1" s="1"/>
  <c r="Z176" i="1" s="1"/>
  <c r="Z179" i="1" s="1"/>
  <c r="AA178" i="1" s="1"/>
  <c r="AA179" i="1" s="1"/>
  <c r="D46" i="5" s="1"/>
  <c r="M33" i="15"/>
  <c r="M35" i="15" s="1"/>
  <c r="AA159" i="1"/>
  <c r="Z161" i="1"/>
  <c r="M39" i="15" l="1"/>
  <c r="AA160" i="1"/>
  <c r="AA161" i="1" s="1"/>
  <c r="AB178" i="1"/>
  <c r="AA111" i="1"/>
  <c r="AA112" i="1" s="1"/>
  <c r="AA180" i="1"/>
  <c r="Z111" i="1"/>
  <c r="Z112" i="1" s="1"/>
  <c r="Z162" i="1" s="1"/>
  <c r="M38" i="15"/>
  <c r="Z180" i="1"/>
  <c r="D89" i="5" l="1"/>
  <c r="D90" i="5"/>
  <c r="AA162" i="1"/>
  <c r="S18" i="1"/>
  <c r="S16" i="1" l="1"/>
  <c r="S17" i="1" l="1"/>
  <c r="S15" i="1" l="1"/>
  <c r="S19" i="1" s="1"/>
  <c r="S20" i="1" l="1"/>
  <c r="T18" i="1" l="1"/>
  <c r="T16" i="1" l="1"/>
  <c r="T17" i="1" l="1"/>
  <c r="T15" i="1" l="1"/>
  <c r="T19" i="1" s="1"/>
  <c r="T20" i="1" l="1"/>
  <c r="U18" i="1" l="1"/>
  <c r="U16" i="1" l="1"/>
  <c r="U17" i="1" l="1"/>
  <c r="U15" i="1" l="1"/>
  <c r="U19" i="1" s="1"/>
  <c r="U20" i="1" l="1"/>
  <c r="V18" i="1" l="1"/>
  <c r="V16" i="1" l="1"/>
  <c r="V17" i="1" l="1"/>
  <c r="V15" i="1" l="1"/>
  <c r="V19" i="1" s="1"/>
  <c r="V20" i="1" l="1"/>
  <c r="W18" i="1" l="1"/>
  <c r="Y18" i="1"/>
  <c r="X18" i="1"/>
  <c r="Y16" i="1" l="1"/>
  <c r="X16" i="1"/>
  <c r="W16" i="1"/>
  <c r="Y17" i="1" l="1"/>
  <c r="W17" i="1"/>
  <c r="X17" i="1"/>
  <c r="X15" i="1" l="1"/>
  <c r="X19" i="1" s="1"/>
  <c r="Y15" i="1"/>
  <c r="Y19" i="1" s="1"/>
  <c r="W15" i="1"/>
  <c r="W19" i="1" s="1"/>
  <c r="W20" i="1" l="1"/>
  <c r="Y20" i="1"/>
  <c r="X20" i="1"/>
  <c r="Z18" i="1" l="1"/>
  <c r="Z16" i="1" l="1"/>
  <c r="Z17" i="1" l="1"/>
  <c r="Z15" i="1" l="1"/>
  <c r="Z19" i="1" s="1"/>
  <c r="Z20" i="1" l="1"/>
  <c r="H23" i="25" l="1"/>
  <c r="H24" i="25" l="1"/>
  <c r="I23" i="25" l="1"/>
  <c r="I24" i="25" l="1"/>
  <c r="J23" i="25" l="1"/>
  <c r="J24" i="25" l="1"/>
  <c r="K23" i="25" l="1"/>
  <c r="K24" i="25" s="1"/>
  <c r="L23" i="25" l="1"/>
  <c r="L24" i="25" s="1"/>
  <c r="M23" i="25" l="1"/>
  <c r="M24" i="25" s="1"/>
  <c r="N23" i="25" l="1"/>
  <c r="N24" i="25" l="1"/>
  <c r="P23" i="25"/>
  <c r="P24" i="25" s="1"/>
  <c r="BL9" i="1" l="1"/>
  <c r="BL105" i="1" l="1"/>
  <c r="BM9" i="1" l="1"/>
  <c r="BM105" i="1" l="1"/>
  <c r="BM167" i="1" l="1"/>
  <c r="BN9" i="1" l="1"/>
  <c r="BN105" i="1" l="1"/>
  <c r="BN167" i="1" l="1"/>
  <c r="BO9" i="1"/>
  <c r="BO105" i="1" l="1"/>
  <c r="BO167" i="1" l="1"/>
  <c r="BP9" i="1"/>
  <c r="BP105" i="1" l="1"/>
  <c r="BP167" i="1" l="1"/>
  <c r="BQ9" i="1" l="1"/>
  <c r="BQ105" i="1" l="1"/>
  <c r="BQ167" i="1" s="1"/>
  <c r="BR9" i="1" l="1"/>
  <c r="BR105" i="1" l="1"/>
  <c r="BR167" i="1" s="1"/>
  <c r="BS9" i="1" l="1"/>
  <c r="BS105" i="1" l="1"/>
  <c r="BS167" i="1" s="1"/>
  <c r="BT9" i="1" l="1"/>
  <c r="BT105" i="1" l="1"/>
  <c r="BT167" i="1" s="1"/>
  <c r="BU9" i="1" l="1"/>
  <c r="BU105" i="1" l="1"/>
  <c r="BU167" i="1" s="1"/>
  <c r="BV9" i="1" l="1"/>
  <c r="BV105" i="1" l="1"/>
  <c r="BV167" i="1" s="1"/>
  <c r="BW9" i="1" l="1"/>
  <c r="BW105" i="1" l="1"/>
  <c r="BW167" i="1" s="1"/>
  <c r="BX9" i="1" l="1"/>
  <c r="BX105" i="1" l="1"/>
  <c r="BX167" i="1" l="1"/>
  <c r="BY9" i="1" l="1"/>
  <c r="BY105" i="1" l="1"/>
  <c r="BY167" i="1" l="1"/>
  <c r="BZ9" i="1" l="1"/>
  <c r="BZ105" i="1" l="1"/>
  <c r="BZ167" i="1" l="1"/>
  <c r="CA9" i="1" l="1"/>
  <c r="CA105" i="1" l="1"/>
  <c r="CA167" i="1" l="1"/>
  <c r="CB9" i="1" l="1"/>
  <c r="CB105" i="1" l="1"/>
  <c r="CB167" i="1" l="1"/>
  <c r="CC9" i="1" l="1"/>
  <c r="CC105" i="1" l="1"/>
  <c r="CC167" i="1" s="1"/>
  <c r="CD9" i="1" l="1"/>
  <c r="CD105" i="1" l="1"/>
  <c r="CD167" i="1" s="1"/>
  <c r="CE9" i="1" l="1"/>
  <c r="CE105" i="1" l="1"/>
  <c r="CE167" i="1" s="1"/>
  <c r="CF9" i="1" l="1"/>
  <c r="CF105" i="1" l="1"/>
  <c r="CF167" i="1" s="1"/>
  <c r="CG9" i="1" l="1"/>
  <c r="CG105" i="1" l="1"/>
  <c r="CG167" i="1" s="1"/>
  <c r="CH9" i="1" l="1"/>
  <c r="CH105" i="1" l="1"/>
  <c r="CH167" i="1" s="1"/>
  <c r="CI9" i="1" l="1"/>
  <c r="CI105" i="1" l="1"/>
  <c r="CI167" i="1" s="1"/>
  <c r="CJ9" i="1" l="1"/>
  <c r="CJ105" i="1" l="1"/>
  <c r="CJ167" i="1" l="1"/>
  <c r="CK9" i="1" l="1"/>
  <c r="CK105" i="1" l="1"/>
  <c r="CK167" i="1" s="1"/>
  <c r="CL9" i="1"/>
  <c r="CL105" i="1" l="1"/>
  <c r="CM9" i="1" l="1"/>
  <c r="CL167" i="1"/>
  <c r="CM105" i="1" l="1"/>
  <c r="CN9" i="1" l="1"/>
  <c r="CM167" i="1"/>
  <c r="CN105" i="1" l="1"/>
  <c r="CN167" i="1" l="1"/>
  <c r="CO9" i="1" l="1"/>
  <c r="CO105" i="1" l="1"/>
  <c r="CO167" i="1" s="1"/>
  <c r="CP9" i="1" l="1"/>
  <c r="CP105" i="1" l="1"/>
  <c r="CP167" i="1" s="1"/>
  <c r="CQ9" i="1" l="1"/>
  <c r="CQ105" i="1" l="1"/>
  <c r="CQ167" i="1" s="1"/>
  <c r="CR9" i="1" l="1"/>
  <c r="CR105" i="1" l="1"/>
  <c r="CR167" i="1" s="1"/>
  <c r="CS9" i="1" l="1"/>
  <c r="CS105" i="1" l="1"/>
  <c r="CS167" i="1" s="1"/>
  <c r="CT9" i="1" l="1"/>
  <c r="CT105" i="1" l="1"/>
  <c r="CT167" i="1" s="1"/>
  <c r="CU9" i="1" l="1"/>
  <c r="CU105" i="1" l="1"/>
  <c r="CU167" i="1" s="1"/>
  <c r="CV9" i="1" l="1"/>
  <c r="CV105" i="1" l="1"/>
  <c r="CV167" i="1" l="1"/>
  <c r="CW9" i="1" l="1"/>
  <c r="CW105" i="1" l="1"/>
  <c r="CW167" i="1" l="1"/>
  <c r="CX9" i="1" l="1"/>
  <c r="CX105" i="1" l="1"/>
  <c r="CY9" i="1" l="1"/>
  <c r="CX167" i="1"/>
  <c r="CY105" i="1" l="1"/>
  <c r="CZ9" i="1" l="1"/>
  <c r="CY167" i="1"/>
  <c r="CZ105" i="1" l="1"/>
  <c r="CZ167" i="1" l="1"/>
  <c r="DA9" i="1" l="1"/>
  <c r="DA105" i="1" l="1"/>
  <c r="DA167" i="1" s="1"/>
  <c r="DB9" i="1" l="1"/>
  <c r="DB105" i="1" l="1"/>
  <c r="DB167" i="1" s="1"/>
  <c r="DC9" i="1" l="1"/>
  <c r="DC105" i="1" l="1"/>
  <c r="DC167" i="1" s="1"/>
  <c r="DD9" i="1" l="1"/>
  <c r="DD105" i="1" l="1"/>
  <c r="DD167" i="1" s="1"/>
  <c r="DE9" i="1" l="1"/>
  <c r="DE105" i="1" l="1"/>
  <c r="DE167" i="1" s="1"/>
  <c r="DF9" i="1" l="1"/>
  <c r="DF105" i="1" l="1"/>
  <c r="DF167" i="1" s="1"/>
  <c r="DG9" i="1" l="1"/>
  <c r="DG105" i="1" l="1"/>
  <c r="DG167" i="1" l="1"/>
  <c r="N24" i="15" l="1"/>
  <c r="N25" i="15" s="1"/>
  <c r="N19" i="6"/>
  <c r="N21" i="6" s="1"/>
  <c r="N23" i="6" s="1"/>
  <c r="N27" i="15" l="1"/>
  <c r="N28" i="15"/>
  <c r="N24" i="6"/>
  <c r="N27" i="6"/>
  <c r="N28" i="6" s="1"/>
  <c r="P19" i="6"/>
  <c r="P21" i="6" s="1"/>
  <c r="P23" i="6" s="1"/>
  <c r="P24" i="15"/>
  <c r="P25" i="15" s="1"/>
  <c r="N30" i="15" l="1"/>
  <c r="N34" i="15"/>
  <c r="N36" i="15" s="1"/>
  <c r="N29" i="15"/>
  <c r="N33" i="15"/>
  <c r="N35" i="15" s="1"/>
  <c r="P28" i="15"/>
  <c r="P27" i="15"/>
  <c r="P27" i="6"/>
  <c r="P28" i="6" s="1"/>
  <c r="P24" i="6"/>
  <c r="P29" i="15" l="1"/>
  <c r="P33" i="15"/>
  <c r="P38" i="15" s="1"/>
  <c r="P30" i="15"/>
  <c r="P34" i="15"/>
  <c r="N39" i="15"/>
  <c r="P35" i="15" l="1"/>
  <c r="P36" i="15"/>
  <c r="P39" i="15"/>
  <c r="N38" i="15"/>
  <c r="AB79" i="1" l="1"/>
  <c r="AB106" i="1" l="1"/>
  <c r="G13" i="23"/>
  <c r="AB89" i="1"/>
  <c r="AB159" i="1" l="1"/>
  <c r="G29" i="23"/>
  <c r="I13" i="23"/>
  <c r="AB166" i="1"/>
  <c r="AB170" i="1" s="1"/>
  <c r="AB176" i="1" s="1"/>
  <c r="C38" i="32" s="1"/>
  <c r="C26" i="25"/>
  <c r="C30" i="27" l="1"/>
  <c r="C36" i="31"/>
  <c r="AB160" i="1"/>
  <c r="AB161" i="1" s="1"/>
  <c r="AC159" i="1"/>
  <c r="C28" i="25"/>
  <c r="C32" i="25"/>
  <c r="C34" i="25" s="1"/>
  <c r="G33" i="23"/>
  <c r="I33" i="23" s="1"/>
  <c r="I29" i="23"/>
  <c r="AB179" i="1"/>
  <c r="C39" i="25"/>
  <c r="C37" i="32" l="1"/>
  <c r="C40" i="32" s="1"/>
  <c r="AB180" i="1"/>
  <c r="C29" i="27"/>
  <c r="C35" i="31"/>
  <c r="AD159" i="1"/>
  <c r="AC160" i="1"/>
  <c r="AC161" i="1" s="1"/>
  <c r="AC174" i="1"/>
  <c r="AC178" i="1"/>
  <c r="AB111" i="1"/>
  <c r="AB112" i="1" s="1"/>
  <c r="AB162" i="1" s="1"/>
  <c r="C38" i="25"/>
  <c r="C39" i="32" l="1"/>
  <c r="AE159" i="1"/>
  <c r="AF159" i="1" s="1"/>
  <c r="AD160" i="1"/>
  <c r="AD161" i="1" s="1"/>
  <c r="AD174" i="1"/>
  <c r="AF160" i="1" l="1"/>
  <c r="AF161" i="1" s="1"/>
  <c r="AF162" i="1" s="1"/>
  <c r="AG159" i="1"/>
  <c r="AE160" i="1"/>
  <c r="AE161" i="1" s="1"/>
  <c r="AE174" i="1"/>
  <c r="AG160" i="1" l="1"/>
  <c r="AG161" i="1" s="1"/>
  <c r="AG162" i="1" s="1"/>
  <c r="AH159" i="1"/>
  <c r="AH160" i="1" l="1"/>
  <c r="AH161" i="1" s="1"/>
  <c r="AH162" i="1" s="1"/>
  <c r="AI159" i="1"/>
  <c r="AI160" i="1" l="1"/>
  <c r="AI161" i="1" s="1"/>
  <c r="AI162" i="1" s="1"/>
  <c r="AJ159" i="1"/>
  <c r="AJ160" i="1" s="1"/>
  <c r="AJ161" i="1" s="1"/>
  <c r="AJ162" i="1" s="1"/>
  <c r="AK174" i="1"/>
  <c r="AL158" i="1"/>
  <c r="AL174" i="1" l="1"/>
  <c r="AM158" i="1"/>
  <c r="D12" i="25" l="1"/>
  <c r="D14" i="25" l="1"/>
  <c r="D18" i="25" s="1"/>
  <c r="AC167" i="1"/>
  <c r="AC168" i="1" l="1"/>
  <c r="D20" i="25"/>
  <c r="D26" i="25"/>
  <c r="D28" i="25" l="1"/>
  <c r="D32" i="25"/>
  <c r="D34" i="25" s="1"/>
  <c r="AC166" i="1"/>
  <c r="AC170" i="1" s="1"/>
  <c r="AC176" i="1" s="1"/>
  <c r="D36" i="31" l="1"/>
  <c r="D38" i="32"/>
  <c r="AD167" i="1"/>
  <c r="AD168" i="1"/>
  <c r="E17" i="25"/>
  <c r="E12" i="25"/>
  <c r="E14" i="25" s="1"/>
  <c r="D39" i="25"/>
  <c r="AC179" i="1"/>
  <c r="D35" i="31" l="1"/>
  <c r="D37" i="32"/>
  <c r="E18" i="25"/>
  <c r="E26" i="25" s="1"/>
  <c r="E19" i="25"/>
  <c r="D38" i="25"/>
  <c r="AC180" i="1"/>
  <c r="AD178" i="1"/>
  <c r="AC162" i="1"/>
  <c r="D40" i="32" l="1"/>
  <c r="D39" i="32"/>
  <c r="E20" i="25"/>
  <c r="AE168" i="1"/>
  <c r="F17" i="25"/>
  <c r="E21" i="25"/>
  <c r="E27" i="25"/>
  <c r="E28" i="25"/>
  <c r="E32" i="25"/>
  <c r="E34" i="25" s="1"/>
  <c r="U8" i="28"/>
  <c r="Q5" i="28" s="1"/>
  <c r="AD166" i="1"/>
  <c r="AD170" i="1" s="1"/>
  <c r="AD176" i="1" s="1"/>
  <c r="AB10" i="1" l="1"/>
  <c r="E36" i="31"/>
  <c r="E38" i="32"/>
  <c r="AD179" i="1"/>
  <c r="E37" i="32" s="1"/>
  <c r="E33" i="25"/>
  <c r="E35" i="25" s="1"/>
  <c r="E29" i="25"/>
  <c r="F19" i="25"/>
  <c r="F12" i="25"/>
  <c r="E39" i="25"/>
  <c r="AB29" i="1" l="1"/>
  <c r="AB30" i="1"/>
  <c r="E39" i="32"/>
  <c r="E40" i="32"/>
  <c r="AB28" i="1"/>
  <c r="AB34" i="1"/>
  <c r="AB80" i="1" s="1"/>
  <c r="AB81" i="1" s="1"/>
  <c r="AO24" i="1"/>
  <c r="D18" i="34" s="1"/>
  <c r="AE178" i="1"/>
  <c r="E35" i="31"/>
  <c r="E38" i="25"/>
  <c r="AD180" i="1"/>
  <c r="F21" i="25"/>
  <c r="F27" i="25"/>
  <c r="F14" i="25"/>
  <c r="F18" i="25" s="1"/>
  <c r="AE167" i="1"/>
  <c r="AD162" i="1"/>
  <c r="V8" i="28"/>
  <c r="R5" i="28" l="1"/>
  <c r="C8" i="28"/>
  <c r="AB90" i="1"/>
  <c r="AC10" i="1"/>
  <c r="C22" i="32"/>
  <c r="C14" i="32"/>
  <c r="C21" i="32" s="1"/>
  <c r="C29" i="32" s="1"/>
  <c r="F33" i="25"/>
  <c r="F35" i="25" s="1"/>
  <c r="F29" i="25"/>
  <c r="F20" i="25"/>
  <c r="F26" i="25"/>
  <c r="W8" i="28"/>
  <c r="S5" i="28" s="1"/>
  <c r="AC30" i="1" l="1"/>
  <c r="AC29" i="1"/>
  <c r="C30" i="32"/>
  <c r="C33" i="32"/>
  <c r="C34" i="32" s="1"/>
  <c r="AD10" i="1"/>
  <c r="AP24" i="1"/>
  <c r="E18" i="34" s="1"/>
  <c r="AC28" i="1"/>
  <c r="AC34" i="1"/>
  <c r="AC80" i="1" s="1"/>
  <c r="BN24" i="1"/>
  <c r="BN10" i="1"/>
  <c r="G14" i="32"/>
  <c r="F28" i="25"/>
  <c r="F32" i="25"/>
  <c r="F34" i="25" s="1"/>
  <c r="AE166" i="1"/>
  <c r="AE170" i="1" s="1"/>
  <c r="AE176" i="1" s="1"/>
  <c r="X8" i="28"/>
  <c r="T5" i="28" s="1"/>
  <c r="AD30" i="1" l="1"/>
  <c r="AD29" i="1"/>
  <c r="D22" i="32"/>
  <c r="D14" i="32"/>
  <c r="D21" i="32" s="1"/>
  <c r="D29" i="32" s="1"/>
  <c r="AD28" i="1"/>
  <c r="AD34" i="1"/>
  <c r="AD80" i="1" s="1"/>
  <c r="AQ24" i="1"/>
  <c r="F18" i="34" s="1"/>
  <c r="CA24" i="1"/>
  <c r="CA10" i="1"/>
  <c r="AC81" i="1"/>
  <c r="AC90" i="1"/>
  <c r="AE10" i="1"/>
  <c r="F36" i="31"/>
  <c r="F38" i="32"/>
  <c r="AE162" i="1"/>
  <c r="F39" i="25"/>
  <c r="AE179" i="1"/>
  <c r="AF178" i="1" s="1"/>
  <c r="AF179" i="1" s="1"/>
  <c r="AF180" i="1" s="1"/>
  <c r="Y8" i="28"/>
  <c r="AE30" i="1" l="1"/>
  <c r="AE29" i="1"/>
  <c r="AD90" i="1"/>
  <c r="AD81" i="1"/>
  <c r="CM24" i="1"/>
  <c r="CM10" i="1"/>
  <c r="E22" i="32"/>
  <c r="E14" i="32"/>
  <c r="E21" i="32" s="1"/>
  <c r="E29" i="32" s="1"/>
  <c r="AE34" i="1"/>
  <c r="AE80" i="1" s="1"/>
  <c r="AE28" i="1"/>
  <c r="BO24" i="1"/>
  <c r="BO10" i="1"/>
  <c r="D33" i="32"/>
  <c r="D34" i="32" s="1"/>
  <c r="D30" i="32"/>
  <c r="AR24" i="1"/>
  <c r="G18" i="34" s="1"/>
  <c r="F35" i="31"/>
  <c r="F37" i="32"/>
  <c r="AE180" i="1"/>
  <c r="F38" i="25"/>
  <c r="Z8" i="28"/>
  <c r="F40" i="32" l="1"/>
  <c r="F39" i="32"/>
  <c r="E33" i="32"/>
  <c r="E34" i="32" s="1"/>
  <c r="E30" i="32"/>
  <c r="AE90" i="1"/>
  <c r="AE81" i="1"/>
  <c r="CB24" i="1"/>
  <c r="CB10" i="1"/>
  <c r="BP24" i="1"/>
  <c r="BP10" i="1"/>
  <c r="CZ24" i="1"/>
  <c r="CZ10" i="1"/>
  <c r="F22" i="32"/>
  <c r="F14" i="32"/>
  <c r="F21" i="32" s="1"/>
  <c r="F29" i="32" s="1"/>
  <c r="AA8" i="28"/>
  <c r="BQ24" i="1" l="1"/>
  <c r="BQ10" i="1"/>
  <c r="F30" i="32"/>
  <c r="F33" i="32"/>
  <c r="F34" i="32" s="1"/>
  <c r="CC24" i="1"/>
  <c r="CC10" i="1"/>
  <c r="CN24" i="1"/>
  <c r="CN10" i="1"/>
  <c r="CO24" i="1" l="1"/>
  <c r="CO10" i="1"/>
  <c r="DA24" i="1"/>
  <c r="DA10" i="1"/>
  <c r="CD24" i="1"/>
  <c r="CD10" i="1"/>
  <c r="CP24" i="1" l="1"/>
  <c r="CP10" i="1"/>
  <c r="DB24" i="1"/>
  <c r="DB10" i="1"/>
  <c r="DC24" i="1" l="1"/>
  <c r="DC10" i="1"/>
  <c r="G12" i="25" l="1"/>
  <c r="G14" i="25" l="1"/>
  <c r="H12" i="25"/>
  <c r="BR10" i="1" l="1"/>
  <c r="AS24" i="1"/>
  <c r="H18" i="34" s="1"/>
  <c r="H14" i="25"/>
  <c r="BR24" i="1" l="1"/>
  <c r="CQ10" i="1"/>
  <c r="CE10" i="1"/>
  <c r="I12" i="25"/>
  <c r="CQ24" i="1" l="1"/>
  <c r="DD10" i="1"/>
  <c r="CE24" i="1"/>
  <c r="I14" i="25"/>
  <c r="DD24" i="1" l="1"/>
  <c r="Z5" i="28"/>
  <c r="Z72" i="28" s="1"/>
  <c r="AK10" i="1" l="1"/>
  <c r="AK34" i="1" s="1"/>
  <c r="AK80" i="1" s="1"/>
  <c r="AK129" i="1"/>
  <c r="AK134" i="1" s="1"/>
  <c r="AK143" i="1" s="1"/>
  <c r="AK144" i="1" s="1"/>
  <c r="AK81" i="1" l="1"/>
  <c r="AK90" i="1"/>
  <c r="CV10" i="1"/>
  <c r="CV24" i="1" l="1"/>
  <c r="AM8" i="1"/>
  <c r="AM9" i="1" s="1"/>
  <c r="AK167" i="1"/>
  <c r="BW10" i="1" l="1"/>
  <c r="CW10" i="1"/>
  <c r="N12" i="25"/>
  <c r="N14" i="25" s="1"/>
  <c r="AN8" i="1"/>
  <c r="AM105" i="1"/>
  <c r="CW24" i="1" l="1"/>
  <c r="CJ10" i="1"/>
  <c r="AN9" i="1"/>
  <c r="CJ24" i="1" l="1"/>
  <c r="CX10" i="1"/>
  <c r="CK10" i="1"/>
  <c r="AO8" i="1"/>
  <c r="AN105" i="1"/>
  <c r="AN167" i="1" s="1"/>
  <c r="CK24" i="1" l="1"/>
  <c r="CX24" i="1"/>
  <c r="AO9" i="1"/>
  <c r="AP8" i="1" l="1"/>
  <c r="AO105" i="1"/>
  <c r="AO167" i="1" s="1"/>
  <c r="AP9" i="1" l="1"/>
  <c r="AQ8" i="1" l="1"/>
  <c r="AP105" i="1"/>
  <c r="AP167" i="1" l="1"/>
  <c r="AQ9" i="1"/>
  <c r="AR8" i="1" l="1"/>
  <c r="AQ105" i="1"/>
  <c r="AR9" i="1" l="1"/>
  <c r="AQ167" i="1"/>
  <c r="AS8" i="1" l="1"/>
  <c r="AS9" i="1" s="1"/>
  <c r="AR105" i="1"/>
  <c r="AS105" i="1" l="1"/>
  <c r="AR167" i="1"/>
  <c r="AS167" i="1" l="1"/>
  <c r="AU8" i="1" l="1"/>
  <c r="AU9" i="1" s="1"/>
  <c r="AU105" i="1" l="1"/>
  <c r="AV8" i="1" l="1"/>
  <c r="AV9" i="1" s="1"/>
  <c r="AV105" i="1" l="1"/>
  <c r="AW8" i="1" l="1"/>
  <c r="AW9" i="1" s="1"/>
  <c r="AV167" i="1"/>
  <c r="AW105" i="1" l="1"/>
  <c r="AX8" i="1" l="1"/>
  <c r="AX9" i="1" s="1"/>
  <c r="AW167" i="1"/>
  <c r="AX105" i="1" l="1"/>
  <c r="AY8" i="1" l="1"/>
  <c r="AY9" i="1" s="1"/>
  <c r="AX167" i="1"/>
  <c r="AY105" i="1" l="1"/>
  <c r="AZ8" i="1" l="1"/>
  <c r="AY167" i="1"/>
  <c r="AZ9" i="1" l="1"/>
  <c r="BA8" i="1" l="1"/>
  <c r="BA9" i="1" s="1"/>
  <c r="AZ105" i="1"/>
  <c r="BB8" i="1" l="1"/>
  <c r="BA105" i="1"/>
  <c r="BA167" i="1" s="1"/>
  <c r="AZ167" i="1"/>
  <c r="BB9" i="1" l="1"/>
  <c r="BC8" i="1" l="1"/>
  <c r="BB105" i="1"/>
  <c r="BC9" i="1" l="1"/>
  <c r="BB167" i="1"/>
  <c r="BD8" i="1" l="1"/>
  <c r="BC105" i="1"/>
  <c r="BD9" i="1" l="1"/>
  <c r="BC167" i="1"/>
  <c r="BE8" i="1" l="1"/>
  <c r="BD105" i="1"/>
  <c r="BE9" i="1" l="1"/>
  <c r="BD167" i="1"/>
  <c r="BF8" i="1" l="1"/>
  <c r="BF9" i="1" s="1"/>
  <c r="BE105" i="1"/>
  <c r="BE167" i="1" l="1"/>
  <c r="BF105" i="1"/>
  <c r="BG8" i="1" l="1"/>
  <c r="BG9" i="1" s="1"/>
  <c r="BF167" i="1"/>
  <c r="BH8" i="1" l="1"/>
  <c r="BH9" i="1" s="1"/>
  <c r="BG105" i="1"/>
  <c r="BI8" i="1" l="1"/>
  <c r="BI9" i="1" s="1"/>
  <c r="BH105" i="1"/>
  <c r="BG167" i="1"/>
  <c r="BI105" i="1" l="1"/>
  <c r="BH167" i="1"/>
  <c r="BJ8" i="1" l="1"/>
  <c r="BJ9" i="1" s="1"/>
  <c r="BI167" i="1"/>
  <c r="BJ105" i="1" l="1"/>
  <c r="BK8" i="1" l="1"/>
  <c r="BJ167" i="1"/>
  <c r="BK9" i="1" l="1"/>
  <c r="BK105" i="1" l="1"/>
  <c r="BL167" i="1" l="1"/>
  <c r="BK167" i="1"/>
  <c r="U10" i="28" l="1"/>
  <c r="V10" i="28" l="1"/>
  <c r="W10" i="28" s="1"/>
  <c r="X10" i="28" s="1"/>
  <c r="Y10" i="28" s="1"/>
  <c r="Z10" i="28" s="1"/>
  <c r="AA10" i="28" s="1"/>
  <c r="G12" i="31"/>
  <c r="G20" i="31" s="1"/>
  <c r="F15" i="5"/>
  <c r="F19" i="5" s="1"/>
  <c r="AT6" i="1"/>
  <c r="G13" i="25"/>
  <c r="G14" i="31" l="1"/>
  <c r="AT8" i="1"/>
  <c r="AT9" i="1" s="1"/>
  <c r="P13" i="31"/>
  <c r="G15" i="25"/>
  <c r="U27" i="28" l="1"/>
  <c r="U23" i="28"/>
  <c r="U25" i="28"/>
  <c r="AT105" i="1"/>
  <c r="V23" i="28" l="1"/>
  <c r="V25" i="28"/>
  <c r="U55" i="28"/>
  <c r="U59" i="28"/>
  <c r="U57" i="28"/>
  <c r="V27" i="28"/>
  <c r="W23" i="28"/>
  <c r="AT167" i="1"/>
  <c r="AU167" i="1"/>
  <c r="X23" i="28" l="1"/>
  <c r="V59" i="28"/>
  <c r="V55" i="28"/>
  <c r="W27" i="28"/>
  <c r="AF10" i="1"/>
  <c r="W25" i="28"/>
  <c r="G20" i="32"/>
  <c r="G23" i="32" s="1"/>
  <c r="G18" i="31"/>
  <c r="G21" i="31" s="1"/>
  <c r="H17" i="32"/>
  <c r="G17" i="32"/>
  <c r="AF30" i="1" l="1"/>
  <c r="AF29" i="1"/>
  <c r="X27" i="28"/>
  <c r="X25" i="28"/>
  <c r="W55" i="28"/>
  <c r="W59" i="28"/>
  <c r="V57" i="28"/>
  <c r="AF28" i="1"/>
  <c r="AF34" i="1"/>
  <c r="AF80" i="1" s="1"/>
  <c r="AF81" i="1" s="1"/>
  <c r="Y23" i="28"/>
  <c r="G19" i="31"/>
  <c r="H20" i="32"/>
  <c r="H23" i="32" s="1"/>
  <c r="H18" i="31"/>
  <c r="H21" i="31" s="1"/>
  <c r="W57" i="28" l="1"/>
  <c r="X57" i="28" s="1"/>
  <c r="Y25" i="28"/>
  <c r="Y27" i="28"/>
  <c r="X59" i="28"/>
  <c r="X55" i="28"/>
  <c r="AF90" i="1"/>
  <c r="I20" i="32"/>
  <c r="I23" i="32" s="1"/>
  <c r="I18" i="31"/>
  <c r="I21" i="31" s="1"/>
  <c r="Z25" i="28" l="1"/>
  <c r="I12" i="31"/>
  <c r="I13" i="25"/>
  <c r="Z27" i="28"/>
  <c r="Y55" i="28"/>
  <c r="Y57" i="28"/>
  <c r="Z23" i="28"/>
  <c r="J20" i="32"/>
  <c r="J23" i="32" s="1"/>
  <c r="J18" i="31"/>
  <c r="J21" i="31" s="1"/>
  <c r="J13" i="25" l="1"/>
  <c r="J15" i="25" s="1"/>
  <c r="I17" i="32"/>
  <c r="I14" i="31"/>
  <c r="J17" i="32"/>
  <c r="I17" i="31"/>
  <c r="I19" i="32"/>
  <c r="AA25" i="28"/>
  <c r="AB25" i="28" s="1"/>
  <c r="AC25" i="28" s="1"/>
  <c r="AD25" i="28" s="1"/>
  <c r="AE25" i="28" s="1"/>
  <c r="AF25" i="28" s="1"/>
  <c r="AG25" i="28" s="1"/>
  <c r="AH25" i="28" s="1"/>
  <c r="AI25" i="28" s="1"/>
  <c r="AJ25" i="28" s="1"/>
  <c r="AK25" i="28" s="1"/>
  <c r="AL25" i="28" s="1"/>
  <c r="AM25" i="28" s="1"/>
  <c r="AN25" i="28" s="1"/>
  <c r="AO25" i="28" s="1"/>
  <c r="AP25" i="28" s="1"/>
  <c r="AQ25" i="28" s="1"/>
  <c r="AR25" i="28" s="1"/>
  <c r="AS25" i="28" s="1"/>
  <c r="AT25" i="28" s="1"/>
  <c r="AU25" i="28" s="1"/>
  <c r="AV25" i="28" s="1"/>
  <c r="AW25" i="28" s="1"/>
  <c r="AX25" i="28" s="1"/>
  <c r="AY25" i="28" s="1"/>
  <c r="AZ25" i="28" s="1"/>
  <c r="BA25" i="28" s="1"/>
  <c r="BB25" i="28" s="1"/>
  <c r="BC25" i="28" s="1"/>
  <c r="BD25" i="28" s="1"/>
  <c r="BE25" i="28" s="1"/>
  <c r="BF25" i="28" s="1"/>
  <c r="BG25" i="28" s="1"/>
  <c r="BH25" i="28" s="1"/>
  <c r="BI25" i="28" s="1"/>
  <c r="BJ25" i="28" s="1"/>
  <c r="BK25" i="28" s="1"/>
  <c r="BL25" i="28" s="1"/>
  <c r="BM25" i="28" s="1"/>
  <c r="BN25" i="28" s="1"/>
  <c r="BO25" i="28" s="1"/>
  <c r="BP25" i="28" s="1"/>
  <c r="BQ25" i="28" s="1"/>
  <c r="BR25" i="28" s="1"/>
  <c r="BS25" i="28" s="1"/>
  <c r="BT25" i="28" s="1"/>
  <c r="BU25" i="28" s="1"/>
  <c r="BV25" i="28" s="1"/>
  <c r="BW25" i="28" s="1"/>
  <c r="BX25" i="28" s="1"/>
  <c r="BY25" i="28" s="1"/>
  <c r="BZ25" i="28" s="1"/>
  <c r="CA25" i="28" s="1"/>
  <c r="CB25" i="28" s="1"/>
  <c r="CC25" i="28" s="1"/>
  <c r="CD25" i="28" s="1"/>
  <c r="CE25" i="28" s="1"/>
  <c r="CF25" i="28" s="1"/>
  <c r="CG25" i="28" s="1"/>
  <c r="CH25" i="28" s="1"/>
  <c r="CI25" i="28" s="1"/>
  <c r="CJ25" i="28" s="1"/>
  <c r="CK25" i="28" s="1"/>
  <c r="CL25" i="28" s="1"/>
  <c r="CM25" i="28" s="1"/>
  <c r="CN25" i="28" s="1"/>
  <c r="CO25" i="28" s="1"/>
  <c r="CP25" i="28" s="1"/>
  <c r="CQ25" i="28" s="1"/>
  <c r="CR25" i="28" s="1"/>
  <c r="CS25" i="28" s="1"/>
  <c r="CT25" i="28" s="1"/>
  <c r="CU25" i="28" s="1"/>
  <c r="CV25" i="28" s="1"/>
  <c r="CW25" i="28" s="1"/>
  <c r="CX25" i="28" s="1"/>
  <c r="CY25" i="28" s="1"/>
  <c r="CZ25" i="28" s="1"/>
  <c r="DA25" i="28" s="1"/>
  <c r="DB25" i="28" s="1"/>
  <c r="DC25" i="28" s="1"/>
  <c r="DD25" i="28" s="1"/>
  <c r="DE25" i="28" s="1"/>
  <c r="DF25" i="28" s="1"/>
  <c r="DG25" i="28" s="1"/>
  <c r="DH25" i="28" s="1"/>
  <c r="J12" i="25"/>
  <c r="Z57" i="28"/>
  <c r="AA27" i="28"/>
  <c r="AB27" i="28" s="1"/>
  <c r="AC27" i="28" s="1"/>
  <c r="AD27" i="28" s="1"/>
  <c r="AE27" i="28" s="1"/>
  <c r="AF27" i="28" s="1"/>
  <c r="AG27" i="28" s="1"/>
  <c r="AH27" i="28" s="1"/>
  <c r="AI27" i="28" s="1"/>
  <c r="AJ27" i="28" s="1"/>
  <c r="AK27" i="28" s="1"/>
  <c r="AL27" i="28" s="1"/>
  <c r="AM27" i="28" s="1"/>
  <c r="AN27" i="28" s="1"/>
  <c r="AO27" i="28" s="1"/>
  <c r="AP27" i="28" s="1"/>
  <c r="AQ27" i="28" s="1"/>
  <c r="AR27" i="28" s="1"/>
  <c r="AS27" i="28" s="1"/>
  <c r="AT27" i="28" s="1"/>
  <c r="AU27" i="28" s="1"/>
  <c r="AV27" i="28" s="1"/>
  <c r="AW27" i="28" s="1"/>
  <c r="AX27" i="28" s="1"/>
  <c r="AY27" i="28" s="1"/>
  <c r="AZ27" i="28" s="1"/>
  <c r="BA27" i="28" s="1"/>
  <c r="BB27" i="28" s="1"/>
  <c r="BC27" i="28" s="1"/>
  <c r="BD27" i="28" s="1"/>
  <c r="BE27" i="28" s="1"/>
  <c r="BF27" i="28" s="1"/>
  <c r="BG27" i="28" s="1"/>
  <c r="BH27" i="28" s="1"/>
  <c r="BI27" i="28" s="1"/>
  <c r="BJ27" i="28" s="1"/>
  <c r="BK27" i="28" s="1"/>
  <c r="BL27" i="28" s="1"/>
  <c r="BM27" i="28" s="1"/>
  <c r="BN27" i="28" s="1"/>
  <c r="BO27" i="28" s="1"/>
  <c r="BP27" i="28" s="1"/>
  <c r="BQ27" i="28" s="1"/>
  <c r="BR27" i="28" s="1"/>
  <c r="BS27" i="28" s="1"/>
  <c r="BT27" i="28" s="1"/>
  <c r="BU27" i="28" s="1"/>
  <c r="BV27" i="28" s="1"/>
  <c r="BW27" i="28" s="1"/>
  <c r="BX27" i="28" s="1"/>
  <c r="BY27" i="28" s="1"/>
  <c r="BZ27" i="28" s="1"/>
  <c r="CA27" i="28" s="1"/>
  <c r="CB27" i="28" s="1"/>
  <c r="CC27" i="28" s="1"/>
  <c r="CD27" i="28" s="1"/>
  <c r="CE27" i="28" s="1"/>
  <c r="CF27" i="28" s="1"/>
  <c r="CG27" i="28" s="1"/>
  <c r="CH27" i="28" s="1"/>
  <c r="CI27" i="28" s="1"/>
  <c r="CJ27" i="28" s="1"/>
  <c r="CK27" i="28" s="1"/>
  <c r="CL27" i="28" s="1"/>
  <c r="CM27" i="28" s="1"/>
  <c r="CN27" i="28" s="1"/>
  <c r="CO27" i="28" s="1"/>
  <c r="CP27" i="28" s="1"/>
  <c r="CQ27" i="28" s="1"/>
  <c r="CR27" i="28" s="1"/>
  <c r="CS27" i="28" s="1"/>
  <c r="CT27" i="28" s="1"/>
  <c r="CU27" i="28" s="1"/>
  <c r="CV27" i="28" s="1"/>
  <c r="CW27" i="28" s="1"/>
  <c r="CX27" i="28" s="1"/>
  <c r="CY27" i="28" s="1"/>
  <c r="CZ27" i="28" s="1"/>
  <c r="DA27" i="28" s="1"/>
  <c r="DB27" i="28" s="1"/>
  <c r="DC27" i="28" s="1"/>
  <c r="DD27" i="28" s="1"/>
  <c r="DE27" i="28" s="1"/>
  <c r="DF27" i="28" s="1"/>
  <c r="DG27" i="28" s="1"/>
  <c r="DH27" i="28" s="1"/>
  <c r="I15" i="25"/>
  <c r="J12" i="31"/>
  <c r="J14" i="31" s="1"/>
  <c r="AA23" i="28"/>
  <c r="AB23" i="28" s="1"/>
  <c r="AC23" i="28" s="1"/>
  <c r="AD23" i="28" s="1"/>
  <c r="AE23" i="28" s="1"/>
  <c r="AF23" i="28" s="1"/>
  <c r="AG23" i="28" s="1"/>
  <c r="AH23" i="28" s="1"/>
  <c r="AI23" i="28" s="1"/>
  <c r="AJ23" i="28" s="1"/>
  <c r="AK23" i="28" s="1"/>
  <c r="AL23" i="28" s="1"/>
  <c r="AM23" i="28" s="1"/>
  <c r="AN23" i="28" s="1"/>
  <c r="AO23" i="28" s="1"/>
  <c r="AP23" i="28" s="1"/>
  <c r="AQ23" i="28" s="1"/>
  <c r="AR23" i="28" s="1"/>
  <c r="AS23" i="28" s="1"/>
  <c r="AT23" i="28" s="1"/>
  <c r="AU23" i="28" s="1"/>
  <c r="AV23" i="28" s="1"/>
  <c r="AW23" i="28" s="1"/>
  <c r="AX23" i="28" s="1"/>
  <c r="AY23" i="28" s="1"/>
  <c r="AZ23" i="28" s="1"/>
  <c r="BA23" i="28" s="1"/>
  <c r="BB23" i="28" s="1"/>
  <c r="BC23" i="28" s="1"/>
  <c r="BD23" i="28" s="1"/>
  <c r="BE23" i="28" s="1"/>
  <c r="BF23" i="28" s="1"/>
  <c r="BG23" i="28" s="1"/>
  <c r="BH23" i="28" s="1"/>
  <c r="BI23" i="28" s="1"/>
  <c r="BJ23" i="28" s="1"/>
  <c r="BK23" i="28" s="1"/>
  <c r="BL23" i="28" s="1"/>
  <c r="BM23" i="28" s="1"/>
  <c r="BN23" i="28" s="1"/>
  <c r="BO23" i="28" s="1"/>
  <c r="BP23" i="28" s="1"/>
  <c r="BQ23" i="28" s="1"/>
  <c r="BR23" i="28" s="1"/>
  <c r="BS23" i="28" s="1"/>
  <c r="BT23" i="28" s="1"/>
  <c r="BU23" i="28" s="1"/>
  <c r="BV23" i="28" s="1"/>
  <c r="BW23" i="28" s="1"/>
  <c r="BX23" i="28" s="1"/>
  <c r="BY23" i="28" s="1"/>
  <c r="BZ23" i="28" s="1"/>
  <c r="CA23" i="28" s="1"/>
  <c r="CB23" i="28" s="1"/>
  <c r="CC23" i="28" s="1"/>
  <c r="CD23" i="28" s="1"/>
  <c r="CE23" i="28" s="1"/>
  <c r="CF23" i="28" s="1"/>
  <c r="CG23" i="28" s="1"/>
  <c r="CH23" i="28" s="1"/>
  <c r="CI23" i="28" s="1"/>
  <c r="CJ23" i="28" s="1"/>
  <c r="CK23" i="28" s="1"/>
  <c r="CL23" i="28" s="1"/>
  <c r="CM23" i="28" s="1"/>
  <c r="CN23" i="28" s="1"/>
  <c r="CO23" i="28" s="1"/>
  <c r="CP23" i="28" s="1"/>
  <c r="CQ23" i="28" s="1"/>
  <c r="CR23" i="28" s="1"/>
  <c r="CS23" i="28" s="1"/>
  <c r="CT23" i="28" s="1"/>
  <c r="CU23" i="28" s="1"/>
  <c r="CV23" i="28" s="1"/>
  <c r="CW23" i="28" s="1"/>
  <c r="CX23" i="28" s="1"/>
  <c r="CY23" i="28" s="1"/>
  <c r="CZ23" i="28" s="1"/>
  <c r="DA23" i="28" s="1"/>
  <c r="DB23" i="28" s="1"/>
  <c r="DC23" i="28" s="1"/>
  <c r="DD23" i="28" s="1"/>
  <c r="DE23" i="28" s="1"/>
  <c r="DF23" i="28" s="1"/>
  <c r="DG23" i="28" s="1"/>
  <c r="DH23" i="28" s="1"/>
  <c r="Y59" i="28"/>
  <c r="K20" i="32"/>
  <c r="K18" i="31"/>
  <c r="K21" i="31" s="1"/>
  <c r="AL31" i="1"/>
  <c r="AL28" i="1"/>
  <c r="L19" i="32" l="1"/>
  <c r="Z59" i="28"/>
  <c r="AA57" i="28"/>
  <c r="AB57" i="28" s="1"/>
  <c r="AC57" i="28" s="1"/>
  <c r="AD57" i="28" s="1"/>
  <c r="AE57" i="28" s="1"/>
  <c r="AF57" i="28" s="1"/>
  <c r="AG57" i="28" s="1"/>
  <c r="AH57" i="28" s="1"/>
  <c r="AI57" i="28" s="1"/>
  <c r="AJ57" i="28" s="1"/>
  <c r="AK57" i="28" s="1"/>
  <c r="AL57" i="28" s="1"/>
  <c r="AM57" i="28" s="1"/>
  <c r="AN57" i="28" s="1"/>
  <c r="AO57" i="28" s="1"/>
  <c r="AP57" i="28" s="1"/>
  <c r="AQ57" i="28" s="1"/>
  <c r="AR57" i="28" s="1"/>
  <c r="AS57" i="28" s="1"/>
  <c r="AT57" i="28" s="1"/>
  <c r="AU57" i="28" s="1"/>
  <c r="AV57" i="28" s="1"/>
  <c r="AW57" i="28" s="1"/>
  <c r="AX57" i="28" s="1"/>
  <c r="AY57" i="28" s="1"/>
  <c r="AZ57" i="28" s="1"/>
  <c r="BA57" i="28" s="1"/>
  <c r="BB57" i="28" s="1"/>
  <c r="BC57" i="28" s="1"/>
  <c r="BD57" i="28" s="1"/>
  <c r="BE57" i="28" s="1"/>
  <c r="BF57" i="28" s="1"/>
  <c r="BG57" i="28" s="1"/>
  <c r="BH57" i="28" s="1"/>
  <c r="BI57" i="28" s="1"/>
  <c r="BJ57" i="28" s="1"/>
  <c r="BK57" i="28" s="1"/>
  <c r="BL57" i="28" s="1"/>
  <c r="BM57" i="28" s="1"/>
  <c r="BN57" i="28" s="1"/>
  <c r="BO57" i="28" s="1"/>
  <c r="BP57" i="28" s="1"/>
  <c r="BQ57" i="28" s="1"/>
  <c r="BR57" i="28" s="1"/>
  <c r="BS57" i="28" s="1"/>
  <c r="BT57" i="28" s="1"/>
  <c r="BU57" i="28" s="1"/>
  <c r="BV57" i="28" s="1"/>
  <c r="BW57" i="28" s="1"/>
  <c r="BX57" i="28" s="1"/>
  <c r="BY57" i="28" s="1"/>
  <c r="BZ57" i="28" s="1"/>
  <c r="CA57" i="28" s="1"/>
  <c r="CB57" i="28" s="1"/>
  <c r="CC57" i="28" s="1"/>
  <c r="CD57" i="28" s="1"/>
  <c r="CE57" i="28" s="1"/>
  <c r="CF57" i="28" s="1"/>
  <c r="CG57" i="28" s="1"/>
  <c r="CH57" i="28" s="1"/>
  <c r="CI57" i="28" s="1"/>
  <c r="CJ57" i="28" s="1"/>
  <c r="CK57" i="28" s="1"/>
  <c r="CL57" i="28" s="1"/>
  <c r="CM57" i="28" s="1"/>
  <c r="CN57" i="28" s="1"/>
  <c r="CO57" i="28" s="1"/>
  <c r="CP57" i="28" s="1"/>
  <c r="CQ57" i="28" s="1"/>
  <c r="CR57" i="28" s="1"/>
  <c r="CS57" i="28" s="1"/>
  <c r="CT57" i="28" s="1"/>
  <c r="CU57" i="28" s="1"/>
  <c r="CV57" i="28" s="1"/>
  <c r="AA59" i="28"/>
  <c r="AB59" i="28" s="1"/>
  <c r="AC59" i="28" s="1"/>
  <c r="AD59" i="28" s="1"/>
  <c r="AE59" i="28" s="1"/>
  <c r="AF59" i="28" s="1"/>
  <c r="AG59" i="28" s="1"/>
  <c r="AH59" i="28" s="1"/>
  <c r="AI59" i="28" s="1"/>
  <c r="AJ59" i="28" s="1"/>
  <c r="AK59" i="28" s="1"/>
  <c r="AL59" i="28" s="1"/>
  <c r="AM59" i="28" s="1"/>
  <c r="AN59" i="28" s="1"/>
  <c r="AO59" i="28" s="1"/>
  <c r="AP59" i="28" s="1"/>
  <c r="AQ59" i="28" s="1"/>
  <c r="AR59" i="28" s="1"/>
  <c r="AS59" i="28" s="1"/>
  <c r="AT59" i="28" s="1"/>
  <c r="AU59" i="28" s="1"/>
  <c r="AV59" i="28" s="1"/>
  <c r="AW59" i="28" s="1"/>
  <c r="AX59" i="28" s="1"/>
  <c r="AY59" i="28" s="1"/>
  <c r="AZ59" i="28" s="1"/>
  <c r="BA59" i="28" s="1"/>
  <c r="BB59" i="28" s="1"/>
  <c r="BC59" i="28" s="1"/>
  <c r="BD59" i="28" s="1"/>
  <c r="BE59" i="28" s="1"/>
  <c r="BF59" i="28" s="1"/>
  <c r="BG59" i="28" s="1"/>
  <c r="BH59" i="28" s="1"/>
  <c r="BI59" i="28" s="1"/>
  <c r="BJ59" i="28" s="1"/>
  <c r="BK59" i="28" s="1"/>
  <c r="BL59" i="28" s="1"/>
  <c r="BM59" i="28" s="1"/>
  <c r="BN59" i="28" s="1"/>
  <c r="BO59" i="28" s="1"/>
  <c r="BP59" i="28" s="1"/>
  <c r="BQ59" i="28" s="1"/>
  <c r="BR59" i="28" s="1"/>
  <c r="BS59" i="28" s="1"/>
  <c r="BT59" i="28" s="1"/>
  <c r="BU59" i="28" s="1"/>
  <c r="BV59" i="28" s="1"/>
  <c r="BW59" i="28" s="1"/>
  <c r="BX59" i="28" s="1"/>
  <c r="BY59" i="28" s="1"/>
  <c r="BZ59" i="28" s="1"/>
  <c r="CA59" i="28" s="1"/>
  <c r="CB59" i="28" s="1"/>
  <c r="CC59" i="28" s="1"/>
  <c r="CD59" i="28" s="1"/>
  <c r="CE59" i="28" s="1"/>
  <c r="CF59" i="28" s="1"/>
  <c r="CG59" i="28" s="1"/>
  <c r="CH59" i="28" s="1"/>
  <c r="CI59" i="28" s="1"/>
  <c r="CJ59" i="28" s="1"/>
  <c r="CK59" i="28" s="1"/>
  <c r="CL59" i="28" s="1"/>
  <c r="CM59" i="28" s="1"/>
  <c r="CN59" i="28" s="1"/>
  <c r="CO59" i="28" s="1"/>
  <c r="CP59" i="28" s="1"/>
  <c r="CQ59" i="28" s="1"/>
  <c r="CR59" i="28" s="1"/>
  <c r="CS59" i="28" s="1"/>
  <c r="CT59" i="28" s="1"/>
  <c r="CU59" i="28" s="1"/>
  <c r="CV59" i="28" s="1"/>
  <c r="CW59" i="28" s="1"/>
  <c r="CX59" i="28" s="1"/>
  <c r="CY59" i="28" s="1"/>
  <c r="CZ59" i="28" s="1"/>
  <c r="DA59" i="28" s="1"/>
  <c r="DB59" i="28" s="1"/>
  <c r="DC59" i="28" s="1"/>
  <c r="DD59" i="28" s="1"/>
  <c r="DE59" i="28" s="1"/>
  <c r="DF59" i="28" s="1"/>
  <c r="DG59" i="28" s="1"/>
  <c r="DH59" i="28" s="1"/>
  <c r="J14" i="25"/>
  <c r="J19" i="32"/>
  <c r="J17" i="31"/>
  <c r="K17" i="32"/>
  <c r="Z55" i="28"/>
  <c r="L20" i="32"/>
  <c r="L23" i="32" s="1"/>
  <c r="L18" i="31"/>
  <c r="L21" i="31" s="1"/>
  <c r="AM31" i="1"/>
  <c r="AL25" i="1"/>
  <c r="AM28" i="1"/>
  <c r="H19" i="37" l="1"/>
  <c r="L12" i="32"/>
  <c r="L14" i="32" s="1"/>
  <c r="L17" i="31"/>
  <c r="L17" i="32"/>
  <c r="K17" i="31"/>
  <c r="K19" i="32"/>
  <c r="K12" i="31"/>
  <c r="K13" i="25"/>
  <c r="K12" i="25"/>
  <c r="AA55" i="28"/>
  <c r="AB55" i="28" s="1"/>
  <c r="AC55" i="28" s="1"/>
  <c r="AD55" i="28" s="1"/>
  <c r="AE55" i="28" s="1"/>
  <c r="AF55" i="28" s="1"/>
  <c r="AG55" i="28" s="1"/>
  <c r="AH55" i="28" s="1"/>
  <c r="AI55" i="28" s="1"/>
  <c r="AJ55" i="28" s="1"/>
  <c r="AK55" i="28" s="1"/>
  <c r="AL55" i="28" s="1"/>
  <c r="AM55" i="28" s="1"/>
  <c r="AN55" i="28" s="1"/>
  <c r="AO55" i="28" s="1"/>
  <c r="AP55" i="28" s="1"/>
  <c r="AQ55" i="28" s="1"/>
  <c r="AR55" i="28" s="1"/>
  <c r="AS55" i="28" s="1"/>
  <c r="AT55" i="28" s="1"/>
  <c r="AU55" i="28" s="1"/>
  <c r="AV55" i="28" s="1"/>
  <c r="AW55" i="28" s="1"/>
  <c r="AX55" i="28" s="1"/>
  <c r="AY55" i="28" s="1"/>
  <c r="AZ55" i="28" s="1"/>
  <c r="BA55" i="28" s="1"/>
  <c r="BB55" i="28" s="1"/>
  <c r="BC55" i="28" s="1"/>
  <c r="BD55" i="28" s="1"/>
  <c r="BE55" i="28" s="1"/>
  <c r="BF55" i="28" s="1"/>
  <c r="BG55" i="28" s="1"/>
  <c r="BH55" i="28" s="1"/>
  <c r="BI55" i="28" s="1"/>
  <c r="BJ55" i="28" s="1"/>
  <c r="BK55" i="28" s="1"/>
  <c r="BL55" i="28" s="1"/>
  <c r="BM55" i="28" s="1"/>
  <c r="BN55" i="28" s="1"/>
  <c r="BO55" i="28" s="1"/>
  <c r="BP55" i="28" s="1"/>
  <c r="BQ55" i="28" s="1"/>
  <c r="BR55" i="28" s="1"/>
  <c r="BS55" i="28" s="1"/>
  <c r="BT55" i="28" s="1"/>
  <c r="BU55" i="28" s="1"/>
  <c r="BV55" i="28" s="1"/>
  <c r="BW55" i="28" s="1"/>
  <c r="BX55" i="28" s="1"/>
  <c r="BY55" i="28" s="1"/>
  <c r="BZ55" i="28" s="1"/>
  <c r="CA55" i="28" s="1"/>
  <c r="CB55" i="28" s="1"/>
  <c r="CC55" i="28" s="1"/>
  <c r="CD55" i="28" s="1"/>
  <c r="CE55" i="28" s="1"/>
  <c r="CF55" i="28" s="1"/>
  <c r="CG55" i="28" s="1"/>
  <c r="CH55" i="28" s="1"/>
  <c r="CI55" i="28" s="1"/>
  <c r="CJ55" i="28" s="1"/>
  <c r="CK55" i="28" s="1"/>
  <c r="CL55" i="28" s="1"/>
  <c r="CM55" i="28" s="1"/>
  <c r="CN55" i="28" s="1"/>
  <c r="CO55" i="28" s="1"/>
  <c r="CP55" i="28" s="1"/>
  <c r="CQ55" i="28" s="1"/>
  <c r="CR55" i="28" s="1"/>
  <c r="CS55" i="28" s="1"/>
  <c r="CT55" i="28" s="1"/>
  <c r="CU55" i="28" s="1"/>
  <c r="CV55" i="28" s="1"/>
  <c r="CW55" i="28" s="1"/>
  <c r="CX55" i="28" s="1"/>
  <c r="CY55" i="28" s="1"/>
  <c r="CZ55" i="28" s="1"/>
  <c r="DA55" i="28" s="1"/>
  <c r="DB55" i="28" s="1"/>
  <c r="DC55" i="28" s="1"/>
  <c r="DD55" i="28" s="1"/>
  <c r="DE55" i="28" s="1"/>
  <c r="DF55" i="28" s="1"/>
  <c r="DG55" i="28" s="1"/>
  <c r="DH55" i="28" s="1"/>
  <c r="AM22" i="1"/>
  <c r="M20" i="32"/>
  <c r="M23" i="32" s="1"/>
  <c r="M18" i="31"/>
  <c r="M21" i="31" s="1"/>
  <c r="AM25" i="1"/>
  <c r="AN28" i="1"/>
  <c r="H20" i="37" l="1"/>
  <c r="H22" i="37" s="1"/>
  <c r="K19" i="37"/>
  <c r="K20" i="37" s="1"/>
  <c r="K22" i="37" s="1"/>
  <c r="I19" i="37"/>
  <c r="I20" i="37" s="1"/>
  <c r="E15" i="5"/>
  <c r="E19" i="5" s="1"/>
  <c r="AL6" i="1"/>
  <c r="AL8" i="1" s="1"/>
  <c r="M12" i="25" s="1"/>
  <c r="M14" i="25" s="1"/>
  <c r="AL24" i="1"/>
  <c r="AL22" i="1"/>
  <c r="M17" i="32" s="1"/>
  <c r="K14" i="25"/>
  <c r="M12" i="31"/>
  <c r="M14" i="31" s="1"/>
  <c r="M13" i="25"/>
  <c r="M15" i="25" s="1"/>
  <c r="L12" i="31"/>
  <c r="L14" i="31" s="1"/>
  <c r="L13" i="25"/>
  <c r="L15" i="25" s="1"/>
  <c r="K15" i="25"/>
  <c r="L12" i="25"/>
  <c r="L14" i="25" s="1"/>
  <c r="K14" i="31"/>
  <c r="N20" i="32"/>
  <c r="N18" i="31"/>
  <c r="AN25" i="1"/>
  <c r="AO31" i="1"/>
  <c r="AO28" i="1"/>
  <c r="AO22" i="1" s="1"/>
  <c r="D16" i="34" s="1"/>
  <c r="N17" i="32"/>
  <c r="K24" i="37" l="1"/>
  <c r="K30" i="37"/>
  <c r="I24" i="37"/>
  <c r="H30" i="37"/>
  <c r="I22" i="37"/>
  <c r="AL9" i="1"/>
  <c r="AL105" i="1" s="1"/>
  <c r="AL167" i="1" s="1"/>
  <c r="E24" i="5"/>
  <c r="M17" i="31"/>
  <c r="P17" i="31" s="1"/>
  <c r="M19" i="32"/>
  <c r="P19" i="32" s="1"/>
  <c r="P13" i="25"/>
  <c r="P15" i="25" s="1"/>
  <c r="P12" i="31"/>
  <c r="P14" i="31" s="1"/>
  <c r="P12" i="25"/>
  <c r="P14" i="25" s="1"/>
  <c r="C19" i="34"/>
  <c r="C22" i="34" s="1"/>
  <c r="P18" i="31"/>
  <c r="P21" i="31" s="1"/>
  <c r="N21" i="31"/>
  <c r="P20" i="32"/>
  <c r="P23" i="32" s="1"/>
  <c r="N23" i="32"/>
  <c r="P17" i="32"/>
  <c r="AO25" i="1"/>
  <c r="AP31" i="1"/>
  <c r="AP28" i="1"/>
  <c r="AP22" i="1" s="1"/>
  <c r="E16" i="34" s="1"/>
  <c r="I30" i="37" l="1"/>
  <c r="H34" i="37"/>
  <c r="H31" i="37"/>
  <c r="I31" i="37" s="1"/>
  <c r="K34" i="37"/>
  <c r="K35" i="37" s="1"/>
  <c r="K31" i="37"/>
  <c r="AM167" i="1"/>
  <c r="D19" i="34"/>
  <c r="D22" i="34" s="1"/>
  <c r="AP25" i="1"/>
  <c r="AQ31" i="1"/>
  <c r="AQ28" i="1"/>
  <c r="AQ22" i="1" s="1"/>
  <c r="F16" i="34" s="1"/>
  <c r="I34" i="37" l="1"/>
  <c r="H35" i="37"/>
  <c r="I35" i="37" s="1"/>
  <c r="E19" i="34"/>
  <c r="E22" i="34" s="1"/>
  <c r="AQ25" i="1"/>
  <c r="AR31" i="1"/>
  <c r="AR28" i="1"/>
  <c r="AR22" i="1" s="1"/>
  <c r="G16" i="34" s="1"/>
  <c r="F19" i="34" l="1"/>
  <c r="F22" i="34" s="1"/>
  <c r="AR25" i="1"/>
  <c r="AS31" i="1"/>
  <c r="AS28" i="1"/>
  <c r="AS22" i="1" s="1"/>
  <c r="H16" i="34" s="1"/>
  <c r="G19" i="34" l="1"/>
  <c r="G22" i="34" s="1"/>
  <c r="AS25" i="1"/>
  <c r="AT31" i="1"/>
  <c r="AT28" i="1"/>
  <c r="H19" i="34" l="1"/>
  <c r="H22" i="34" s="1"/>
  <c r="AU31" i="1"/>
  <c r="AT25" i="1"/>
  <c r="AU28" i="1"/>
  <c r="I19" i="34" l="1"/>
  <c r="I22" i="34" s="1"/>
  <c r="AU25" i="1"/>
  <c r="AV31" i="1"/>
  <c r="AV28" i="1"/>
  <c r="J19" i="34" l="1"/>
  <c r="J22" i="34" s="1"/>
  <c r="AV25" i="1"/>
  <c r="AW31" i="1"/>
  <c r="AW28" i="1"/>
  <c r="K19" i="34" l="1"/>
  <c r="K22" i="34" s="1"/>
  <c r="AX31" i="1"/>
  <c r="AW25" i="1"/>
  <c r="AX28" i="1"/>
  <c r="L19" i="34" l="1"/>
  <c r="L22" i="34" s="1"/>
  <c r="AX25" i="1"/>
  <c r="AY31" i="1"/>
  <c r="AY28" i="1"/>
  <c r="M19" i="34" l="1"/>
  <c r="M22" i="34" s="1"/>
  <c r="AY25" i="1"/>
  <c r="AZ28" i="1"/>
  <c r="N19" i="34" l="1"/>
  <c r="N22" i="34" s="1"/>
  <c r="AZ25" i="1"/>
  <c r="BA31" i="1"/>
  <c r="BA28" i="1"/>
  <c r="P19" i="34" l="1"/>
  <c r="P22" i="34" s="1"/>
  <c r="BA25" i="1"/>
  <c r="BB31" i="1"/>
  <c r="BB28" i="1"/>
  <c r="BC31" i="1" l="1"/>
  <c r="BB25" i="1"/>
  <c r="BC28" i="1"/>
  <c r="BC25" i="1" l="1"/>
  <c r="BD31" i="1"/>
  <c r="BD28" i="1"/>
  <c r="BD25" i="1" l="1"/>
  <c r="BE31" i="1"/>
  <c r="BE28" i="1"/>
  <c r="BE25" i="1" l="1"/>
  <c r="BF31" i="1"/>
  <c r="BF28" i="1"/>
  <c r="BG31" i="1" l="1"/>
  <c r="BF25" i="1"/>
  <c r="BG28" i="1"/>
  <c r="BG25" i="1" l="1"/>
  <c r="BH31" i="1"/>
  <c r="BH28" i="1"/>
  <c r="BH25" i="1" l="1"/>
  <c r="BI31" i="1"/>
  <c r="BI28" i="1"/>
  <c r="BI25" i="1" l="1"/>
  <c r="BJ31" i="1"/>
  <c r="BJ28" i="1"/>
  <c r="BK31" i="1" l="1"/>
  <c r="BJ25" i="1"/>
  <c r="BK28" i="1"/>
  <c r="BK25" i="1" l="1"/>
  <c r="BL28" i="1"/>
  <c r="BL25" i="1" l="1"/>
  <c r="BM31" i="1"/>
  <c r="BM28" i="1"/>
  <c r="BN31" i="1" l="1"/>
  <c r="BM25" i="1"/>
  <c r="BN28" i="1"/>
  <c r="BN22" i="1" s="1"/>
  <c r="BN25" i="1" l="1"/>
  <c r="BO31" i="1"/>
  <c r="BO28" i="1"/>
  <c r="BO22" i="1" s="1"/>
  <c r="BO25" i="1" l="1"/>
  <c r="BP31" i="1"/>
  <c r="BP28" i="1"/>
  <c r="BP22" i="1" s="1"/>
  <c r="BP25" i="1" l="1"/>
  <c r="BQ31" i="1"/>
  <c r="BQ28" i="1"/>
  <c r="BQ22" i="1" s="1"/>
  <c r="BQ25" i="1" l="1"/>
  <c r="BR31" i="1"/>
  <c r="BR28" i="1"/>
  <c r="BR22" i="1" s="1"/>
  <c r="BS31" i="1" l="1"/>
  <c r="BR25" i="1"/>
  <c r="BS28" i="1"/>
  <c r="BS25" i="1" l="1"/>
  <c r="BT31" i="1"/>
  <c r="BT28" i="1"/>
  <c r="BT25" i="1" l="1"/>
  <c r="BU31" i="1"/>
  <c r="BU28" i="1"/>
  <c r="BU25" i="1" l="1"/>
  <c r="BV31" i="1"/>
  <c r="BV28" i="1"/>
  <c r="BV25" i="1" l="1"/>
  <c r="BW31" i="1"/>
  <c r="BW28" i="1"/>
  <c r="BW25" i="1" l="1"/>
  <c r="BX31" i="1"/>
  <c r="BX28" i="1"/>
  <c r="BX25" i="1" l="1"/>
  <c r="BY31" i="1"/>
  <c r="BY28" i="1"/>
  <c r="BY22" i="1" s="1"/>
  <c r="BY25" i="1" l="1"/>
  <c r="BZ31" i="1"/>
  <c r="BZ28" i="1"/>
  <c r="CA31" i="1" l="1"/>
  <c r="BZ25" i="1"/>
  <c r="CA28" i="1"/>
  <c r="CA22" i="1" s="1"/>
  <c r="CA25" i="1" l="1"/>
  <c r="CB31" i="1"/>
  <c r="CB28" i="1"/>
  <c r="CB22" i="1" s="1"/>
  <c r="CB25" i="1" l="1"/>
  <c r="CC31" i="1"/>
  <c r="CC28" i="1"/>
  <c r="CC22" i="1" s="1"/>
  <c r="CD31" i="1" l="1"/>
  <c r="CC25" i="1"/>
  <c r="CD28" i="1"/>
  <c r="CD22" i="1" s="1"/>
  <c r="CD25" i="1" l="1"/>
  <c r="CE31" i="1"/>
  <c r="CE28" i="1"/>
  <c r="CE22" i="1" s="1"/>
  <c r="CE25" i="1" l="1"/>
  <c r="CF31" i="1"/>
  <c r="CF28" i="1"/>
  <c r="CF25" i="1" l="1"/>
  <c r="CG31" i="1"/>
  <c r="CG28" i="1"/>
  <c r="CG25" i="1" l="1"/>
  <c r="CH31" i="1"/>
  <c r="CH28" i="1"/>
  <c r="CI31" i="1" l="1"/>
  <c r="CH25" i="1"/>
  <c r="CI28" i="1"/>
  <c r="CI25" i="1" l="1"/>
  <c r="CJ31" i="1"/>
  <c r="CJ28" i="1"/>
  <c r="CJ22" i="1" s="1"/>
  <c r="CJ25" i="1" l="1"/>
  <c r="CK31" i="1"/>
  <c r="CK28" i="1"/>
  <c r="CK22" i="1" s="1"/>
  <c r="CK25" i="1" l="1"/>
  <c r="CL31" i="1"/>
  <c r="CL28" i="1"/>
  <c r="CL25" i="1" l="1"/>
  <c r="CM31" i="1"/>
  <c r="CM28" i="1"/>
  <c r="CM22" i="1" s="1"/>
  <c r="CM25" i="1" l="1"/>
  <c r="CN31" i="1"/>
  <c r="CN28" i="1"/>
  <c r="CN22" i="1" s="1"/>
  <c r="CN25" i="1" l="1"/>
  <c r="CO31" i="1"/>
  <c r="CO28" i="1"/>
  <c r="CO22" i="1" s="1"/>
  <c r="CO25" i="1" l="1"/>
  <c r="CP31" i="1"/>
  <c r="CP28" i="1"/>
  <c r="CP22" i="1" s="1"/>
  <c r="CQ31" i="1" l="1"/>
  <c r="CP25" i="1"/>
  <c r="CQ28" i="1"/>
  <c r="CQ22" i="1" s="1"/>
  <c r="CQ25" i="1" l="1"/>
  <c r="CR31" i="1"/>
  <c r="CR28" i="1"/>
  <c r="CR25" i="1" l="1"/>
  <c r="CS31" i="1"/>
  <c r="CS28" i="1"/>
  <c r="CS25" i="1" l="1"/>
  <c r="CT31" i="1"/>
  <c r="CT28" i="1"/>
  <c r="CU31" i="1" l="1"/>
  <c r="CT25" i="1"/>
  <c r="CU28" i="1"/>
  <c r="CU25" i="1" l="1"/>
  <c r="CV31" i="1"/>
  <c r="CV28" i="1"/>
  <c r="CV22" i="1" s="1"/>
  <c r="CV25" i="1" l="1"/>
  <c r="CW31" i="1"/>
  <c r="CW28" i="1"/>
  <c r="CW22" i="1" s="1"/>
  <c r="CW25" i="1" l="1"/>
  <c r="CX31" i="1"/>
  <c r="CX28" i="1"/>
  <c r="CX22" i="1" s="1"/>
  <c r="CY31" i="1" l="1"/>
  <c r="CX25" i="1"/>
  <c r="CY28" i="1"/>
  <c r="CY25" i="1" l="1"/>
  <c r="CZ31" i="1"/>
  <c r="CZ28" i="1"/>
  <c r="CZ22" i="1" s="1"/>
  <c r="CZ25" i="1" l="1"/>
  <c r="DA31" i="1"/>
  <c r="DA28" i="1"/>
  <c r="DA22" i="1" s="1"/>
  <c r="DB31" i="1" l="1"/>
  <c r="DA25" i="1"/>
  <c r="DB28" i="1"/>
  <c r="DB22" i="1" s="1"/>
  <c r="DB25" i="1" l="1"/>
  <c r="DC31" i="1"/>
  <c r="DC28" i="1"/>
  <c r="DC22" i="1" s="1"/>
  <c r="DC25" i="1" l="1"/>
  <c r="DD31" i="1"/>
  <c r="DD28" i="1"/>
  <c r="DD22" i="1" s="1"/>
  <c r="DD25" i="1" l="1"/>
  <c r="DE31" i="1"/>
  <c r="DE28" i="1"/>
  <c r="DE25" i="1" l="1"/>
  <c r="DF31" i="1"/>
  <c r="DF28" i="1"/>
  <c r="DG31" i="1" l="1"/>
  <c r="DG25" i="1" s="1"/>
  <c r="DF25" i="1"/>
  <c r="DG28" i="1"/>
  <c r="G18" i="32"/>
  <c r="G22" i="32" s="1"/>
  <c r="E25" i="5" l="1"/>
  <c r="F25" i="5"/>
  <c r="G25" i="5"/>
  <c r="H25" i="5"/>
  <c r="I25" i="5"/>
  <c r="J25" i="5"/>
  <c r="K25" i="5"/>
  <c r="G21" i="32"/>
  <c r="G29" i="32" s="1"/>
  <c r="J31" i="5" l="1"/>
  <c r="I31" i="5"/>
  <c r="H31" i="5"/>
  <c r="F31" i="5"/>
  <c r="G31" i="5"/>
  <c r="K31" i="5"/>
  <c r="E31" i="5"/>
  <c r="H16" i="31"/>
  <c r="G17" i="25"/>
  <c r="G18" i="25" s="1"/>
  <c r="G33" i="32"/>
  <c r="G34" i="32" s="1"/>
  <c r="G30" i="32"/>
  <c r="H18" i="32"/>
  <c r="I18" i="32"/>
  <c r="J16" i="31" l="1"/>
  <c r="J19" i="31" s="1"/>
  <c r="I16" i="31"/>
  <c r="I19" i="31" s="1"/>
  <c r="H19" i="31"/>
  <c r="H20" i="31"/>
  <c r="G19" i="25"/>
  <c r="G27" i="25" s="1"/>
  <c r="J18" i="32"/>
  <c r="G27" i="31"/>
  <c r="G26" i="25"/>
  <c r="G20" i="25"/>
  <c r="J20" i="31" l="1"/>
  <c r="I20" i="31"/>
  <c r="K16" i="31"/>
  <c r="K19" i="31" s="1"/>
  <c r="G36" i="31"/>
  <c r="G39" i="25"/>
  <c r="G38" i="32"/>
  <c r="G21" i="25"/>
  <c r="I17" i="25"/>
  <c r="AL29" i="1"/>
  <c r="G31" i="31"/>
  <c r="G32" i="31" s="1"/>
  <c r="G28" i="31"/>
  <c r="K18" i="32"/>
  <c r="G29" i="25"/>
  <c r="G33" i="25"/>
  <c r="G35" i="25" s="1"/>
  <c r="G32" i="25"/>
  <c r="G34" i="25" s="1"/>
  <c r="G28" i="25"/>
  <c r="H17" i="25"/>
  <c r="K20" i="31" l="1"/>
  <c r="L16" i="31"/>
  <c r="L19" i="31" s="1"/>
  <c r="G38" i="25"/>
  <c r="AG178" i="1"/>
  <c r="AG179" i="1" s="1"/>
  <c r="G35" i="31"/>
  <c r="G37" i="32"/>
  <c r="AL23" i="1"/>
  <c r="H19" i="25"/>
  <c r="H18" i="25"/>
  <c r="I18" i="25"/>
  <c r="I19" i="25"/>
  <c r="L18" i="32"/>
  <c r="J17" i="25"/>
  <c r="AM29" i="1"/>
  <c r="AG180" i="1" l="1"/>
  <c r="AH178" i="1"/>
  <c r="AH179" i="1" s="1"/>
  <c r="AI178" i="1" s="1"/>
  <c r="AI179" i="1" s="1"/>
  <c r="AI180" i="1" s="1"/>
  <c r="L20" i="31"/>
  <c r="M16" i="31"/>
  <c r="M19" i="31" s="1"/>
  <c r="AL26" i="1"/>
  <c r="G40" i="32"/>
  <c r="G39" i="32"/>
  <c r="L21" i="32"/>
  <c r="L29" i="32" s="1"/>
  <c r="L22" i="32"/>
  <c r="AM23" i="1"/>
  <c r="I27" i="31"/>
  <c r="J18" i="25"/>
  <c r="J19" i="25"/>
  <c r="I27" i="25"/>
  <c r="I21" i="25"/>
  <c r="I20" i="25"/>
  <c r="I26" i="25"/>
  <c r="K17" i="25"/>
  <c r="H27" i="25"/>
  <c r="H21" i="25"/>
  <c r="H20" i="25"/>
  <c r="H26" i="25"/>
  <c r="M18" i="32"/>
  <c r="AN29" i="1"/>
  <c r="H27" i="31"/>
  <c r="AL82" i="1" l="1"/>
  <c r="AL115" i="1"/>
  <c r="AL116" i="1" s="1"/>
  <c r="M20" i="31"/>
  <c r="N16" i="31"/>
  <c r="N20" i="31" s="1"/>
  <c r="AM26" i="1"/>
  <c r="J20" i="25"/>
  <c r="J26" i="25"/>
  <c r="K18" i="25"/>
  <c r="K19" i="25"/>
  <c r="L33" i="32"/>
  <c r="L34" i="32" s="1"/>
  <c r="L30" i="32"/>
  <c r="H33" i="25"/>
  <c r="H35" i="25" s="1"/>
  <c r="H29" i="25"/>
  <c r="J27" i="25"/>
  <c r="J21" i="25"/>
  <c r="H39" i="25"/>
  <c r="H36" i="31"/>
  <c r="H38" i="32"/>
  <c r="H28" i="31"/>
  <c r="H31" i="31"/>
  <c r="H32" i="31" s="1"/>
  <c r="I28" i="25"/>
  <c r="I32" i="25"/>
  <c r="I34" i="25" s="1"/>
  <c r="H28" i="25"/>
  <c r="H32" i="25"/>
  <c r="H34" i="25" s="1"/>
  <c r="I31" i="31"/>
  <c r="I32" i="31" s="1"/>
  <c r="I28" i="31"/>
  <c r="L17" i="25"/>
  <c r="N18" i="32"/>
  <c r="J27" i="31"/>
  <c r="AL27" i="1"/>
  <c r="AO29" i="1"/>
  <c r="AO23" i="1" s="1"/>
  <c r="I29" i="25"/>
  <c r="I33" i="25"/>
  <c r="I35" i="25" s="1"/>
  <c r="AM82" i="1" l="1"/>
  <c r="AM115" i="1"/>
  <c r="AM116" i="1" s="1"/>
  <c r="P16" i="31"/>
  <c r="N19" i="31"/>
  <c r="D17" i="34"/>
  <c r="AO26" i="1"/>
  <c r="AL33" i="1"/>
  <c r="AL79" i="1" s="1"/>
  <c r="P18" i="32"/>
  <c r="K26" i="25"/>
  <c r="K20" i="25"/>
  <c r="J29" i="25"/>
  <c r="J33" i="25"/>
  <c r="J35" i="25" s="1"/>
  <c r="AP29" i="1"/>
  <c r="AP23" i="1" s="1"/>
  <c r="AM27" i="1"/>
  <c r="H37" i="32"/>
  <c r="H38" i="25"/>
  <c r="H35" i="31"/>
  <c r="J28" i="25"/>
  <c r="J32" i="25"/>
  <c r="J34" i="25" s="1"/>
  <c r="M17" i="25"/>
  <c r="L18" i="25"/>
  <c r="L19" i="25"/>
  <c r="K21" i="25"/>
  <c r="K27" i="25"/>
  <c r="J31" i="31"/>
  <c r="J32" i="31" s="1"/>
  <c r="J28" i="31"/>
  <c r="K27" i="31"/>
  <c r="AK159" i="1" l="1"/>
  <c r="AK160" i="1" s="1"/>
  <c r="AK161" i="1" s="1"/>
  <c r="AO82" i="1"/>
  <c r="AO115" i="1"/>
  <c r="AO116" i="1" s="1"/>
  <c r="E17" i="34"/>
  <c r="AP26" i="1"/>
  <c r="H39" i="32"/>
  <c r="H40" i="32"/>
  <c r="AM33" i="1"/>
  <c r="AM79" i="1" s="1"/>
  <c r="L27" i="31"/>
  <c r="AK166" i="1"/>
  <c r="N17" i="25"/>
  <c r="K33" i="25"/>
  <c r="K35" i="25" s="1"/>
  <c r="K29" i="25"/>
  <c r="AL89" i="1"/>
  <c r="AO27" i="1"/>
  <c r="M19" i="25"/>
  <c r="M18" i="25"/>
  <c r="AQ29" i="1"/>
  <c r="AQ23" i="1" s="1"/>
  <c r="K32" i="25"/>
  <c r="K34" i="25" s="1"/>
  <c r="K28" i="25"/>
  <c r="L27" i="25"/>
  <c r="L21" i="25"/>
  <c r="L26" i="25"/>
  <c r="L20" i="25"/>
  <c r="K31" i="31"/>
  <c r="K32" i="31" s="1"/>
  <c r="K28" i="31"/>
  <c r="AP82" i="1" l="1"/>
  <c r="AP115" i="1"/>
  <c r="AP116" i="1" s="1"/>
  <c r="F17" i="34"/>
  <c r="AQ26" i="1"/>
  <c r="AO33" i="1"/>
  <c r="AO79" i="1" s="1"/>
  <c r="L33" i="25"/>
  <c r="L35" i="25" s="1"/>
  <c r="L29" i="25"/>
  <c r="AL166" i="1"/>
  <c r="M21" i="25"/>
  <c r="M27" i="25"/>
  <c r="AM89" i="1"/>
  <c r="M27" i="31"/>
  <c r="AR29" i="1"/>
  <c r="AR23" i="1" s="1"/>
  <c r="N19" i="25"/>
  <c r="N18" i="25"/>
  <c r="P17" i="25"/>
  <c r="AP27" i="1"/>
  <c r="L32" i="25"/>
  <c r="L34" i="25" s="1"/>
  <c r="L28" i="25"/>
  <c r="M26" i="25"/>
  <c r="M20" i="25"/>
  <c r="L31" i="31"/>
  <c r="L32" i="31" s="1"/>
  <c r="L28" i="31"/>
  <c r="AQ82" i="1" l="1"/>
  <c r="AQ115" i="1"/>
  <c r="AQ116" i="1" s="1"/>
  <c r="G17" i="34"/>
  <c r="AR26" i="1"/>
  <c r="AO89" i="1"/>
  <c r="AO166" i="1" s="1"/>
  <c r="AP33" i="1"/>
  <c r="AP79" i="1" s="1"/>
  <c r="AL159" i="1"/>
  <c r="AL160" i="1" s="1"/>
  <c r="P19" i="31"/>
  <c r="P27" i="31" s="1"/>
  <c r="P20" i="31"/>
  <c r="M33" i="25"/>
  <c r="M35" i="25" s="1"/>
  <c r="M29" i="25"/>
  <c r="AQ27" i="1"/>
  <c r="AM166" i="1"/>
  <c r="P18" i="25"/>
  <c r="P19" i="25"/>
  <c r="N27" i="31"/>
  <c r="AS29" i="1"/>
  <c r="AS23" i="1" s="1"/>
  <c r="M28" i="25"/>
  <c r="M32" i="25"/>
  <c r="M34" i="25" s="1"/>
  <c r="N20" i="25"/>
  <c r="N26" i="25"/>
  <c r="M31" i="31"/>
  <c r="M32" i="31" s="1"/>
  <c r="M28" i="31"/>
  <c r="N27" i="25"/>
  <c r="N21" i="25"/>
  <c r="AR82" i="1" l="1"/>
  <c r="AR115" i="1"/>
  <c r="AR116" i="1" s="1"/>
  <c r="H17" i="34"/>
  <c r="AS26" i="1"/>
  <c r="AM159" i="1"/>
  <c r="AN158" i="1" s="1"/>
  <c r="AP89" i="1"/>
  <c r="AQ33" i="1"/>
  <c r="AQ79" i="1" s="1"/>
  <c r="AT29" i="1"/>
  <c r="AR27" i="1"/>
  <c r="N28" i="31"/>
  <c r="N31" i="31"/>
  <c r="N32" i="31" s="1"/>
  <c r="N33" i="25"/>
  <c r="N35" i="25" s="1"/>
  <c r="N29" i="25"/>
  <c r="N32" i="25"/>
  <c r="N34" i="25" s="1"/>
  <c r="N28" i="25"/>
  <c r="P21" i="25"/>
  <c r="P27" i="25"/>
  <c r="P29" i="25" s="1"/>
  <c r="P26" i="25"/>
  <c r="P20" i="25"/>
  <c r="AS82" i="1" l="1"/>
  <c r="AS115" i="1"/>
  <c r="AS116" i="1" s="1"/>
  <c r="AP166" i="1"/>
  <c r="AQ89" i="1"/>
  <c r="AQ166" i="1" s="1"/>
  <c r="AR33" i="1"/>
  <c r="AR79" i="1" s="1"/>
  <c r="P28" i="25"/>
  <c r="P32" i="25"/>
  <c r="AS27" i="1"/>
  <c r="AU29" i="1"/>
  <c r="P28" i="31"/>
  <c r="P31" i="31"/>
  <c r="N33" i="31" s="1"/>
  <c r="AO158" i="1"/>
  <c r="AR89" i="1" l="1"/>
  <c r="AR166" i="1" s="1"/>
  <c r="AS33" i="1"/>
  <c r="AS79" i="1" s="1"/>
  <c r="AM156" i="1"/>
  <c r="AN153" i="1"/>
  <c r="P32" i="31"/>
  <c r="P38" i="25"/>
  <c r="P34" i="25"/>
  <c r="AV29" i="1"/>
  <c r="AP158" i="1"/>
  <c r="AS89" i="1" l="1"/>
  <c r="AS166" i="1" s="1"/>
  <c r="AN156" i="1"/>
  <c r="AO153" i="1"/>
  <c r="AW29" i="1"/>
  <c r="AQ158" i="1"/>
  <c r="AO156" i="1" l="1"/>
  <c r="AP153" i="1"/>
  <c r="AX29" i="1"/>
  <c r="AR158" i="1"/>
  <c r="AP156" i="1" l="1"/>
  <c r="AQ153" i="1"/>
  <c r="AS158" i="1"/>
  <c r="AY29" i="1"/>
  <c r="AQ156" i="1" l="1"/>
  <c r="AR153" i="1"/>
  <c r="AZ29" i="1"/>
  <c r="AT158" i="1"/>
  <c r="AR156" i="1" l="1"/>
  <c r="AS153" i="1"/>
  <c r="BA29" i="1"/>
  <c r="AU158" i="1"/>
  <c r="AS156" i="1" l="1"/>
  <c r="AT153" i="1"/>
  <c r="AV158" i="1"/>
  <c r="BB29" i="1"/>
  <c r="AT156" i="1" l="1"/>
  <c r="AU153" i="1"/>
  <c r="AW158" i="1"/>
  <c r="BC29" i="1"/>
  <c r="AU156" i="1" l="1"/>
  <c r="AV153" i="1"/>
  <c r="BD29" i="1"/>
  <c r="AX158" i="1"/>
  <c r="AV156" i="1" l="1"/>
  <c r="AW153" i="1"/>
  <c r="AY158" i="1"/>
  <c r="BE29" i="1"/>
  <c r="AW156" i="1" l="1"/>
  <c r="AX153" i="1"/>
  <c r="BF29" i="1"/>
  <c r="AX156" i="1" l="1"/>
  <c r="BG29" i="1"/>
  <c r="AY156" i="1" l="1"/>
  <c r="AZ153" i="1"/>
  <c r="BH29" i="1"/>
  <c r="AZ156" i="1" l="1"/>
  <c r="BA153" i="1"/>
  <c r="BI29" i="1"/>
  <c r="BA156" i="1" l="1"/>
  <c r="BB153" i="1"/>
  <c r="BJ29" i="1"/>
  <c r="BB156" i="1" l="1"/>
  <c r="BC153" i="1"/>
  <c r="BK29" i="1"/>
  <c r="BC156" i="1" l="1"/>
  <c r="BD153" i="1"/>
  <c r="BL29" i="1"/>
  <c r="BD156" i="1" l="1"/>
  <c r="BE153" i="1"/>
  <c r="BM29" i="1"/>
  <c r="BE156" i="1" l="1"/>
  <c r="BF153" i="1"/>
  <c r="BN29" i="1"/>
  <c r="BN23" i="1" s="1"/>
  <c r="BN26" i="1" s="1"/>
  <c r="BN115" i="1" s="1"/>
  <c r="BN116" i="1" s="1"/>
  <c r="BF156" i="1" l="1"/>
  <c r="BG153" i="1"/>
  <c r="BN82" i="1"/>
  <c r="BO29" i="1"/>
  <c r="BO23" i="1" s="1"/>
  <c r="BO26" i="1" s="1"/>
  <c r="BO115" i="1" s="1"/>
  <c r="BO116" i="1" s="1"/>
  <c r="BG156" i="1" l="1"/>
  <c r="BH153" i="1"/>
  <c r="BN27" i="1"/>
  <c r="BO82" i="1"/>
  <c r="BP29" i="1"/>
  <c r="BP23" i="1" s="1"/>
  <c r="BP26" i="1" s="1"/>
  <c r="BP115" i="1" s="1"/>
  <c r="BP116" i="1" s="1"/>
  <c r="BN33" i="1" l="1"/>
  <c r="BN79" i="1" s="1"/>
  <c r="BN34" i="1"/>
  <c r="BN80" i="1" s="1"/>
  <c r="BH156" i="1"/>
  <c r="BI153" i="1"/>
  <c r="BO27" i="1"/>
  <c r="BQ29" i="1"/>
  <c r="BQ23" i="1" s="1"/>
  <c r="BQ26" i="1" s="1"/>
  <c r="BQ115" i="1" s="1"/>
  <c r="BQ116" i="1" s="1"/>
  <c r="BP82" i="1"/>
  <c r="BN90" i="1" l="1"/>
  <c r="BN81" i="1"/>
  <c r="BN89" i="1"/>
  <c r="BN166" i="1" s="1"/>
  <c r="BO33" i="1"/>
  <c r="BO79" i="1" s="1"/>
  <c r="BO34" i="1"/>
  <c r="BO80" i="1" s="1"/>
  <c r="BI156" i="1"/>
  <c r="BJ153" i="1"/>
  <c r="BQ82" i="1"/>
  <c r="BR29" i="1"/>
  <c r="BR23" i="1" s="1"/>
  <c r="BR26" i="1" s="1"/>
  <c r="BR115" i="1" s="1"/>
  <c r="BR116" i="1" s="1"/>
  <c r="BP27" i="1"/>
  <c r="BO90" i="1" l="1"/>
  <c r="BO81" i="1"/>
  <c r="BO89" i="1"/>
  <c r="BO166" i="1" s="1"/>
  <c r="BP33" i="1"/>
  <c r="BP79" i="1" s="1"/>
  <c r="BP34" i="1"/>
  <c r="BP80" i="1" s="1"/>
  <c r="BJ156" i="1"/>
  <c r="BK153" i="1"/>
  <c r="BS29" i="1"/>
  <c r="BR82" i="1"/>
  <c r="BQ27" i="1"/>
  <c r="BP81" i="1" l="1"/>
  <c r="BP90" i="1"/>
  <c r="BP89" i="1"/>
  <c r="BP166" i="1" s="1"/>
  <c r="BQ33" i="1"/>
  <c r="BQ79" i="1" s="1"/>
  <c r="BQ34" i="1"/>
  <c r="BQ80" i="1" s="1"/>
  <c r="BK156" i="1"/>
  <c r="BL153" i="1"/>
  <c r="BT29" i="1"/>
  <c r="BR27" i="1"/>
  <c r="BQ81" i="1" l="1"/>
  <c r="BQ90" i="1"/>
  <c r="BQ89" i="1"/>
  <c r="BQ166" i="1" s="1"/>
  <c r="BR33" i="1"/>
  <c r="BR79" i="1" s="1"/>
  <c r="BR34" i="1"/>
  <c r="BR80" i="1" s="1"/>
  <c r="BL156" i="1"/>
  <c r="BM153" i="1"/>
  <c r="BU29" i="1"/>
  <c r="BR81" i="1" l="1"/>
  <c r="BR90" i="1"/>
  <c r="BR89" i="1"/>
  <c r="BR166" i="1" s="1"/>
  <c r="BM156" i="1"/>
  <c r="BN153" i="1"/>
  <c r="BV29" i="1"/>
  <c r="BN156" i="1" l="1"/>
  <c r="BO153" i="1"/>
  <c r="BW29" i="1"/>
  <c r="BO156" i="1" l="1"/>
  <c r="BP153" i="1"/>
  <c r="BX29" i="1"/>
  <c r="BP156" i="1" l="1"/>
  <c r="BQ153" i="1"/>
  <c r="BY29" i="1"/>
  <c r="BY23" i="1" s="1"/>
  <c r="BY26" i="1" s="1"/>
  <c r="BY115" i="1" s="1"/>
  <c r="BY116" i="1" s="1"/>
  <c r="BQ156" i="1" l="1"/>
  <c r="BR153" i="1"/>
  <c r="BZ29" i="1"/>
  <c r="BY82" i="1"/>
  <c r="BR156" i="1" l="1"/>
  <c r="BS153" i="1"/>
  <c r="CA29" i="1"/>
  <c r="CA23" i="1" s="1"/>
  <c r="CA26" i="1" s="1"/>
  <c r="CA115" i="1" s="1"/>
  <c r="CA116" i="1" s="1"/>
  <c r="BY27" i="1"/>
  <c r="BY33" i="1" l="1"/>
  <c r="BY79" i="1" s="1"/>
  <c r="BY34" i="1"/>
  <c r="BY80" i="1" s="1"/>
  <c r="BS156" i="1"/>
  <c r="BT153" i="1"/>
  <c r="CA82" i="1"/>
  <c r="CB29" i="1"/>
  <c r="CB23" i="1" s="1"/>
  <c r="CB26" i="1" s="1"/>
  <c r="CB115" i="1" s="1"/>
  <c r="CB116" i="1" s="1"/>
  <c r="BY90" i="1" l="1"/>
  <c r="BY81" i="1"/>
  <c r="BY89" i="1"/>
  <c r="BY166" i="1" s="1"/>
  <c r="BT156" i="1"/>
  <c r="BU153" i="1"/>
  <c r="CC29" i="1"/>
  <c r="CC23" i="1" s="1"/>
  <c r="CC26" i="1" s="1"/>
  <c r="CC115" i="1" s="1"/>
  <c r="CC116" i="1" s="1"/>
  <c r="CB82" i="1"/>
  <c r="CA27" i="1"/>
  <c r="CA33" i="1" l="1"/>
  <c r="CA79" i="1" s="1"/>
  <c r="CA34" i="1"/>
  <c r="CA80" i="1" s="1"/>
  <c r="BU156" i="1"/>
  <c r="BV153" i="1"/>
  <c r="CB27" i="1"/>
  <c r="CD29" i="1"/>
  <c r="CD23" i="1" s="1"/>
  <c r="CD26" i="1" s="1"/>
  <c r="CD115" i="1" s="1"/>
  <c r="CD116" i="1" s="1"/>
  <c r="CC82" i="1"/>
  <c r="CA90" i="1" l="1"/>
  <c r="CA81" i="1"/>
  <c r="CA89" i="1"/>
  <c r="CA166" i="1" s="1"/>
  <c r="CB33" i="1"/>
  <c r="CB79" i="1" s="1"/>
  <c r="CB34" i="1"/>
  <c r="CB80" i="1" s="1"/>
  <c r="BV156" i="1"/>
  <c r="BW153" i="1"/>
  <c r="CC27" i="1"/>
  <c r="CD82" i="1"/>
  <c r="CE29" i="1"/>
  <c r="CE23" i="1" s="1"/>
  <c r="CE26" i="1" s="1"/>
  <c r="CE115" i="1" s="1"/>
  <c r="CE116" i="1" s="1"/>
  <c r="CB90" i="1" l="1"/>
  <c r="CB81" i="1"/>
  <c r="CB89" i="1"/>
  <c r="CB166" i="1" s="1"/>
  <c r="CC33" i="1"/>
  <c r="CC79" i="1" s="1"/>
  <c r="CC34" i="1"/>
  <c r="CC80" i="1" s="1"/>
  <c r="BW156" i="1"/>
  <c r="BX153" i="1"/>
  <c r="CD27" i="1"/>
  <c r="CE82" i="1"/>
  <c r="CF29" i="1"/>
  <c r="CC81" i="1" l="1"/>
  <c r="CC90" i="1"/>
  <c r="CC89" i="1"/>
  <c r="CC166" i="1" s="1"/>
  <c r="CD33" i="1"/>
  <c r="CD79" i="1" s="1"/>
  <c r="CD34" i="1"/>
  <c r="CD80" i="1" s="1"/>
  <c r="BX156" i="1"/>
  <c r="BY153" i="1"/>
  <c r="CG29" i="1"/>
  <c r="CE27" i="1"/>
  <c r="CD90" i="1" l="1"/>
  <c r="CD81" i="1"/>
  <c r="CD89" i="1"/>
  <c r="CD166" i="1" s="1"/>
  <c r="CE33" i="1"/>
  <c r="CE79" i="1" s="1"/>
  <c r="CE34" i="1"/>
  <c r="CE80" i="1" s="1"/>
  <c r="BY156" i="1"/>
  <c r="BZ153" i="1"/>
  <c r="CH29" i="1"/>
  <c r="CE90" i="1" l="1"/>
  <c r="CE81" i="1"/>
  <c r="CE89" i="1"/>
  <c r="CE166" i="1" s="1"/>
  <c r="BZ156" i="1"/>
  <c r="CA153" i="1"/>
  <c r="CI29" i="1"/>
  <c r="CA156" i="1" l="1"/>
  <c r="CB153" i="1"/>
  <c r="CJ29" i="1"/>
  <c r="CJ23" i="1" s="1"/>
  <c r="CJ26" i="1" l="1"/>
  <c r="CB156" i="1"/>
  <c r="CC153" i="1"/>
  <c r="CK29" i="1"/>
  <c r="CK23" i="1" s="1"/>
  <c r="CK26" i="1" s="1"/>
  <c r="CK115" i="1" s="1"/>
  <c r="CK116" i="1" s="1"/>
  <c r="CJ82" i="1" l="1"/>
  <c r="CJ115" i="1"/>
  <c r="CJ116" i="1" s="1"/>
  <c r="CC156" i="1"/>
  <c r="CD153" i="1"/>
  <c r="CL29" i="1"/>
  <c r="CK82" i="1"/>
  <c r="CJ27" i="1"/>
  <c r="CJ33" i="1" l="1"/>
  <c r="CJ79" i="1" s="1"/>
  <c r="CJ34" i="1"/>
  <c r="CJ80" i="1" s="1"/>
  <c r="CD156" i="1"/>
  <c r="CE153" i="1"/>
  <c r="CK27" i="1"/>
  <c r="CM29" i="1"/>
  <c r="CM23" i="1" s="1"/>
  <c r="CM26" i="1" s="1"/>
  <c r="CM115" i="1" s="1"/>
  <c r="CM116" i="1" s="1"/>
  <c r="CJ90" i="1" l="1"/>
  <c r="CJ81" i="1"/>
  <c r="CJ89" i="1"/>
  <c r="CJ166" i="1" s="1"/>
  <c r="CK33" i="1"/>
  <c r="CK79" i="1" s="1"/>
  <c r="CK34" i="1"/>
  <c r="CK80" i="1" s="1"/>
  <c r="CE156" i="1"/>
  <c r="CF153" i="1"/>
  <c r="CM82" i="1"/>
  <c r="CN29" i="1"/>
  <c r="CN23" i="1" s="1"/>
  <c r="CN26" i="1" s="1"/>
  <c r="CN115" i="1" s="1"/>
  <c r="CN116" i="1" s="1"/>
  <c r="CJ159" i="1" l="1"/>
  <c r="CK90" i="1"/>
  <c r="CK81" i="1"/>
  <c r="CK89" i="1"/>
  <c r="CK166" i="1" s="1"/>
  <c r="CF156" i="1"/>
  <c r="CG153" i="1"/>
  <c r="CO29" i="1"/>
  <c r="CO23" i="1" s="1"/>
  <c r="CO26" i="1" s="1"/>
  <c r="CO115" i="1" s="1"/>
  <c r="CO116" i="1" s="1"/>
  <c r="CN82" i="1"/>
  <c r="CM27" i="1"/>
  <c r="CK159" i="1" l="1"/>
  <c r="CM33" i="1"/>
  <c r="CM79" i="1" s="1"/>
  <c r="CM34" i="1"/>
  <c r="CM80" i="1" s="1"/>
  <c r="CG156" i="1"/>
  <c r="CH153" i="1"/>
  <c r="CN27" i="1"/>
  <c r="CP29" i="1"/>
  <c r="CP23" i="1" s="1"/>
  <c r="CP26" i="1" s="1"/>
  <c r="CP115" i="1" s="1"/>
  <c r="CP116" i="1" s="1"/>
  <c r="CO82" i="1"/>
  <c r="CM81" i="1" l="1"/>
  <c r="CM90" i="1"/>
  <c r="CM89" i="1"/>
  <c r="CM166" i="1" s="1"/>
  <c r="CN33" i="1"/>
  <c r="CN79" i="1" s="1"/>
  <c r="CN34" i="1"/>
  <c r="CN80" i="1" s="1"/>
  <c r="CH156" i="1"/>
  <c r="CI153" i="1"/>
  <c r="CO27" i="1"/>
  <c r="CQ29" i="1"/>
  <c r="CQ23" i="1" s="1"/>
  <c r="CQ26" i="1" s="1"/>
  <c r="CQ115" i="1" s="1"/>
  <c r="CQ116" i="1" s="1"/>
  <c r="CP82" i="1"/>
  <c r="CN90" i="1" l="1"/>
  <c r="CN81" i="1"/>
  <c r="CN89" i="1"/>
  <c r="CN166" i="1" s="1"/>
  <c r="CO33" i="1"/>
  <c r="CO79" i="1" s="1"/>
  <c r="CO34" i="1"/>
  <c r="CO80" i="1" s="1"/>
  <c r="CI156" i="1"/>
  <c r="CJ153" i="1"/>
  <c r="CQ82" i="1"/>
  <c r="CR29" i="1"/>
  <c r="CP27" i="1"/>
  <c r="CO90" i="1" l="1"/>
  <c r="CO81" i="1"/>
  <c r="CO89" i="1"/>
  <c r="CO166" i="1" s="1"/>
  <c r="CP33" i="1"/>
  <c r="CP79" i="1" s="1"/>
  <c r="CP34" i="1"/>
  <c r="CP80" i="1" s="1"/>
  <c r="CJ156" i="1"/>
  <c r="CK153" i="1"/>
  <c r="CS29" i="1"/>
  <c r="CQ27" i="1"/>
  <c r="CP90" i="1" l="1"/>
  <c r="CP81" i="1"/>
  <c r="CP89" i="1"/>
  <c r="CP166" i="1" s="1"/>
  <c r="CQ33" i="1"/>
  <c r="CQ79" i="1" s="1"/>
  <c r="CQ34" i="1"/>
  <c r="CQ80" i="1" s="1"/>
  <c r="CK156" i="1"/>
  <c r="CL153" i="1"/>
  <c r="CT29" i="1"/>
  <c r="CQ81" i="1" l="1"/>
  <c r="CQ90" i="1"/>
  <c r="CQ89" i="1"/>
  <c r="CQ166" i="1" s="1"/>
  <c r="CL156" i="1"/>
  <c r="CM153" i="1"/>
  <c r="CU29" i="1"/>
  <c r="CM156" i="1" l="1"/>
  <c r="CN153" i="1"/>
  <c r="CV29" i="1"/>
  <c r="CV23" i="1" s="1"/>
  <c r="CV26" i="1" l="1"/>
  <c r="CN156" i="1"/>
  <c r="CO153" i="1"/>
  <c r="CW29" i="1"/>
  <c r="CW23" i="1" s="1"/>
  <c r="CW26" i="1" s="1"/>
  <c r="CW115" i="1" s="1"/>
  <c r="CW116" i="1" s="1"/>
  <c r="CV82" i="1" l="1"/>
  <c r="CV115" i="1"/>
  <c r="CV116" i="1" s="1"/>
  <c r="CO156" i="1"/>
  <c r="CP153" i="1"/>
  <c r="CX29" i="1"/>
  <c r="CX23" i="1" s="1"/>
  <c r="CW82" i="1"/>
  <c r="CV27" i="1"/>
  <c r="CX26" i="1" l="1"/>
  <c r="CX115" i="1" s="1"/>
  <c r="CX116" i="1" s="1"/>
  <c r="CV33" i="1"/>
  <c r="CV79" i="1" s="1"/>
  <c r="CV34" i="1"/>
  <c r="CV80" i="1" s="1"/>
  <c r="CP156" i="1"/>
  <c r="CQ153" i="1"/>
  <c r="CW27" i="1"/>
  <c r="CY29" i="1"/>
  <c r="CX82" i="1" l="1"/>
  <c r="CV90" i="1"/>
  <c r="CV81" i="1"/>
  <c r="CV89" i="1"/>
  <c r="CV159" i="1" s="1"/>
  <c r="CW33" i="1"/>
  <c r="CW79" i="1" s="1"/>
  <c r="CW34" i="1"/>
  <c r="CW80" i="1" s="1"/>
  <c r="CQ156" i="1"/>
  <c r="CR153" i="1"/>
  <c r="CZ29" i="1"/>
  <c r="CZ23" i="1" s="1"/>
  <c r="CZ26" i="1" s="1"/>
  <c r="CZ115" i="1" s="1"/>
  <c r="CZ116" i="1" s="1"/>
  <c r="CX27" i="1"/>
  <c r="CV166" i="1" l="1"/>
  <c r="CW81" i="1"/>
  <c r="CW90" i="1"/>
  <c r="CW89" i="1"/>
  <c r="CW159" i="1" s="1"/>
  <c r="CX33" i="1"/>
  <c r="CX79" i="1" s="1"/>
  <c r="CX34" i="1"/>
  <c r="CX80" i="1" s="1"/>
  <c r="CR156" i="1"/>
  <c r="CS153" i="1"/>
  <c r="DA29" i="1"/>
  <c r="DA23" i="1" s="1"/>
  <c r="DA26" i="1" s="1"/>
  <c r="DA115" i="1" s="1"/>
  <c r="DA116" i="1" s="1"/>
  <c r="CZ82" i="1"/>
  <c r="CW166" i="1" l="1"/>
  <c r="CX90" i="1"/>
  <c r="CX81" i="1"/>
  <c r="CX89" i="1"/>
  <c r="CX159" i="1" s="1"/>
  <c r="CS156" i="1"/>
  <c r="CT153" i="1"/>
  <c r="CZ27" i="1"/>
  <c r="DA82" i="1"/>
  <c r="DB29" i="1"/>
  <c r="DB23" i="1" s="1"/>
  <c r="DB26" i="1" s="1"/>
  <c r="DB115" i="1" s="1"/>
  <c r="DB116" i="1" s="1"/>
  <c r="CX166" i="1" l="1"/>
  <c r="CZ33" i="1"/>
  <c r="CZ79" i="1" s="1"/>
  <c r="CZ34" i="1"/>
  <c r="CZ80" i="1" s="1"/>
  <c r="CT156" i="1"/>
  <c r="CU153" i="1"/>
  <c r="DB82" i="1"/>
  <c r="DC29" i="1"/>
  <c r="DC23" i="1" s="1"/>
  <c r="DC26" i="1" s="1"/>
  <c r="DC115" i="1" s="1"/>
  <c r="DC116" i="1" s="1"/>
  <c r="DA27" i="1"/>
  <c r="CZ90" i="1" l="1"/>
  <c r="CZ81" i="1"/>
  <c r="CZ89" i="1"/>
  <c r="CZ166" i="1" s="1"/>
  <c r="DA33" i="1"/>
  <c r="DA79" i="1" s="1"/>
  <c r="DA34" i="1"/>
  <c r="DA80" i="1" s="1"/>
  <c r="CU156" i="1"/>
  <c r="CV153" i="1"/>
  <c r="DB27" i="1"/>
  <c r="DC82" i="1"/>
  <c r="DD29" i="1"/>
  <c r="DD23" i="1" s="1"/>
  <c r="DD26" i="1" s="1"/>
  <c r="DD115" i="1" s="1"/>
  <c r="DD116" i="1" s="1"/>
  <c r="DA90" i="1" l="1"/>
  <c r="DA81" i="1"/>
  <c r="DA89" i="1"/>
  <c r="DA166" i="1" s="1"/>
  <c r="DB33" i="1"/>
  <c r="DB79" i="1" s="1"/>
  <c r="DB34" i="1"/>
  <c r="DB80" i="1" s="1"/>
  <c r="CV156" i="1"/>
  <c r="CW153" i="1"/>
  <c r="DD82" i="1"/>
  <c r="DE29" i="1"/>
  <c r="DC27" i="1"/>
  <c r="DB81" i="1" l="1"/>
  <c r="DB90" i="1"/>
  <c r="DB89" i="1"/>
  <c r="DB166" i="1" s="1"/>
  <c r="DC33" i="1"/>
  <c r="DC79" i="1" s="1"/>
  <c r="DC34" i="1"/>
  <c r="DC80" i="1" s="1"/>
  <c r="CW156" i="1"/>
  <c r="CX153" i="1"/>
  <c r="DF29" i="1"/>
  <c r="DD27" i="1"/>
  <c r="DC90" i="1" l="1"/>
  <c r="DC81" i="1"/>
  <c r="DC89" i="1"/>
  <c r="DC166" i="1" s="1"/>
  <c r="DD33" i="1"/>
  <c r="DD79" i="1" s="1"/>
  <c r="DD34" i="1"/>
  <c r="DD80" i="1" s="1"/>
  <c r="CX156" i="1"/>
  <c r="CY153" i="1"/>
  <c r="DG29" i="1"/>
  <c r="DD90" i="1" l="1"/>
  <c r="DD81" i="1"/>
  <c r="DD89" i="1"/>
  <c r="DD166" i="1" s="1"/>
  <c r="CY156" i="1"/>
  <c r="CZ153" i="1"/>
  <c r="CZ156" i="1" l="1"/>
  <c r="DA153" i="1"/>
  <c r="DA156" i="1" l="1"/>
  <c r="DB153" i="1"/>
  <c r="DB156" i="1" l="1"/>
  <c r="DC153" i="1"/>
  <c r="DC156" i="1" l="1"/>
  <c r="DD153" i="1"/>
  <c r="DD156" i="1" l="1"/>
  <c r="DE153" i="1"/>
  <c r="DE156" i="1" l="1"/>
  <c r="DF153" i="1"/>
  <c r="DF156" i="1" l="1"/>
  <c r="DG153" i="1"/>
  <c r="DG156" i="1" s="1"/>
  <c r="V5" i="28" l="1"/>
  <c r="W5" i="28"/>
  <c r="X5" i="28"/>
  <c r="Y5" i="28"/>
  <c r="AA5" i="28"/>
  <c r="AM10" i="1"/>
  <c r="N12" i="32" s="1"/>
  <c r="BL10" i="1"/>
  <c r="AA10" i="1"/>
  <c r="AA34" i="1" s="1"/>
  <c r="AA80" i="1" s="1"/>
  <c r="P6" i="28"/>
  <c r="Q6" i="28" s="1"/>
  <c r="R6" i="28" s="1"/>
  <c r="S6" i="28" s="1"/>
  <c r="T6" i="28" s="1"/>
  <c r="AA81" i="1" l="1"/>
  <c r="AA90" i="1"/>
  <c r="AA48" i="1"/>
  <c r="AA49" i="1"/>
  <c r="AA72" i="28"/>
  <c r="AL10" i="1" s="1"/>
  <c r="X72" i="28"/>
  <c r="AI10" i="1" s="1"/>
  <c r="W72" i="28"/>
  <c r="AH10" i="1" s="1"/>
  <c r="Y72" i="28"/>
  <c r="AJ10" i="1" s="1"/>
  <c r="V72" i="28"/>
  <c r="AG10" i="1" s="1"/>
  <c r="D13" i="5"/>
  <c r="D17" i="5" s="1"/>
  <c r="D26" i="5" s="1"/>
  <c r="AA136" i="1"/>
  <c r="AB136" i="1" s="1"/>
  <c r="AC136" i="1" s="1"/>
  <c r="AD136" i="1" s="1"/>
  <c r="AE136" i="1" s="1"/>
  <c r="AF136" i="1" s="1"/>
  <c r="BJ10" i="1"/>
  <c r="BA10" i="1"/>
  <c r="U6" i="28"/>
  <c r="V6" i="28" s="1"/>
  <c r="W6" i="28" s="1"/>
  <c r="X6" i="28" s="1"/>
  <c r="Y6" i="28" s="1"/>
  <c r="Z6" i="28" s="1"/>
  <c r="AA6" i="28" s="1"/>
  <c r="AO10" i="1"/>
  <c r="BC10" i="1"/>
  <c r="AR10" i="1"/>
  <c r="AS10" i="1"/>
  <c r="BD10" i="1"/>
  <c r="BE10" i="1"/>
  <c r="AX10" i="1"/>
  <c r="M12" i="34" s="1"/>
  <c r="BB10" i="1"/>
  <c r="AM34" i="1"/>
  <c r="AM80" i="1" s="1"/>
  <c r="AP10" i="1"/>
  <c r="AQ10" i="1"/>
  <c r="AC17" i="28"/>
  <c r="AD17" i="28" s="1"/>
  <c r="AE17" i="28" s="1"/>
  <c r="AF17" i="28" s="1"/>
  <c r="AG17" i="28" s="1"/>
  <c r="AH17" i="28" s="1"/>
  <c r="AA30" i="1"/>
  <c r="AA29" i="1"/>
  <c r="AA28" i="1"/>
  <c r="AC15" i="28"/>
  <c r="AD15" i="28" s="1"/>
  <c r="AE15" i="28" s="1"/>
  <c r="AF15" i="28" s="1"/>
  <c r="AG15" i="28" s="1"/>
  <c r="AH15" i="28" s="1"/>
  <c r="AN10" i="1"/>
  <c r="AJ30" i="1" l="1"/>
  <c r="AJ29" i="1"/>
  <c r="AJ28" i="1"/>
  <c r="AJ34" i="1"/>
  <c r="AJ80" i="1" s="1"/>
  <c r="AH29" i="1"/>
  <c r="AH30" i="1"/>
  <c r="AI29" i="1"/>
  <c r="AI30" i="1"/>
  <c r="AG29" i="1"/>
  <c r="AG30" i="1"/>
  <c r="AI34" i="1"/>
  <c r="AI80" i="1" s="1"/>
  <c r="AI81" i="1" s="1"/>
  <c r="AI28" i="1"/>
  <c r="AH28" i="1"/>
  <c r="AH34" i="1"/>
  <c r="AH80" i="1" s="1"/>
  <c r="AG136" i="1"/>
  <c r="AH136" i="1" s="1"/>
  <c r="AI136" i="1" s="1"/>
  <c r="AJ136" i="1" s="1"/>
  <c r="AK136" i="1" s="1"/>
  <c r="M12" i="32"/>
  <c r="M14" i="32" s="1"/>
  <c r="M21" i="32" s="1"/>
  <c r="M29" i="32" s="1"/>
  <c r="AL34" i="1"/>
  <c r="AL80" i="1" s="1"/>
  <c r="AL90" i="1" s="1"/>
  <c r="K12" i="32"/>
  <c r="K22" i="32" s="1"/>
  <c r="J12" i="32"/>
  <c r="J22" i="32" s="1"/>
  <c r="I12" i="32"/>
  <c r="I22" i="32" s="1"/>
  <c r="AG34" i="1"/>
  <c r="AG28" i="1"/>
  <c r="D30" i="5"/>
  <c r="C12" i="34"/>
  <c r="C14" i="34" s="1"/>
  <c r="BV10" i="1"/>
  <c r="BI10" i="1"/>
  <c r="D38" i="5"/>
  <c r="D28" i="5"/>
  <c r="AO34" i="1"/>
  <c r="AO80" i="1" s="1"/>
  <c r="AO90" i="1" s="1"/>
  <c r="D12" i="34"/>
  <c r="AI15" i="28"/>
  <c r="AJ15" i="28" s="1"/>
  <c r="AK15" i="28" s="1"/>
  <c r="AL15" i="28" s="1"/>
  <c r="AM15" i="28" s="1"/>
  <c r="AN15" i="28" s="1"/>
  <c r="AO15" i="28" s="1"/>
  <c r="AP15" i="28" s="1"/>
  <c r="AQ15" i="28" s="1"/>
  <c r="AR15" i="28" s="1"/>
  <c r="AS15" i="28" s="1"/>
  <c r="AT15" i="28" s="1"/>
  <c r="AU15" i="28" s="1"/>
  <c r="AV15" i="28" s="1"/>
  <c r="AW15" i="28" s="1"/>
  <c r="AX15" i="28" s="1"/>
  <c r="AY15" i="28" s="1"/>
  <c r="AZ15" i="28" s="1"/>
  <c r="BA15" i="28" s="1"/>
  <c r="BB15" i="28" s="1"/>
  <c r="BC15" i="28" s="1"/>
  <c r="BD15" i="28" s="1"/>
  <c r="BE15" i="28" s="1"/>
  <c r="BF15" i="28" s="1"/>
  <c r="BG15" i="28" s="1"/>
  <c r="BH15" i="28" s="1"/>
  <c r="BI15" i="28" s="1"/>
  <c r="BJ15" i="28" s="1"/>
  <c r="BK15" i="28" s="1"/>
  <c r="BL15" i="28" s="1"/>
  <c r="BM15" i="28" s="1"/>
  <c r="BN15" i="28" s="1"/>
  <c r="BO15" i="28" s="1"/>
  <c r="BP15" i="28" s="1"/>
  <c r="BQ15" i="28" s="1"/>
  <c r="BR15" i="28" s="1"/>
  <c r="BS15" i="28" s="1"/>
  <c r="BT15" i="28" s="1"/>
  <c r="BU15" i="28" s="1"/>
  <c r="BV15" i="28" s="1"/>
  <c r="BW15" i="28" s="1"/>
  <c r="BX15" i="28" s="1"/>
  <c r="BY15" i="28" s="1"/>
  <c r="BZ15" i="28" s="1"/>
  <c r="CA15" i="28" s="1"/>
  <c r="CB15" i="28" s="1"/>
  <c r="CC15" i="28" s="1"/>
  <c r="CD15" i="28" s="1"/>
  <c r="CE15" i="28" s="1"/>
  <c r="CF15" i="28" s="1"/>
  <c r="CG15" i="28" s="1"/>
  <c r="CH15" i="28" s="1"/>
  <c r="CI15" i="28" s="1"/>
  <c r="CJ15" i="28" s="1"/>
  <c r="CK15" i="28" s="1"/>
  <c r="CL15" i="28" s="1"/>
  <c r="CM15" i="28" s="1"/>
  <c r="CN15" i="28" s="1"/>
  <c r="CO15" i="28" s="1"/>
  <c r="CP15" i="28" s="1"/>
  <c r="CQ15" i="28" s="1"/>
  <c r="CR15" i="28" s="1"/>
  <c r="CS15" i="28" s="1"/>
  <c r="CT15" i="28" s="1"/>
  <c r="CU15" i="28" s="1"/>
  <c r="CV15" i="28" s="1"/>
  <c r="CW15" i="28" s="1"/>
  <c r="CX15" i="28" s="1"/>
  <c r="CY15" i="28" s="1"/>
  <c r="CZ15" i="28" s="1"/>
  <c r="DA15" i="28" s="1"/>
  <c r="DB15" i="28" s="1"/>
  <c r="DC15" i="28" s="1"/>
  <c r="DD15" i="28" s="1"/>
  <c r="DE15" i="28" s="1"/>
  <c r="DF15" i="28" s="1"/>
  <c r="DG15" i="28" s="1"/>
  <c r="DH15" i="28" s="1"/>
  <c r="AQ34" i="1"/>
  <c r="AQ80" i="1" s="1"/>
  <c r="AQ81" i="1" s="1"/>
  <c r="F12" i="34"/>
  <c r="AP34" i="1"/>
  <c r="AP80" i="1" s="1"/>
  <c r="AP81" i="1" s="1"/>
  <c r="E12" i="34"/>
  <c r="AR34" i="1"/>
  <c r="AR80" i="1" s="1"/>
  <c r="AR90" i="1" s="1"/>
  <c r="G12" i="34"/>
  <c r="CU10" i="1"/>
  <c r="M14" i="34"/>
  <c r="AS34" i="1"/>
  <c r="AS80" i="1" s="1"/>
  <c r="AS81" i="1" s="1"/>
  <c r="H12" i="34"/>
  <c r="BH10" i="1"/>
  <c r="BU10" i="1"/>
  <c r="CI10" i="1"/>
  <c r="AW10" i="1"/>
  <c r="L12" i="34" s="1"/>
  <c r="AV10" i="1"/>
  <c r="K12" i="34" s="1"/>
  <c r="AY10" i="1"/>
  <c r="N12" i="34" s="1"/>
  <c r="AT10" i="1"/>
  <c r="I12" i="34" s="1"/>
  <c r="AU10" i="1"/>
  <c r="J12" i="34" s="1"/>
  <c r="H22" i="32"/>
  <c r="H14" i="32"/>
  <c r="H21" i="32" s="1"/>
  <c r="H29" i="32" s="1"/>
  <c r="N14" i="32"/>
  <c r="N21" i="32" s="1"/>
  <c r="N29" i="32" s="1"/>
  <c r="N22" i="32"/>
  <c r="CH10" i="1"/>
  <c r="CI22" i="1"/>
  <c r="CI23" i="1"/>
  <c r="CI24" i="1"/>
  <c r="AM81" i="1"/>
  <c r="AM90" i="1"/>
  <c r="AZ10" i="1"/>
  <c r="AN24" i="1"/>
  <c r="AN23" i="1"/>
  <c r="AN22" i="1"/>
  <c r="AJ81" i="1" l="1"/>
  <c r="AJ90" i="1"/>
  <c r="AG80" i="1"/>
  <c r="AG81" i="1" s="1"/>
  <c r="AJ168" i="1"/>
  <c r="AL136" i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AI90" i="1"/>
  <c r="AH81" i="1"/>
  <c r="AH90" i="1"/>
  <c r="K14" i="32"/>
  <c r="K21" i="32" s="1"/>
  <c r="K29" i="32" s="1"/>
  <c r="K34" i="32" s="1"/>
  <c r="M22" i="32"/>
  <c r="AL81" i="1"/>
  <c r="I14" i="32"/>
  <c r="I21" i="32" s="1"/>
  <c r="I29" i="32" s="1"/>
  <c r="I33" i="32" s="1"/>
  <c r="I34" i="32" s="1"/>
  <c r="J14" i="32"/>
  <c r="J21" i="32" s="1"/>
  <c r="J29" i="32" s="1"/>
  <c r="J30" i="32" s="1"/>
  <c r="P12" i="32"/>
  <c r="P14" i="32" s="1"/>
  <c r="P21" i="32" s="1"/>
  <c r="P29" i="32" s="1"/>
  <c r="CU22" i="1"/>
  <c r="D40" i="5"/>
  <c r="D43" i="5"/>
  <c r="F13" i="5"/>
  <c r="F17" i="5" s="1"/>
  <c r="C18" i="34"/>
  <c r="CI26" i="1"/>
  <c r="CI115" i="1" s="1"/>
  <c r="CI116" i="1" s="1"/>
  <c r="C17" i="34"/>
  <c r="C16" i="34"/>
  <c r="AN26" i="1"/>
  <c r="AN115" i="1" s="1"/>
  <c r="AN116" i="1" s="1"/>
  <c r="AQ90" i="1"/>
  <c r="AO81" i="1"/>
  <c r="AP90" i="1"/>
  <c r="AS90" i="1"/>
  <c r="AR81" i="1"/>
  <c r="F14" i="34"/>
  <c r="F20" i="34" s="1"/>
  <c r="F28" i="34" s="1"/>
  <c r="F21" i="34"/>
  <c r="E14" i="34"/>
  <c r="E20" i="34" s="1"/>
  <c r="E28" i="34" s="1"/>
  <c r="E21" i="34"/>
  <c r="D14" i="34"/>
  <c r="D20" i="34" s="1"/>
  <c r="D28" i="34" s="1"/>
  <c r="D21" i="34"/>
  <c r="G14" i="34"/>
  <c r="G20" i="34" s="1"/>
  <c r="G28" i="34" s="1"/>
  <c r="G21" i="34"/>
  <c r="N14" i="34"/>
  <c r="J14" i="34"/>
  <c r="H14" i="34"/>
  <c r="H20" i="34" s="1"/>
  <c r="H28" i="34" s="1"/>
  <c r="H21" i="34"/>
  <c r="P12" i="34"/>
  <c r="L14" i="34"/>
  <c r="K14" i="34"/>
  <c r="I14" i="34"/>
  <c r="BX10" i="1"/>
  <c r="BK10" i="1"/>
  <c r="BG10" i="1"/>
  <c r="AU22" i="1"/>
  <c r="AU23" i="1"/>
  <c r="J17" i="34" s="1"/>
  <c r="AU24" i="1"/>
  <c r="J18" i="34" s="1"/>
  <c r="BF10" i="1"/>
  <c r="AT22" i="1"/>
  <c r="AT24" i="1"/>
  <c r="I18" i="34" s="1"/>
  <c r="AT23" i="1"/>
  <c r="I17" i="34" s="1"/>
  <c r="AI17" i="28"/>
  <c r="AJ17" i="28" s="1"/>
  <c r="M33" i="32"/>
  <c r="M34" i="32" s="1"/>
  <c r="M30" i="32"/>
  <c r="CH22" i="1"/>
  <c r="CH23" i="1"/>
  <c r="CH24" i="1"/>
  <c r="H30" i="32"/>
  <c r="H33" i="32"/>
  <c r="H34" i="32" s="1"/>
  <c r="CU24" i="1"/>
  <c r="CT10" i="1"/>
  <c r="N33" i="32"/>
  <c r="N34" i="32" s="1"/>
  <c r="N30" i="32"/>
  <c r="D59" i="5"/>
  <c r="BM10" i="1"/>
  <c r="AG90" i="1" l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L129" i="1"/>
  <c r="I30" i="32"/>
  <c r="AJ170" i="1"/>
  <c r="AJ176" i="1" s="1"/>
  <c r="K30" i="32"/>
  <c r="BF136" i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P22" i="32"/>
  <c r="J33" i="32"/>
  <c r="J34" i="32" s="1"/>
  <c r="CU23" i="1"/>
  <c r="CU26" i="1" s="1"/>
  <c r="CU115" i="1" s="1"/>
  <c r="CU116" i="1" s="1"/>
  <c r="G13" i="5"/>
  <c r="G17" i="5" s="1"/>
  <c r="G20" i="5" s="1"/>
  <c r="CH26" i="1"/>
  <c r="CH115" i="1" s="1"/>
  <c r="CH116" i="1" s="1"/>
  <c r="D45" i="5"/>
  <c r="D47" i="5"/>
  <c r="C21" i="34"/>
  <c r="C20" i="34"/>
  <c r="C28" i="34" s="1"/>
  <c r="C29" i="34" s="1"/>
  <c r="J16" i="34"/>
  <c r="J21" i="34" s="1"/>
  <c r="AU26" i="1"/>
  <c r="AU115" i="1" s="1"/>
  <c r="AU116" i="1" s="1"/>
  <c r="I16" i="34"/>
  <c r="I20" i="34" s="1"/>
  <c r="I28" i="34" s="1"/>
  <c r="AT26" i="1"/>
  <c r="AT115" i="1" s="1"/>
  <c r="AT116" i="1" s="1"/>
  <c r="AN27" i="1"/>
  <c r="AN33" i="1" s="1"/>
  <c r="AN79" i="1" s="1"/>
  <c r="AN89" i="1" s="1"/>
  <c r="AN82" i="1"/>
  <c r="CI27" i="1"/>
  <c r="CI33" i="1" s="1"/>
  <c r="CI79" i="1" s="1"/>
  <c r="CI89" i="1" s="1"/>
  <c r="CI166" i="1" s="1"/>
  <c r="CI82" i="1"/>
  <c r="E29" i="34"/>
  <c r="E32" i="34"/>
  <c r="E33" i="34" s="1"/>
  <c r="G29" i="34"/>
  <c r="G32" i="34"/>
  <c r="G33" i="34" s="1"/>
  <c r="F32" i="34"/>
  <c r="F33" i="34" s="1"/>
  <c r="F29" i="34"/>
  <c r="D29" i="34"/>
  <c r="D32" i="34"/>
  <c r="D33" i="34" s="1"/>
  <c r="P14" i="34"/>
  <c r="H29" i="34"/>
  <c r="H32" i="34"/>
  <c r="H33" i="34" s="1"/>
  <c r="AK17" i="28"/>
  <c r="AL17" i="28" s="1"/>
  <c r="AM17" i="28" s="1"/>
  <c r="AN17" i="28" s="1"/>
  <c r="AO17" i="28" s="1"/>
  <c r="AP17" i="28" s="1"/>
  <c r="AQ17" i="28" s="1"/>
  <c r="AR17" i="28" s="1"/>
  <c r="AS17" i="28" s="1"/>
  <c r="AT17" i="28" s="1"/>
  <c r="AU17" i="28" s="1"/>
  <c r="AV17" i="28" s="1"/>
  <c r="AW17" i="28" s="1"/>
  <c r="AX17" i="28" s="1"/>
  <c r="AY17" i="28" s="1"/>
  <c r="AZ17" i="28" s="1"/>
  <c r="BA17" i="28" s="1"/>
  <c r="BB17" i="28" s="1"/>
  <c r="BC17" i="28" s="1"/>
  <c r="BD17" i="28" s="1"/>
  <c r="BE17" i="28" s="1"/>
  <c r="BF17" i="28" s="1"/>
  <c r="BG17" i="28" s="1"/>
  <c r="BH17" i="28" s="1"/>
  <c r="BI17" i="28" s="1"/>
  <c r="BJ17" i="28" s="1"/>
  <c r="BK17" i="28" s="1"/>
  <c r="BL17" i="28" s="1"/>
  <c r="BM17" i="28" s="1"/>
  <c r="BN17" i="28" s="1"/>
  <c r="BO17" i="28" s="1"/>
  <c r="BP17" i="28" s="1"/>
  <c r="BQ17" i="28" s="1"/>
  <c r="BR17" i="28" s="1"/>
  <c r="BS17" i="28" s="1"/>
  <c r="BT17" i="28" s="1"/>
  <c r="BU17" i="28" s="1"/>
  <c r="BV17" i="28" s="1"/>
  <c r="BW17" i="28" s="1"/>
  <c r="BX17" i="28" s="1"/>
  <c r="BY17" i="28" s="1"/>
  <c r="BZ17" i="28" s="1"/>
  <c r="CA17" i="28" s="1"/>
  <c r="CB17" i="28" s="1"/>
  <c r="CC17" i="28" s="1"/>
  <c r="CD17" i="28" s="1"/>
  <c r="CE17" i="28" s="1"/>
  <c r="CF17" i="28" s="1"/>
  <c r="CG17" i="28" s="1"/>
  <c r="CH17" i="28" s="1"/>
  <c r="CI17" i="28" s="1"/>
  <c r="CJ17" i="28" s="1"/>
  <c r="CK17" i="28" s="1"/>
  <c r="CL17" i="28" s="1"/>
  <c r="CM17" i="28" s="1"/>
  <c r="CN17" i="28" s="1"/>
  <c r="CO17" i="28" s="1"/>
  <c r="CP17" i="28" s="1"/>
  <c r="CQ17" i="28" s="1"/>
  <c r="CR17" i="28" s="1"/>
  <c r="CS17" i="28" s="1"/>
  <c r="CT17" i="28" s="1"/>
  <c r="CU17" i="28" s="1"/>
  <c r="CV17" i="28" s="1"/>
  <c r="CW17" i="28" s="1"/>
  <c r="CX17" i="28" s="1"/>
  <c r="CY17" i="28" s="1"/>
  <c r="CZ17" i="28" s="1"/>
  <c r="DA17" i="28" s="1"/>
  <c r="DB17" i="28" s="1"/>
  <c r="DC17" i="28" s="1"/>
  <c r="DD17" i="28" s="1"/>
  <c r="DE17" i="28" s="1"/>
  <c r="DF17" i="28" s="1"/>
  <c r="DG17" i="28" s="1"/>
  <c r="DH17" i="28" s="1"/>
  <c r="BT10" i="1"/>
  <c r="BS10" i="1"/>
  <c r="CT22" i="1"/>
  <c r="CT23" i="1"/>
  <c r="CT24" i="1"/>
  <c r="DG10" i="1"/>
  <c r="P30" i="32"/>
  <c r="P33" i="32"/>
  <c r="P34" i="32" s="1"/>
  <c r="D86" i="5"/>
  <c r="D85" i="5"/>
  <c r="BZ10" i="1"/>
  <c r="F59" i="5"/>
  <c r="F57" i="5"/>
  <c r="AM147" i="1" l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M129" i="1"/>
  <c r="AL134" i="1"/>
  <c r="BS136" i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I36" i="31"/>
  <c r="I39" i="25"/>
  <c r="I38" i="32"/>
  <c r="C32" i="34"/>
  <c r="C33" i="34" s="1"/>
  <c r="J20" i="34"/>
  <c r="J28" i="34" s="1"/>
  <c r="J32" i="34" s="1"/>
  <c r="J33" i="34" s="1"/>
  <c r="E13" i="5"/>
  <c r="E17" i="5" s="1"/>
  <c r="CT26" i="1"/>
  <c r="CT115" i="1" s="1"/>
  <c r="CT116" i="1" s="1"/>
  <c r="AN34" i="1"/>
  <c r="AN80" i="1" s="1"/>
  <c r="AN81" i="1" s="1"/>
  <c r="I21" i="34"/>
  <c r="P33" i="31"/>
  <c r="CI34" i="1"/>
  <c r="CI80" i="1" s="1"/>
  <c r="CI81" i="1" s="1"/>
  <c r="CU27" i="1"/>
  <c r="CU34" i="1" s="1"/>
  <c r="CU80" i="1" s="1"/>
  <c r="CU82" i="1"/>
  <c r="AU27" i="1"/>
  <c r="AU33" i="1" s="1"/>
  <c r="AU79" i="1" s="1"/>
  <c r="AU89" i="1" s="1"/>
  <c r="AU166" i="1" s="1"/>
  <c r="AU82" i="1"/>
  <c r="CH27" i="1"/>
  <c r="CH33" i="1" s="1"/>
  <c r="CH79" i="1" s="1"/>
  <c r="CH89" i="1" s="1"/>
  <c r="CH166" i="1" s="1"/>
  <c r="CH82" i="1"/>
  <c r="AT27" i="1"/>
  <c r="AT33" i="1" s="1"/>
  <c r="AT79" i="1" s="1"/>
  <c r="AT89" i="1" s="1"/>
  <c r="AT166" i="1" s="1"/>
  <c r="AT82" i="1"/>
  <c r="I32" i="34"/>
  <c r="I33" i="34" s="1"/>
  <c r="I29" i="34"/>
  <c r="CF10" i="1"/>
  <c r="CG10" i="1"/>
  <c r="AV22" i="1"/>
  <c r="AV24" i="1"/>
  <c r="AV23" i="1"/>
  <c r="DG23" i="1"/>
  <c r="E23" i="5" s="1"/>
  <c r="DG24" i="1"/>
  <c r="DG22" i="1"/>
  <c r="CL10" i="1"/>
  <c r="G59" i="5"/>
  <c r="G57" i="5"/>
  <c r="AN159" i="1"/>
  <c r="AN166" i="1"/>
  <c r="D96" i="5"/>
  <c r="D99" i="5" s="1"/>
  <c r="X86" i="5"/>
  <c r="F66" i="5"/>
  <c r="R92" i="5" s="1"/>
  <c r="X92" i="5" s="1"/>
  <c r="F60" i="5"/>
  <c r="BM24" i="1"/>
  <c r="BM23" i="1"/>
  <c r="BM22" i="1"/>
  <c r="AM149" i="1" l="1"/>
  <c r="AM173" i="1" s="1"/>
  <c r="AM174" i="1" s="1"/>
  <c r="AN149" i="1"/>
  <c r="AN173" i="1" s="1"/>
  <c r="AN174" i="1" s="1"/>
  <c r="AN129" i="1"/>
  <c r="AM134" i="1"/>
  <c r="AJ178" i="1"/>
  <c r="AJ179" i="1" s="1"/>
  <c r="CF136" i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I38" i="25"/>
  <c r="AH180" i="1"/>
  <c r="I35" i="31"/>
  <c r="I37" i="32"/>
  <c r="J36" i="31"/>
  <c r="J38" i="32"/>
  <c r="J39" i="25"/>
  <c r="J29" i="34"/>
  <c r="CI90" i="1"/>
  <c r="AN90" i="1"/>
  <c r="E20" i="5"/>
  <c r="E59" i="5"/>
  <c r="E57" i="5"/>
  <c r="F20" i="5"/>
  <c r="CU33" i="1"/>
  <c r="CU79" i="1" s="1"/>
  <c r="CU89" i="1" s="1"/>
  <c r="CU166" i="1" s="1"/>
  <c r="K17" i="34"/>
  <c r="E22" i="5"/>
  <c r="E26" i="5" s="1"/>
  <c r="DG26" i="1"/>
  <c r="DG115" i="1" s="1"/>
  <c r="DG116" i="1" s="1"/>
  <c r="K18" i="34"/>
  <c r="K16" i="34"/>
  <c r="AV26" i="1"/>
  <c r="AV115" i="1" s="1"/>
  <c r="AV116" i="1" s="1"/>
  <c r="BM26" i="1"/>
  <c r="BM115" i="1" s="1"/>
  <c r="BM116" i="1" s="1"/>
  <c r="AT34" i="1"/>
  <c r="AT80" i="1" s="1"/>
  <c r="AT81" i="1" s="1"/>
  <c r="AU34" i="1"/>
  <c r="AU80" i="1" s="1"/>
  <c r="AU90" i="1" s="1"/>
  <c r="CT27" i="1"/>
  <c r="CT33" i="1" s="1"/>
  <c r="CT79" i="1" s="1"/>
  <c r="CT89" i="1" s="1"/>
  <c r="CT166" i="1" s="1"/>
  <c r="CT82" i="1"/>
  <c r="CH34" i="1"/>
  <c r="CH80" i="1" s="1"/>
  <c r="CH81" i="1" s="1"/>
  <c r="CS10" i="1"/>
  <c r="CG22" i="1"/>
  <c r="CG23" i="1"/>
  <c r="CG24" i="1"/>
  <c r="CF23" i="1"/>
  <c r="CF24" i="1"/>
  <c r="CF22" i="1"/>
  <c r="AW24" i="1"/>
  <c r="L18" i="34" s="1"/>
  <c r="AW23" i="1"/>
  <c r="L17" i="34" s="1"/>
  <c r="AW22" i="1"/>
  <c r="CR10" i="1"/>
  <c r="AO149" i="1"/>
  <c r="CU81" i="1"/>
  <c r="CU90" i="1"/>
  <c r="F80" i="5"/>
  <c r="F87" i="5"/>
  <c r="F62" i="5"/>
  <c r="G66" i="5"/>
  <c r="G60" i="5"/>
  <c r="CY10" i="1"/>
  <c r="BS24" i="1"/>
  <c r="BS23" i="1"/>
  <c r="BS22" i="1"/>
  <c r="AO159" i="1"/>
  <c r="D100" i="5"/>
  <c r="D81" i="5"/>
  <c r="BZ23" i="1"/>
  <c r="BZ24" i="1"/>
  <c r="BZ22" i="1"/>
  <c r="E49" i="5" l="1"/>
  <c r="N35" i="32"/>
  <c r="P35" i="32" s="1"/>
  <c r="AM160" i="1"/>
  <c r="AN160" i="1"/>
  <c r="C34" i="34"/>
  <c r="AN134" i="1"/>
  <c r="AO129" i="1"/>
  <c r="AJ180" i="1"/>
  <c r="CR136" i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J38" i="25"/>
  <c r="J37" i="32"/>
  <c r="J35" i="31"/>
  <c r="I39" i="32"/>
  <c r="I40" i="32"/>
  <c r="K38" i="32"/>
  <c r="K36" i="31"/>
  <c r="K39" i="25"/>
  <c r="AK168" i="1"/>
  <c r="AK170" i="1" s="1"/>
  <c r="AK176" i="1" s="1"/>
  <c r="AL143" i="1"/>
  <c r="AL144" i="1" s="1"/>
  <c r="AT90" i="1"/>
  <c r="J13" i="5"/>
  <c r="J17" i="5" s="1"/>
  <c r="K21" i="34"/>
  <c r="E66" i="5"/>
  <c r="E60" i="5"/>
  <c r="BS26" i="1"/>
  <c r="BS115" i="1" s="1"/>
  <c r="BS116" i="1" s="1"/>
  <c r="L16" i="34"/>
  <c r="L21" i="34" s="1"/>
  <c r="AW26" i="1"/>
  <c r="AW115" i="1" s="1"/>
  <c r="AW116" i="1" s="1"/>
  <c r="BZ26" i="1"/>
  <c r="BZ115" i="1" s="1"/>
  <c r="BZ116" i="1" s="1"/>
  <c r="CF26" i="1"/>
  <c r="CF115" i="1" s="1"/>
  <c r="CF116" i="1" s="1"/>
  <c r="CG26" i="1"/>
  <c r="CG115" i="1" s="1"/>
  <c r="CG116" i="1" s="1"/>
  <c r="CT34" i="1"/>
  <c r="CT80" i="1" s="1"/>
  <c r="CT90" i="1" s="1"/>
  <c r="K20" i="34"/>
  <c r="K28" i="34" s="1"/>
  <c r="K29" i="34" s="1"/>
  <c r="E30" i="5"/>
  <c r="E27" i="5"/>
  <c r="AU81" i="1"/>
  <c r="CH90" i="1"/>
  <c r="AV27" i="1"/>
  <c r="AV33" i="1" s="1"/>
  <c r="AV79" i="1" s="1"/>
  <c r="AV89" i="1" s="1"/>
  <c r="AV166" i="1" s="1"/>
  <c r="AV82" i="1"/>
  <c r="BM27" i="1"/>
  <c r="BM82" i="1"/>
  <c r="DG27" i="1"/>
  <c r="DG33" i="1" s="1"/>
  <c r="DG79" i="1" s="1"/>
  <c r="DG89" i="1" s="1"/>
  <c r="DG166" i="1" s="1"/>
  <c r="DG82" i="1"/>
  <c r="AO173" i="1"/>
  <c r="AO174" i="1" s="1"/>
  <c r="D34" i="34"/>
  <c r="DE10" i="1"/>
  <c r="CS22" i="1"/>
  <c r="CS23" i="1"/>
  <c r="CS24" i="1"/>
  <c r="DF10" i="1"/>
  <c r="AX24" i="1"/>
  <c r="M18" i="34" s="1"/>
  <c r="AX23" i="1"/>
  <c r="M17" i="34" s="1"/>
  <c r="AX22" i="1"/>
  <c r="CR22" i="1"/>
  <c r="CR23" i="1"/>
  <c r="CR24" i="1"/>
  <c r="AP149" i="1"/>
  <c r="F101" i="5"/>
  <c r="F84" i="5"/>
  <c r="CL24" i="1"/>
  <c r="CL22" i="1"/>
  <c r="CL23" i="1"/>
  <c r="G80" i="5"/>
  <c r="G87" i="5"/>
  <c r="G62" i="5"/>
  <c r="BT24" i="1"/>
  <c r="BT23" i="1"/>
  <c r="BT22" i="1"/>
  <c r="AP159" i="1"/>
  <c r="AO160" i="1"/>
  <c r="AK102" i="1" l="1"/>
  <c r="AK111" i="1" s="1"/>
  <c r="AK112" i="1" s="1"/>
  <c r="AK162" i="1" s="1"/>
  <c r="AO134" i="1"/>
  <c r="AP129" i="1"/>
  <c r="DE136" i="1"/>
  <c r="DF136" i="1" s="1"/>
  <c r="DG136" i="1" s="1"/>
  <c r="L38" i="32"/>
  <c r="L36" i="31"/>
  <c r="L39" i="25"/>
  <c r="J39" i="32"/>
  <c r="J40" i="32"/>
  <c r="AK178" i="1"/>
  <c r="AK179" i="1" s="1"/>
  <c r="K38" i="25"/>
  <c r="K35" i="31"/>
  <c r="K37" i="32"/>
  <c r="AM143" i="1"/>
  <c r="AM144" i="1" s="1"/>
  <c r="AL168" i="1"/>
  <c r="AL170" i="1" s="1"/>
  <c r="AL176" i="1" s="1"/>
  <c r="AL161" i="1"/>
  <c r="K13" i="5"/>
  <c r="K17" i="5" s="1"/>
  <c r="K20" i="5" s="1"/>
  <c r="J24" i="5"/>
  <c r="CT81" i="1"/>
  <c r="L20" i="34"/>
  <c r="L28" i="34" s="1"/>
  <c r="L32" i="34" s="1"/>
  <c r="L33" i="34" s="1"/>
  <c r="CR26" i="1"/>
  <c r="CR115" i="1" s="1"/>
  <c r="CR116" i="1" s="1"/>
  <c r="E62" i="5"/>
  <c r="E87" i="5"/>
  <c r="E80" i="5"/>
  <c r="J23" i="5"/>
  <c r="H13" i="5"/>
  <c r="H17" i="5" s="1"/>
  <c r="I13" i="5"/>
  <c r="I17" i="5" s="1"/>
  <c r="BT26" i="1"/>
  <c r="BT115" i="1" s="1"/>
  <c r="BT116" i="1" s="1"/>
  <c r="AV34" i="1"/>
  <c r="AV80" i="1" s="1"/>
  <c r="AV81" i="1" s="1"/>
  <c r="J22" i="5"/>
  <c r="CL26" i="1"/>
  <c r="CL115" i="1" s="1"/>
  <c r="CL116" i="1" s="1"/>
  <c r="M16" i="34"/>
  <c r="M20" i="34" s="1"/>
  <c r="M28" i="34" s="1"/>
  <c r="AX26" i="1"/>
  <c r="AX115" i="1" s="1"/>
  <c r="AX116" i="1" s="1"/>
  <c r="E28" i="5"/>
  <c r="E38" i="5"/>
  <c r="K32" i="34"/>
  <c r="K33" i="34" s="1"/>
  <c r="E39" i="5"/>
  <c r="E44" i="5" s="1"/>
  <c r="E29" i="5"/>
  <c r="CS26" i="1"/>
  <c r="CS115" i="1" s="1"/>
  <c r="CS116" i="1" s="1"/>
  <c r="DG34" i="1"/>
  <c r="DG80" i="1" s="1"/>
  <c r="DG81" i="1" s="1"/>
  <c r="BZ27" i="1"/>
  <c r="BZ33" i="1" s="1"/>
  <c r="BZ79" i="1" s="1"/>
  <c r="BZ89" i="1" s="1"/>
  <c r="BZ82" i="1"/>
  <c r="BM33" i="1"/>
  <c r="BM79" i="1" s="1"/>
  <c r="BM89" i="1" s="1"/>
  <c r="BM166" i="1" s="1"/>
  <c r="BM34" i="1"/>
  <c r="BM80" i="1" s="1"/>
  <c r="AW27" i="1"/>
  <c r="AW33" i="1" s="1"/>
  <c r="AW79" i="1" s="1"/>
  <c r="AW89" i="1" s="1"/>
  <c r="AW166" i="1" s="1"/>
  <c r="AW82" i="1"/>
  <c r="BS27" i="1"/>
  <c r="BS34" i="1" s="1"/>
  <c r="BS80" i="1" s="1"/>
  <c r="BS82" i="1"/>
  <c r="CF27" i="1"/>
  <c r="CF34" i="1" s="1"/>
  <c r="CF80" i="1" s="1"/>
  <c r="CF82" i="1"/>
  <c r="CG27" i="1"/>
  <c r="CG34" i="1" s="1"/>
  <c r="CG80" i="1" s="1"/>
  <c r="CG82" i="1"/>
  <c r="AP173" i="1"/>
  <c r="AP174" i="1" s="1"/>
  <c r="E34" i="34"/>
  <c r="DF22" i="1"/>
  <c r="DF23" i="1"/>
  <c r="DF24" i="1"/>
  <c r="AY24" i="1"/>
  <c r="N18" i="34" s="1"/>
  <c r="P18" i="34" s="1"/>
  <c r="AY22" i="1"/>
  <c r="AY23" i="1"/>
  <c r="F23" i="5" s="1"/>
  <c r="DE23" i="1"/>
  <c r="DE24" i="1"/>
  <c r="DE22" i="1"/>
  <c r="AQ149" i="1"/>
  <c r="F85" i="5"/>
  <c r="F96" i="5" s="1"/>
  <c r="J59" i="5"/>
  <c r="J57" i="5"/>
  <c r="G101" i="5"/>
  <c r="G84" i="5"/>
  <c r="BU24" i="1"/>
  <c r="BU23" i="1"/>
  <c r="BU22" i="1"/>
  <c r="AP160" i="1"/>
  <c r="AQ159" i="1"/>
  <c r="CY24" i="1"/>
  <c r="CY23" i="1"/>
  <c r="CY22" i="1"/>
  <c r="AP134" i="1" l="1"/>
  <c r="AQ129" i="1"/>
  <c r="AM168" i="1"/>
  <c r="AM170" i="1" s="1"/>
  <c r="AM176" i="1" s="1"/>
  <c r="H38" i="37" s="1"/>
  <c r="I38" i="37" s="1"/>
  <c r="AM161" i="1"/>
  <c r="AN143" i="1"/>
  <c r="AN144" i="1" s="1"/>
  <c r="M39" i="25"/>
  <c r="M36" i="31"/>
  <c r="M38" i="32"/>
  <c r="K39" i="32"/>
  <c r="AL102" i="1"/>
  <c r="AK180" i="1"/>
  <c r="L37" i="32"/>
  <c r="L38" i="25"/>
  <c r="L35" i="31"/>
  <c r="AL178" i="1"/>
  <c r="AL179" i="1" s="1"/>
  <c r="L29" i="34"/>
  <c r="AV90" i="1"/>
  <c r="BZ34" i="1"/>
  <c r="BZ80" i="1" s="1"/>
  <c r="BZ90" i="1" s="1"/>
  <c r="M21" i="34"/>
  <c r="BU26" i="1"/>
  <c r="BU115" i="1" s="1"/>
  <c r="BU116" i="1" s="1"/>
  <c r="I20" i="5"/>
  <c r="J20" i="5"/>
  <c r="I59" i="5"/>
  <c r="I57" i="5"/>
  <c r="H20" i="5"/>
  <c r="H59" i="5"/>
  <c r="H57" i="5"/>
  <c r="K23" i="5"/>
  <c r="E84" i="5"/>
  <c r="E85" i="5" s="1"/>
  <c r="E96" i="5" s="1"/>
  <c r="E101" i="5"/>
  <c r="F24" i="5"/>
  <c r="DF26" i="1"/>
  <c r="DF115" i="1" s="1"/>
  <c r="DF116" i="1" s="1"/>
  <c r="F22" i="5"/>
  <c r="J30" i="5"/>
  <c r="J27" i="5"/>
  <c r="J26" i="5"/>
  <c r="K24" i="5"/>
  <c r="DG90" i="1"/>
  <c r="CF33" i="1"/>
  <c r="CF79" i="1" s="1"/>
  <c r="CF89" i="1" s="1"/>
  <c r="CF166" i="1" s="1"/>
  <c r="K22" i="5"/>
  <c r="CY26" i="1"/>
  <c r="CY115" i="1" s="1"/>
  <c r="CY116" i="1" s="1"/>
  <c r="E48" i="5"/>
  <c r="E98" i="5"/>
  <c r="E97" i="5"/>
  <c r="E86" i="5"/>
  <c r="DE26" i="1"/>
  <c r="DE115" i="1" s="1"/>
  <c r="DE116" i="1" s="1"/>
  <c r="N16" i="34"/>
  <c r="P16" i="34" s="1"/>
  <c r="AY26" i="1"/>
  <c r="AY115" i="1" s="1"/>
  <c r="AY116" i="1" s="1"/>
  <c r="E40" i="5"/>
  <c r="E43" i="5"/>
  <c r="CG33" i="1"/>
  <c r="CG79" i="1" s="1"/>
  <c r="CG89" i="1" s="1"/>
  <c r="CG166" i="1" s="1"/>
  <c r="BT27" i="1"/>
  <c r="BT34" i="1" s="1"/>
  <c r="BT80" i="1" s="1"/>
  <c r="BT90" i="1" s="1"/>
  <c r="BT82" i="1"/>
  <c r="CS27" i="1"/>
  <c r="CS33" i="1" s="1"/>
  <c r="CS79" i="1" s="1"/>
  <c r="CS89" i="1" s="1"/>
  <c r="CS166" i="1" s="1"/>
  <c r="CS82" i="1"/>
  <c r="CL27" i="1"/>
  <c r="CL33" i="1" s="1"/>
  <c r="CL79" i="1" s="1"/>
  <c r="CL89" i="1" s="1"/>
  <c r="CL82" i="1"/>
  <c r="BS33" i="1"/>
  <c r="BS79" i="1" s="1"/>
  <c r="BS89" i="1" s="1"/>
  <c r="BS166" i="1" s="1"/>
  <c r="CR27" i="1"/>
  <c r="CR33" i="1" s="1"/>
  <c r="CR79" i="1" s="1"/>
  <c r="CR89" i="1" s="1"/>
  <c r="CR166" i="1" s="1"/>
  <c r="CR82" i="1"/>
  <c r="AX27" i="1"/>
  <c r="AX33" i="1" s="1"/>
  <c r="AX79" i="1" s="1"/>
  <c r="AX89" i="1" s="1"/>
  <c r="AX166" i="1" s="1"/>
  <c r="AX82" i="1"/>
  <c r="BM90" i="1"/>
  <c r="BM81" i="1"/>
  <c r="AW34" i="1"/>
  <c r="AW80" i="1" s="1"/>
  <c r="AW81" i="1" s="1"/>
  <c r="M32" i="34"/>
  <c r="M33" i="34" s="1"/>
  <c r="M29" i="34"/>
  <c r="N17" i="34"/>
  <c r="P17" i="34" s="1"/>
  <c r="AQ173" i="1"/>
  <c r="AQ174" i="1" s="1"/>
  <c r="F34" i="34"/>
  <c r="CF81" i="1"/>
  <c r="CF90" i="1"/>
  <c r="CG90" i="1"/>
  <c r="CG81" i="1"/>
  <c r="AZ24" i="1"/>
  <c r="AZ23" i="1"/>
  <c r="AZ22" i="1"/>
  <c r="AR149" i="1"/>
  <c r="G85" i="5"/>
  <c r="G96" i="5" s="1"/>
  <c r="AQ160" i="1"/>
  <c r="AR159" i="1"/>
  <c r="K59" i="5"/>
  <c r="K57" i="5"/>
  <c r="BZ166" i="1"/>
  <c r="BV24" i="1"/>
  <c r="BV23" i="1"/>
  <c r="BV22" i="1"/>
  <c r="BS81" i="1"/>
  <c r="BS90" i="1"/>
  <c r="J66" i="5"/>
  <c r="J60" i="5"/>
  <c r="AQ134" i="1" l="1"/>
  <c r="AR129" i="1"/>
  <c r="BZ81" i="1"/>
  <c r="AL180" i="1"/>
  <c r="M38" i="25"/>
  <c r="AM178" i="1"/>
  <c r="AM179" i="1" s="1"/>
  <c r="M37" i="32"/>
  <c r="M35" i="31"/>
  <c r="AL111" i="1"/>
  <c r="AL112" i="1" s="1"/>
  <c r="AL162" i="1" s="1"/>
  <c r="AM102" i="1"/>
  <c r="AN168" i="1"/>
  <c r="AN170" i="1" s="1"/>
  <c r="AN176" i="1" s="1"/>
  <c r="C39" i="34" s="1"/>
  <c r="AN161" i="1"/>
  <c r="L40" i="32"/>
  <c r="L39" i="32"/>
  <c r="AO143" i="1"/>
  <c r="AO144" i="1" s="1"/>
  <c r="N38" i="32"/>
  <c r="N36" i="31"/>
  <c r="N39" i="25"/>
  <c r="E99" i="5"/>
  <c r="H66" i="5"/>
  <c r="H60" i="5"/>
  <c r="I66" i="5"/>
  <c r="I60" i="5"/>
  <c r="BT81" i="1"/>
  <c r="BT33" i="1"/>
  <c r="BT79" i="1" s="1"/>
  <c r="BT89" i="1" s="1"/>
  <c r="BT166" i="1" s="1"/>
  <c r="AX34" i="1"/>
  <c r="AX80" i="1" s="1"/>
  <c r="AX90" i="1" s="1"/>
  <c r="CS34" i="1"/>
  <c r="CS80" i="1" s="1"/>
  <c r="CS90" i="1" s="1"/>
  <c r="AZ26" i="1"/>
  <c r="AZ115" i="1" s="1"/>
  <c r="AZ116" i="1" s="1"/>
  <c r="BV26" i="1"/>
  <c r="BV115" i="1" s="1"/>
  <c r="BV116" i="1" s="1"/>
  <c r="J38" i="5"/>
  <c r="J28" i="5"/>
  <c r="J39" i="5"/>
  <c r="J44" i="5" s="1"/>
  <c r="J48" i="5" s="1"/>
  <c r="J29" i="5"/>
  <c r="E45" i="5"/>
  <c r="E47" i="5"/>
  <c r="E100" i="5"/>
  <c r="E81" i="5"/>
  <c r="F30" i="5"/>
  <c r="F27" i="5"/>
  <c r="F26" i="5"/>
  <c r="K30" i="5"/>
  <c r="K26" i="5"/>
  <c r="K27" i="5"/>
  <c r="AW90" i="1"/>
  <c r="CR34" i="1"/>
  <c r="CR80" i="1" s="1"/>
  <c r="CR81" i="1" s="1"/>
  <c r="CY27" i="1"/>
  <c r="CY33" i="1" s="1"/>
  <c r="CY79" i="1" s="1"/>
  <c r="CY89" i="1" s="1"/>
  <c r="CY82" i="1"/>
  <c r="CL34" i="1"/>
  <c r="CL80" i="1" s="1"/>
  <c r="CL90" i="1" s="1"/>
  <c r="DE27" i="1"/>
  <c r="DE34" i="1" s="1"/>
  <c r="DE80" i="1" s="1"/>
  <c r="DE82" i="1"/>
  <c r="AY27" i="1"/>
  <c r="AY34" i="1" s="1"/>
  <c r="AY80" i="1" s="1"/>
  <c r="AY82" i="1"/>
  <c r="BU27" i="1"/>
  <c r="BU34" i="1" s="1"/>
  <c r="BU80" i="1" s="1"/>
  <c r="BU81" i="1" s="1"/>
  <c r="BU82" i="1"/>
  <c r="DF27" i="1"/>
  <c r="DF34" i="1" s="1"/>
  <c r="DF80" i="1" s="1"/>
  <c r="DF82" i="1"/>
  <c r="P21" i="34"/>
  <c r="P20" i="34"/>
  <c r="P28" i="34" s="1"/>
  <c r="N20" i="34"/>
  <c r="N28" i="34" s="1"/>
  <c r="N21" i="34"/>
  <c r="AR173" i="1"/>
  <c r="AR174" i="1" s="1"/>
  <c r="G34" i="34"/>
  <c r="X85" i="5"/>
  <c r="X88" i="5" s="1"/>
  <c r="X91" i="5" s="1"/>
  <c r="X93" i="5" s="1"/>
  <c r="X97" i="5" s="1"/>
  <c r="BA24" i="1"/>
  <c r="BA23" i="1"/>
  <c r="BA22" i="1"/>
  <c r="AS149" i="1"/>
  <c r="K66" i="5"/>
  <c r="K60" i="5"/>
  <c r="BW24" i="1"/>
  <c r="BW23" i="1"/>
  <c r="BW22" i="1"/>
  <c r="CL159" i="1"/>
  <c r="CM159" i="1" s="1"/>
  <c r="CN159" i="1" s="1"/>
  <c r="CO159" i="1" s="1"/>
  <c r="CP159" i="1" s="1"/>
  <c r="CQ159" i="1" s="1"/>
  <c r="CR159" i="1" s="1"/>
  <c r="CS159" i="1" s="1"/>
  <c r="CT159" i="1" s="1"/>
  <c r="CU159" i="1" s="1"/>
  <c r="CL166" i="1"/>
  <c r="J87" i="5"/>
  <c r="J80" i="5"/>
  <c r="J62" i="5"/>
  <c r="R85" i="5"/>
  <c r="R88" i="5" s="1"/>
  <c r="R91" i="5" s="1"/>
  <c r="R93" i="5" s="1"/>
  <c r="R97" i="5" s="1"/>
  <c r="AR160" i="1"/>
  <c r="AS159" i="1"/>
  <c r="AR134" i="1" l="1"/>
  <c r="AS129" i="1"/>
  <c r="E46" i="5"/>
  <c r="N35" i="31"/>
  <c r="AM180" i="1"/>
  <c r="N38" i="25"/>
  <c r="AN178" i="1"/>
  <c r="AN179" i="1" s="1"/>
  <c r="N37" i="32"/>
  <c r="M40" i="32"/>
  <c r="M39" i="32"/>
  <c r="AO168" i="1"/>
  <c r="AO170" i="1" s="1"/>
  <c r="AO176" i="1" s="1"/>
  <c r="D39" i="34" s="1"/>
  <c r="AO161" i="1"/>
  <c r="AM111" i="1"/>
  <c r="AM112" i="1" s="1"/>
  <c r="AM162" i="1" s="1"/>
  <c r="AN102" i="1"/>
  <c r="AP143" i="1"/>
  <c r="AP144" i="1" s="1"/>
  <c r="BU33" i="1"/>
  <c r="BU79" i="1" s="1"/>
  <c r="BU89" i="1" s="1"/>
  <c r="BU166" i="1" s="1"/>
  <c r="AX81" i="1"/>
  <c r="BW26" i="1"/>
  <c r="BW115" i="1" s="1"/>
  <c r="BW116" i="1" s="1"/>
  <c r="CS81" i="1"/>
  <c r="I87" i="5"/>
  <c r="I80" i="5"/>
  <c r="I62" i="5"/>
  <c r="H62" i="5"/>
  <c r="H87" i="5"/>
  <c r="H80" i="5"/>
  <c r="CY34" i="1"/>
  <c r="CY80" i="1" s="1"/>
  <c r="CY81" i="1" s="1"/>
  <c r="BU90" i="1"/>
  <c r="F39" i="5"/>
  <c r="F44" i="5" s="1"/>
  <c r="F48" i="5" s="1"/>
  <c r="F29" i="5"/>
  <c r="J43" i="5"/>
  <c r="J40" i="5"/>
  <c r="J81" i="5" s="1"/>
  <c r="DF33" i="1"/>
  <c r="DF79" i="1" s="1"/>
  <c r="DF89" i="1" s="1"/>
  <c r="DF166" i="1" s="1"/>
  <c r="CR90" i="1"/>
  <c r="K29" i="5"/>
  <c r="K39" i="5"/>
  <c r="K44" i="5" s="1"/>
  <c r="K48" i="5" s="1"/>
  <c r="K28" i="5"/>
  <c r="K38" i="5"/>
  <c r="BA26" i="1"/>
  <c r="BA115" i="1" s="1"/>
  <c r="BA116" i="1" s="1"/>
  <c r="F28" i="5"/>
  <c r="F38" i="5"/>
  <c r="CL81" i="1"/>
  <c r="AY33" i="1"/>
  <c r="AY79" i="1" s="1"/>
  <c r="AY89" i="1" s="1"/>
  <c r="AY166" i="1" s="1"/>
  <c r="DE33" i="1"/>
  <c r="DE79" i="1" s="1"/>
  <c r="DE89" i="1" s="1"/>
  <c r="DE166" i="1" s="1"/>
  <c r="AZ27" i="1"/>
  <c r="AZ33" i="1" s="1"/>
  <c r="AZ79" i="1" s="1"/>
  <c r="AZ89" i="1" s="1"/>
  <c r="AZ82" i="1"/>
  <c r="BV27" i="1"/>
  <c r="BV33" i="1" s="1"/>
  <c r="BV79" i="1" s="1"/>
  <c r="BV89" i="1" s="1"/>
  <c r="BV82" i="1"/>
  <c r="N32" i="34"/>
  <c r="N33" i="34" s="1"/>
  <c r="N29" i="34"/>
  <c r="P32" i="34"/>
  <c r="P33" i="34" s="1"/>
  <c r="P29" i="34"/>
  <c r="AS173" i="1"/>
  <c r="AS174" i="1" s="1"/>
  <c r="H34" i="34"/>
  <c r="BB24" i="1"/>
  <c r="BB22" i="1"/>
  <c r="BB23" i="1"/>
  <c r="AY90" i="1"/>
  <c r="AY81" i="1"/>
  <c r="DE81" i="1"/>
  <c r="DE90" i="1"/>
  <c r="DF81" i="1"/>
  <c r="DF90" i="1"/>
  <c r="AT149" i="1"/>
  <c r="K87" i="5"/>
  <c r="K80" i="5"/>
  <c r="K62" i="5"/>
  <c r="AT159" i="1"/>
  <c r="AS160" i="1"/>
  <c r="CY159" i="1"/>
  <c r="CZ159" i="1" s="1"/>
  <c r="DA159" i="1" s="1"/>
  <c r="DB159" i="1" s="1"/>
  <c r="DC159" i="1" s="1"/>
  <c r="DD159" i="1" s="1"/>
  <c r="CY166" i="1"/>
  <c r="J101" i="5"/>
  <c r="J84" i="5"/>
  <c r="J97" i="5"/>
  <c r="J98" i="5"/>
  <c r="J86" i="5"/>
  <c r="BX24" i="1"/>
  <c r="I24" i="5" s="1"/>
  <c r="BX23" i="1"/>
  <c r="I23" i="5" s="1"/>
  <c r="BX22" i="1"/>
  <c r="AT129" i="1" l="1"/>
  <c r="AS134" i="1"/>
  <c r="AZ34" i="1"/>
  <c r="AZ80" i="1" s="1"/>
  <c r="AZ81" i="1" s="1"/>
  <c r="CY90" i="1"/>
  <c r="N40" i="32"/>
  <c r="N39" i="32"/>
  <c r="AN111" i="1"/>
  <c r="AN112" i="1" s="1"/>
  <c r="AN162" i="1" s="1"/>
  <c r="AO102" i="1"/>
  <c r="C38" i="34"/>
  <c r="AN180" i="1"/>
  <c r="AO178" i="1"/>
  <c r="AO179" i="1" s="1"/>
  <c r="AQ143" i="1"/>
  <c r="AQ144" i="1" s="1"/>
  <c r="E89" i="5"/>
  <c r="E90" i="5"/>
  <c r="AP168" i="1"/>
  <c r="AP170" i="1" s="1"/>
  <c r="AP176" i="1" s="1"/>
  <c r="E39" i="34" s="1"/>
  <c r="AP161" i="1"/>
  <c r="J100" i="5"/>
  <c r="H101" i="5"/>
  <c r="H84" i="5"/>
  <c r="H85" i="5" s="1"/>
  <c r="H96" i="5" s="1"/>
  <c r="I84" i="5"/>
  <c r="I85" i="5" s="1"/>
  <c r="I96" i="5" s="1"/>
  <c r="I101" i="5"/>
  <c r="DE159" i="1"/>
  <c r="DF159" i="1" s="1"/>
  <c r="DG159" i="1" s="1"/>
  <c r="F40" i="5"/>
  <c r="F43" i="5"/>
  <c r="I22" i="5"/>
  <c r="BX26" i="1"/>
  <c r="BX115" i="1" s="1"/>
  <c r="BX116" i="1" s="1"/>
  <c r="BB26" i="1"/>
  <c r="BB115" i="1" s="1"/>
  <c r="BB116" i="1" s="1"/>
  <c r="J45" i="5"/>
  <c r="J47" i="5"/>
  <c r="K40" i="5"/>
  <c r="K100" i="5" s="1"/>
  <c r="K43" i="5"/>
  <c r="BV34" i="1"/>
  <c r="BV80" i="1" s="1"/>
  <c r="BV81" i="1" s="1"/>
  <c r="BW27" i="1"/>
  <c r="BW34" i="1" s="1"/>
  <c r="BW80" i="1" s="1"/>
  <c r="BW90" i="1" s="1"/>
  <c r="BW82" i="1"/>
  <c r="BA27" i="1"/>
  <c r="BA34" i="1" s="1"/>
  <c r="BA80" i="1" s="1"/>
  <c r="BA90" i="1" s="1"/>
  <c r="BA82" i="1"/>
  <c r="AY148" i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AY147" i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T173" i="1"/>
  <c r="AT174" i="1" s="1"/>
  <c r="I34" i="34"/>
  <c r="AZ159" i="1"/>
  <c r="AZ166" i="1"/>
  <c r="BC22" i="1"/>
  <c r="BC23" i="1"/>
  <c r="BC24" i="1"/>
  <c r="AU149" i="1"/>
  <c r="K101" i="5"/>
  <c r="K84" i="5"/>
  <c r="AU159" i="1"/>
  <c r="AT160" i="1"/>
  <c r="BV166" i="1"/>
  <c r="K98" i="5"/>
  <c r="K97" i="5"/>
  <c r="K86" i="5"/>
  <c r="F97" i="5"/>
  <c r="F98" i="5"/>
  <c r="F99" i="5" s="1"/>
  <c r="F86" i="5"/>
  <c r="J85" i="5"/>
  <c r="J96" i="5" s="1"/>
  <c r="J99" i="5" s="1"/>
  <c r="AZ90" i="1" l="1"/>
  <c r="AT134" i="1"/>
  <c r="AU129" i="1"/>
  <c r="AR143" i="1"/>
  <c r="AR144" i="1" s="1"/>
  <c r="C41" i="34"/>
  <c r="C40" i="34"/>
  <c r="AQ168" i="1"/>
  <c r="AQ170" i="1" s="1"/>
  <c r="AQ176" i="1" s="1"/>
  <c r="F39" i="34" s="1"/>
  <c r="AQ161" i="1"/>
  <c r="AO111" i="1"/>
  <c r="AO112" i="1" s="1"/>
  <c r="AO162" i="1" s="1"/>
  <c r="AP102" i="1"/>
  <c r="AP178" i="1"/>
  <c r="AP179" i="1" s="1"/>
  <c r="D38" i="34"/>
  <c r="AO180" i="1"/>
  <c r="BV90" i="1"/>
  <c r="BA33" i="1"/>
  <c r="BA79" i="1" s="1"/>
  <c r="BA89" i="1" s="1"/>
  <c r="BA166" i="1" s="1"/>
  <c r="BA81" i="1"/>
  <c r="I30" i="5"/>
  <c r="I27" i="5"/>
  <c r="I26" i="5"/>
  <c r="F45" i="5"/>
  <c r="F47" i="5"/>
  <c r="BC26" i="1"/>
  <c r="BC115" i="1" s="1"/>
  <c r="BC116" i="1" s="1"/>
  <c r="K45" i="5"/>
  <c r="K47" i="5"/>
  <c r="BW81" i="1"/>
  <c r="BW33" i="1"/>
  <c r="BW79" i="1" s="1"/>
  <c r="BW89" i="1" s="1"/>
  <c r="BW166" i="1" s="1"/>
  <c r="BB27" i="1"/>
  <c r="BB34" i="1" s="1"/>
  <c r="BB80" i="1" s="1"/>
  <c r="BB82" i="1"/>
  <c r="BX27" i="1"/>
  <c r="BX34" i="1" s="1"/>
  <c r="BX80" i="1" s="1"/>
  <c r="BX82" i="1"/>
  <c r="AU173" i="1"/>
  <c r="AU174" i="1" s="1"/>
  <c r="J34" i="34"/>
  <c r="K81" i="5"/>
  <c r="BD23" i="1"/>
  <c r="BD22" i="1"/>
  <c r="BD24" i="1"/>
  <c r="AV149" i="1"/>
  <c r="K85" i="5"/>
  <c r="K96" i="5" s="1"/>
  <c r="K99" i="5" s="1"/>
  <c r="F100" i="5"/>
  <c r="F81" i="5"/>
  <c r="AU160" i="1"/>
  <c r="AV159" i="1"/>
  <c r="AV129" i="1" l="1"/>
  <c r="AU134" i="1"/>
  <c r="E38" i="34"/>
  <c r="AQ178" i="1"/>
  <c r="AQ179" i="1" s="1"/>
  <c r="AP180" i="1"/>
  <c r="AP111" i="1"/>
  <c r="AP112" i="1" s="1"/>
  <c r="AP162" i="1" s="1"/>
  <c r="AQ102" i="1"/>
  <c r="AR168" i="1"/>
  <c r="AR170" i="1" s="1"/>
  <c r="AR176" i="1" s="1"/>
  <c r="G39" i="34" s="1"/>
  <c r="AR161" i="1"/>
  <c r="AS143" i="1"/>
  <c r="AS144" i="1" s="1"/>
  <c r="D41" i="34"/>
  <c r="D40" i="34"/>
  <c r="BA159" i="1"/>
  <c r="I28" i="5"/>
  <c r="I38" i="5"/>
  <c r="I29" i="5"/>
  <c r="I39" i="5"/>
  <c r="I44" i="5" s="1"/>
  <c r="I48" i="5" s="1"/>
  <c r="BD26" i="1"/>
  <c r="BD115" i="1" s="1"/>
  <c r="BD116" i="1" s="1"/>
  <c r="BX33" i="1"/>
  <c r="BX79" i="1" s="1"/>
  <c r="BX89" i="1" s="1"/>
  <c r="BX166" i="1" s="1"/>
  <c r="BB33" i="1"/>
  <c r="BB79" i="1" s="1"/>
  <c r="BB89" i="1" s="1"/>
  <c r="BC27" i="1"/>
  <c r="BC33" i="1" s="1"/>
  <c r="BC79" i="1" s="1"/>
  <c r="BC89" i="1" s="1"/>
  <c r="BC166" i="1" s="1"/>
  <c r="BC82" i="1"/>
  <c r="AV173" i="1"/>
  <c r="AV174" i="1" s="1"/>
  <c r="K34" i="34"/>
  <c r="BB81" i="1"/>
  <c r="BB90" i="1"/>
  <c r="BE24" i="1"/>
  <c r="BE23" i="1"/>
  <c r="BE22" i="1"/>
  <c r="AW149" i="1"/>
  <c r="BX90" i="1"/>
  <c r="BX81" i="1"/>
  <c r="AV160" i="1"/>
  <c r="AW159" i="1"/>
  <c r="AV134" i="1" l="1"/>
  <c r="AW129" i="1"/>
  <c r="AT143" i="1"/>
  <c r="AT144" i="1" s="1"/>
  <c r="F38" i="34"/>
  <c r="AR178" i="1"/>
  <c r="AR179" i="1" s="1"/>
  <c r="AQ180" i="1"/>
  <c r="E41" i="34"/>
  <c r="E40" i="34"/>
  <c r="AQ111" i="1"/>
  <c r="AQ112" i="1" s="1"/>
  <c r="AQ162" i="1" s="1"/>
  <c r="AR102" i="1"/>
  <c r="AS168" i="1"/>
  <c r="AS170" i="1" s="1"/>
  <c r="AS176" i="1" s="1"/>
  <c r="H39" i="34" s="1"/>
  <c r="AS161" i="1"/>
  <c r="BB159" i="1"/>
  <c r="BC159" i="1" s="1"/>
  <c r="BB166" i="1"/>
  <c r="BE26" i="1"/>
  <c r="BE115" i="1" s="1"/>
  <c r="BE116" i="1" s="1"/>
  <c r="I40" i="5"/>
  <c r="I43" i="5"/>
  <c r="BX159" i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BC34" i="1"/>
  <c r="BC80" i="1" s="1"/>
  <c r="BC81" i="1" s="1"/>
  <c r="BD27" i="1"/>
  <c r="BD33" i="1" s="1"/>
  <c r="BD79" i="1" s="1"/>
  <c r="BD89" i="1" s="1"/>
  <c r="BD82" i="1"/>
  <c r="AW173" i="1"/>
  <c r="AW174" i="1" s="1"/>
  <c r="L34" i="34"/>
  <c r="BF24" i="1"/>
  <c r="BF23" i="1"/>
  <c r="BF22" i="1"/>
  <c r="AX149" i="1"/>
  <c r="I98" i="5"/>
  <c r="I99" i="5" s="1"/>
  <c r="I97" i="5"/>
  <c r="I86" i="5"/>
  <c r="AW160" i="1"/>
  <c r="AX159" i="1"/>
  <c r="AW134" i="1" l="1"/>
  <c r="AX129" i="1"/>
  <c r="G38" i="34"/>
  <c r="AR180" i="1"/>
  <c r="AS178" i="1"/>
  <c r="AS179" i="1" s="1"/>
  <c r="F41" i="34"/>
  <c r="F40" i="34"/>
  <c r="AR111" i="1"/>
  <c r="AR112" i="1" s="1"/>
  <c r="AR162" i="1" s="1"/>
  <c r="AS102" i="1"/>
  <c r="AT168" i="1"/>
  <c r="AT170" i="1" s="1"/>
  <c r="AT176" i="1" s="1"/>
  <c r="I39" i="34" s="1"/>
  <c r="AT161" i="1"/>
  <c r="AU143" i="1"/>
  <c r="AU144" i="1" s="1"/>
  <c r="BC90" i="1"/>
  <c r="I47" i="5"/>
  <c r="I45" i="5"/>
  <c r="BF26" i="1"/>
  <c r="BF115" i="1" s="1"/>
  <c r="BF116" i="1" s="1"/>
  <c r="BD34" i="1"/>
  <c r="BD80" i="1" s="1"/>
  <c r="BD90" i="1" s="1"/>
  <c r="BE27" i="1"/>
  <c r="BE33" i="1" s="1"/>
  <c r="BE79" i="1" s="1"/>
  <c r="BE89" i="1" s="1"/>
  <c r="BE166" i="1" s="1"/>
  <c r="BE82" i="1"/>
  <c r="AX173" i="1"/>
  <c r="AX174" i="1" s="1"/>
  <c r="M34" i="34"/>
  <c r="BD159" i="1"/>
  <c r="BD166" i="1"/>
  <c r="BG23" i="1"/>
  <c r="BG22" i="1"/>
  <c r="BG24" i="1"/>
  <c r="AY149" i="1"/>
  <c r="F49" i="5" s="1"/>
  <c r="AX160" i="1"/>
  <c r="AY159" i="1"/>
  <c r="I100" i="5"/>
  <c r="I81" i="5"/>
  <c r="AX134" i="1" l="1"/>
  <c r="AY129" i="1"/>
  <c r="AU168" i="1"/>
  <c r="AU170" i="1" s="1"/>
  <c r="AU176" i="1" s="1"/>
  <c r="J39" i="34" s="1"/>
  <c r="AU161" i="1"/>
  <c r="AV143" i="1"/>
  <c r="AV144" i="1" s="1"/>
  <c r="H38" i="34"/>
  <c r="AT178" i="1"/>
  <c r="AT179" i="1" s="1"/>
  <c r="AS180" i="1"/>
  <c r="AS111" i="1"/>
  <c r="AS112" i="1" s="1"/>
  <c r="AS162" i="1" s="1"/>
  <c r="AT102" i="1"/>
  <c r="G41" i="34"/>
  <c r="G40" i="34"/>
  <c r="BD81" i="1"/>
  <c r="BG26" i="1"/>
  <c r="BG115" i="1" s="1"/>
  <c r="BG116" i="1" s="1"/>
  <c r="BE159" i="1"/>
  <c r="BE34" i="1"/>
  <c r="BE80" i="1" s="1"/>
  <c r="BE90" i="1" s="1"/>
  <c r="BF27" i="1"/>
  <c r="BF33" i="1" s="1"/>
  <c r="BF79" i="1" s="1"/>
  <c r="BF89" i="1" s="1"/>
  <c r="BF82" i="1"/>
  <c r="N34" i="34"/>
  <c r="BH24" i="1"/>
  <c r="BH22" i="1"/>
  <c r="BH23" i="1"/>
  <c r="AZ149" i="1"/>
  <c r="AZ173" i="1" s="1"/>
  <c r="AZ174" i="1" s="1"/>
  <c r="AY173" i="1"/>
  <c r="AY174" i="1" s="1"/>
  <c r="AY160" i="1"/>
  <c r="AZ158" i="1"/>
  <c r="AY134" i="1" l="1"/>
  <c r="AZ129" i="1"/>
  <c r="AW143" i="1"/>
  <c r="AW144" i="1" s="1"/>
  <c r="AT111" i="1"/>
  <c r="AT112" i="1" s="1"/>
  <c r="AT162" i="1" s="1"/>
  <c r="AU102" i="1"/>
  <c r="H41" i="34"/>
  <c r="H40" i="34"/>
  <c r="AV168" i="1"/>
  <c r="AV170" i="1" s="1"/>
  <c r="AV176" i="1" s="1"/>
  <c r="K39" i="34" s="1"/>
  <c r="AV161" i="1"/>
  <c r="I38" i="34"/>
  <c r="AU178" i="1"/>
  <c r="AU179" i="1" s="1"/>
  <c r="AT180" i="1"/>
  <c r="BF159" i="1"/>
  <c r="BF166" i="1"/>
  <c r="BE81" i="1"/>
  <c r="BH26" i="1"/>
  <c r="BH115" i="1" s="1"/>
  <c r="BH116" i="1" s="1"/>
  <c r="BF34" i="1"/>
  <c r="BF80" i="1" s="1"/>
  <c r="BF81" i="1" s="1"/>
  <c r="BG27" i="1"/>
  <c r="BG33" i="1" s="1"/>
  <c r="BG79" i="1" s="1"/>
  <c r="BG89" i="1" s="1"/>
  <c r="BG82" i="1"/>
  <c r="BI23" i="1"/>
  <c r="BI24" i="1"/>
  <c r="BI22" i="1"/>
  <c r="BA149" i="1"/>
  <c r="BA173" i="1" s="1"/>
  <c r="BA174" i="1" s="1"/>
  <c r="AZ160" i="1"/>
  <c r="BA158" i="1"/>
  <c r="AZ134" i="1" l="1"/>
  <c r="BA129" i="1"/>
  <c r="I41" i="34"/>
  <c r="I40" i="34"/>
  <c r="AW168" i="1"/>
  <c r="AW170" i="1" s="1"/>
  <c r="AW176" i="1" s="1"/>
  <c r="L39" i="34" s="1"/>
  <c r="AW161" i="1"/>
  <c r="J38" i="34"/>
  <c r="AV178" i="1"/>
  <c r="AV179" i="1" s="1"/>
  <c r="AU180" i="1"/>
  <c r="AX143" i="1"/>
  <c r="AX144" i="1" s="1"/>
  <c r="AU111" i="1"/>
  <c r="AU112" i="1" s="1"/>
  <c r="AU162" i="1" s="1"/>
  <c r="AV102" i="1"/>
  <c r="BF90" i="1"/>
  <c r="BI26" i="1"/>
  <c r="BI115" i="1" s="1"/>
  <c r="BI116" i="1" s="1"/>
  <c r="BG34" i="1"/>
  <c r="BG80" i="1" s="1"/>
  <c r="BG81" i="1" s="1"/>
  <c r="BH27" i="1"/>
  <c r="BH34" i="1" s="1"/>
  <c r="BH80" i="1" s="1"/>
  <c r="BH81" i="1" s="1"/>
  <c r="BH82" i="1"/>
  <c r="BG166" i="1"/>
  <c r="BG159" i="1"/>
  <c r="BJ22" i="1"/>
  <c r="BJ24" i="1"/>
  <c r="BJ23" i="1"/>
  <c r="BB149" i="1"/>
  <c r="BB173" i="1" s="1"/>
  <c r="BB174" i="1" s="1"/>
  <c r="BA160" i="1"/>
  <c r="BB158" i="1"/>
  <c r="BB129" i="1" l="1"/>
  <c r="BA134" i="1"/>
  <c r="BH33" i="1"/>
  <c r="BH79" i="1" s="1"/>
  <c r="BH89" i="1" s="1"/>
  <c r="BH166" i="1" s="1"/>
  <c r="J41" i="34"/>
  <c r="J40" i="34"/>
  <c r="AV111" i="1"/>
  <c r="AV112" i="1" s="1"/>
  <c r="AV162" i="1" s="1"/>
  <c r="AW102" i="1"/>
  <c r="K38" i="34"/>
  <c r="AV180" i="1"/>
  <c r="AW178" i="1"/>
  <c r="AW179" i="1" s="1"/>
  <c r="AX168" i="1"/>
  <c r="AX170" i="1" s="1"/>
  <c r="AX176" i="1" s="1"/>
  <c r="M39" i="34" s="1"/>
  <c r="AX161" i="1"/>
  <c r="AY143" i="1"/>
  <c r="AY144" i="1" s="1"/>
  <c r="BG90" i="1"/>
  <c r="BJ26" i="1"/>
  <c r="BJ115" i="1" s="1"/>
  <c r="BJ116" i="1" s="1"/>
  <c r="BH90" i="1"/>
  <c r="BI27" i="1"/>
  <c r="BI34" i="1" s="1"/>
  <c r="BI80" i="1" s="1"/>
  <c r="BI81" i="1" s="1"/>
  <c r="BI82" i="1"/>
  <c r="BK24" i="1"/>
  <c r="BK22" i="1"/>
  <c r="BK23" i="1"/>
  <c r="BC149" i="1"/>
  <c r="BC173" i="1" s="1"/>
  <c r="BC174" i="1" s="1"/>
  <c r="BB160" i="1"/>
  <c r="BC158" i="1"/>
  <c r="BB134" i="1" l="1"/>
  <c r="BC129" i="1"/>
  <c r="BH159" i="1"/>
  <c r="L38" i="34"/>
  <c r="AX178" i="1"/>
  <c r="AX179" i="1" s="1"/>
  <c r="AW180" i="1"/>
  <c r="AY168" i="1"/>
  <c r="AY170" i="1" s="1"/>
  <c r="AY176" i="1" s="1"/>
  <c r="N39" i="34" s="1"/>
  <c r="AY161" i="1"/>
  <c r="K41" i="34"/>
  <c r="K40" i="34"/>
  <c r="AZ143" i="1"/>
  <c r="AZ144" i="1" s="1"/>
  <c r="AW111" i="1"/>
  <c r="AW112" i="1" s="1"/>
  <c r="AW162" i="1" s="1"/>
  <c r="AX102" i="1"/>
  <c r="BI90" i="1"/>
  <c r="BK26" i="1"/>
  <c r="BK115" i="1" s="1"/>
  <c r="BK116" i="1" s="1"/>
  <c r="BI33" i="1"/>
  <c r="BI79" i="1" s="1"/>
  <c r="BI89" i="1" s="1"/>
  <c r="BJ27" i="1"/>
  <c r="BJ33" i="1" s="1"/>
  <c r="BJ79" i="1" s="1"/>
  <c r="BJ89" i="1" s="1"/>
  <c r="BJ82" i="1"/>
  <c r="BL24" i="1"/>
  <c r="BL23" i="1"/>
  <c r="BL22" i="1"/>
  <c r="BD149" i="1"/>
  <c r="BD173" i="1" s="1"/>
  <c r="BD174" i="1" s="1"/>
  <c r="BC160" i="1"/>
  <c r="BD158" i="1"/>
  <c r="BD129" i="1" l="1"/>
  <c r="BC134" i="1"/>
  <c r="AX111" i="1"/>
  <c r="AX112" i="1" s="1"/>
  <c r="AX162" i="1" s="1"/>
  <c r="AY102" i="1"/>
  <c r="L41" i="34"/>
  <c r="L40" i="34"/>
  <c r="M38" i="34"/>
  <c r="AX180" i="1"/>
  <c r="AY178" i="1"/>
  <c r="AY179" i="1" s="1"/>
  <c r="AZ168" i="1"/>
  <c r="AZ170" i="1" s="1"/>
  <c r="AZ176" i="1" s="1"/>
  <c r="AZ161" i="1"/>
  <c r="BA143" i="1"/>
  <c r="BA144" i="1" s="1"/>
  <c r="H22" i="5"/>
  <c r="BL26" i="1"/>
  <c r="BL115" i="1" s="1"/>
  <c r="BL116" i="1" s="1"/>
  <c r="G22" i="5"/>
  <c r="H23" i="5"/>
  <c r="G23" i="5"/>
  <c r="H24" i="5"/>
  <c r="G24" i="5"/>
  <c r="BJ34" i="1"/>
  <c r="BJ80" i="1" s="1"/>
  <c r="BJ90" i="1" s="1"/>
  <c r="BI166" i="1"/>
  <c r="BI159" i="1"/>
  <c r="BJ159" i="1" s="1"/>
  <c r="BK27" i="1"/>
  <c r="BK34" i="1" s="1"/>
  <c r="BK80" i="1" s="1"/>
  <c r="BK82" i="1"/>
  <c r="BJ166" i="1"/>
  <c r="BE149" i="1"/>
  <c r="BE173" i="1" s="1"/>
  <c r="BE174" i="1" s="1"/>
  <c r="BD160" i="1"/>
  <c r="BE158" i="1"/>
  <c r="BD134" i="1" l="1"/>
  <c r="BE129" i="1"/>
  <c r="BB143" i="1"/>
  <c r="BB144" i="1" s="1"/>
  <c r="AY111" i="1"/>
  <c r="AY112" i="1" s="1"/>
  <c r="AY162" i="1" s="1"/>
  <c r="AZ102" i="1"/>
  <c r="M41" i="34"/>
  <c r="M40" i="34"/>
  <c r="BA168" i="1"/>
  <c r="BA170" i="1" s="1"/>
  <c r="BA176" i="1" s="1"/>
  <c r="BA161" i="1"/>
  <c r="F46" i="5"/>
  <c r="AY180" i="1"/>
  <c r="AZ178" i="1"/>
  <c r="AZ179" i="1" s="1"/>
  <c r="N38" i="34"/>
  <c r="BJ81" i="1"/>
  <c r="G30" i="5"/>
  <c r="G27" i="5"/>
  <c r="G26" i="5"/>
  <c r="H30" i="5"/>
  <c r="H26" i="5"/>
  <c r="H27" i="5"/>
  <c r="BK33" i="1"/>
  <c r="BK79" i="1" s="1"/>
  <c r="BK89" i="1" s="1"/>
  <c r="BK159" i="1" s="1"/>
  <c r="BL27" i="1"/>
  <c r="BL33" i="1" s="1"/>
  <c r="BL79" i="1" s="1"/>
  <c r="BL89" i="1" s="1"/>
  <c r="BL82" i="1"/>
  <c r="BK90" i="1"/>
  <c r="BK81" i="1"/>
  <c r="BF149" i="1"/>
  <c r="BF173" i="1" s="1"/>
  <c r="BF174" i="1" s="1"/>
  <c r="BE160" i="1"/>
  <c r="BF158" i="1"/>
  <c r="BE134" i="1" l="1"/>
  <c r="BF129" i="1"/>
  <c r="N41" i="34"/>
  <c r="N40" i="34"/>
  <c r="BL34" i="1"/>
  <c r="BL80" i="1" s="1"/>
  <c r="BL90" i="1" s="1"/>
  <c r="AZ180" i="1"/>
  <c r="BA178" i="1"/>
  <c r="BA179" i="1" s="1"/>
  <c r="F90" i="5"/>
  <c r="F89" i="5"/>
  <c r="BB168" i="1"/>
  <c r="BB170" i="1" s="1"/>
  <c r="BB176" i="1" s="1"/>
  <c r="BB161" i="1"/>
  <c r="BC143" i="1"/>
  <c r="BC144" i="1" s="1"/>
  <c r="BA102" i="1"/>
  <c r="AZ111" i="1"/>
  <c r="AZ112" i="1" s="1"/>
  <c r="AZ162" i="1" s="1"/>
  <c r="BK166" i="1"/>
  <c r="H28" i="5"/>
  <c r="H38" i="5"/>
  <c r="G28" i="5"/>
  <c r="G38" i="5"/>
  <c r="G29" i="5"/>
  <c r="G39" i="5"/>
  <c r="G44" i="5" s="1"/>
  <c r="H39" i="5"/>
  <c r="H44" i="5" s="1"/>
  <c r="H48" i="5" s="1"/>
  <c r="H29" i="5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K148" i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L166" i="1"/>
  <c r="BL159" i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G149" i="1"/>
  <c r="BG173" i="1" s="1"/>
  <c r="BG174" i="1" s="1"/>
  <c r="BF160" i="1"/>
  <c r="BG158" i="1"/>
  <c r="BF134" i="1" l="1"/>
  <c r="BG129" i="1"/>
  <c r="BL81" i="1"/>
  <c r="BA180" i="1"/>
  <c r="BB178" i="1"/>
  <c r="BB179" i="1" s="1"/>
  <c r="BA111" i="1"/>
  <c r="BA112" i="1" s="1"/>
  <c r="BA162" i="1" s="1"/>
  <c r="BB102" i="1"/>
  <c r="BC168" i="1"/>
  <c r="BC170" i="1" s="1"/>
  <c r="BC176" i="1" s="1"/>
  <c r="BC161" i="1"/>
  <c r="BD143" i="1"/>
  <c r="BD144" i="1" s="1"/>
  <c r="G48" i="5"/>
  <c r="L48" i="5" s="1"/>
  <c r="G98" i="5"/>
  <c r="G99" i="5" s="1"/>
  <c r="G97" i="5"/>
  <c r="G86" i="5"/>
  <c r="G43" i="5"/>
  <c r="G40" i="5"/>
  <c r="H40" i="5"/>
  <c r="H43" i="5"/>
  <c r="BW147" i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BW148" i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H86" i="5"/>
  <c r="H97" i="5"/>
  <c r="H98" i="5"/>
  <c r="H99" i="5" s="1"/>
  <c r="BH149" i="1"/>
  <c r="BH173" i="1" s="1"/>
  <c r="BH174" i="1" s="1"/>
  <c r="BG160" i="1"/>
  <c r="BH158" i="1"/>
  <c r="BG134" i="1" l="1"/>
  <c r="BH129" i="1"/>
  <c r="BB111" i="1"/>
  <c r="BB112" i="1" s="1"/>
  <c r="BB162" i="1" s="1"/>
  <c r="BC102" i="1"/>
  <c r="BB180" i="1"/>
  <c r="BC178" i="1"/>
  <c r="BC179" i="1" s="1"/>
  <c r="BD168" i="1"/>
  <c r="BD170" i="1" s="1"/>
  <c r="BD176" i="1" s="1"/>
  <c r="BD161" i="1"/>
  <c r="BE143" i="1"/>
  <c r="BE144" i="1" s="1"/>
  <c r="G47" i="5"/>
  <c r="G45" i="5"/>
  <c r="H45" i="5"/>
  <c r="H47" i="5"/>
  <c r="G100" i="5"/>
  <c r="G81" i="5"/>
  <c r="H100" i="5"/>
  <c r="H81" i="5"/>
  <c r="BI149" i="1"/>
  <c r="BI173" i="1" s="1"/>
  <c r="BI174" i="1" s="1"/>
  <c r="BH160" i="1"/>
  <c r="BI158" i="1"/>
  <c r="BH134" i="1" l="1"/>
  <c r="BI129" i="1"/>
  <c r="BE168" i="1"/>
  <c r="BE170" i="1" s="1"/>
  <c r="BE176" i="1" s="1"/>
  <c r="BE161" i="1"/>
  <c r="BC180" i="1"/>
  <c r="BD178" i="1"/>
  <c r="BD179" i="1" s="1"/>
  <c r="BD102" i="1"/>
  <c r="BC111" i="1"/>
  <c r="BC112" i="1" s="1"/>
  <c r="BC162" i="1" s="1"/>
  <c r="BF143" i="1"/>
  <c r="BF144" i="1" s="1"/>
  <c r="L47" i="5"/>
  <c r="L50" i="5" s="1"/>
  <c r="BJ149" i="1"/>
  <c r="BJ173" i="1" s="1"/>
  <c r="BJ174" i="1" s="1"/>
  <c r="BI160" i="1"/>
  <c r="BJ158" i="1"/>
  <c r="BJ129" i="1" l="1"/>
  <c r="BI134" i="1"/>
  <c r="BD180" i="1"/>
  <c r="BE178" i="1"/>
  <c r="BE179" i="1" s="1"/>
  <c r="BF168" i="1"/>
  <c r="BF170" i="1" s="1"/>
  <c r="BF176" i="1" s="1"/>
  <c r="BF161" i="1"/>
  <c r="BD111" i="1"/>
  <c r="BD112" i="1" s="1"/>
  <c r="BD162" i="1" s="1"/>
  <c r="BE102" i="1"/>
  <c r="BG143" i="1"/>
  <c r="BG144" i="1" s="1"/>
  <c r="BK149" i="1"/>
  <c r="G49" i="5" s="1"/>
  <c r="BJ160" i="1"/>
  <c r="BK158" i="1"/>
  <c r="BK129" i="1" l="1"/>
  <c r="BJ134" i="1"/>
  <c r="BE180" i="1"/>
  <c r="BF178" i="1"/>
  <c r="BF179" i="1" s="1"/>
  <c r="BE111" i="1"/>
  <c r="BE112" i="1" s="1"/>
  <c r="BE162" i="1" s="1"/>
  <c r="BF102" i="1"/>
  <c r="BG168" i="1"/>
  <c r="BG170" i="1" s="1"/>
  <c r="BG176" i="1" s="1"/>
  <c r="BG161" i="1"/>
  <c r="BH143" i="1"/>
  <c r="BH144" i="1" s="1"/>
  <c r="BL149" i="1"/>
  <c r="BL173" i="1" s="1"/>
  <c r="BL174" i="1" s="1"/>
  <c r="BK173" i="1"/>
  <c r="BK174" i="1" s="1"/>
  <c r="BK160" i="1"/>
  <c r="BL158" i="1"/>
  <c r="BL129" i="1" l="1"/>
  <c r="BK134" i="1"/>
  <c r="BI143" i="1"/>
  <c r="BI144" i="1" s="1"/>
  <c r="BG178" i="1"/>
  <c r="BG179" i="1" s="1"/>
  <c r="BF180" i="1"/>
  <c r="BF111" i="1"/>
  <c r="BF112" i="1" s="1"/>
  <c r="BF162" i="1" s="1"/>
  <c r="BG102" i="1"/>
  <c r="BH168" i="1"/>
  <c r="BH170" i="1" s="1"/>
  <c r="BH176" i="1" s="1"/>
  <c r="BH161" i="1"/>
  <c r="BM149" i="1"/>
  <c r="BM173" i="1" s="1"/>
  <c r="BM174" i="1" s="1"/>
  <c r="BL160" i="1"/>
  <c r="BM158" i="1"/>
  <c r="BL134" i="1" l="1"/>
  <c r="BM129" i="1"/>
  <c r="BG111" i="1"/>
  <c r="BG112" i="1" s="1"/>
  <c r="BG162" i="1" s="1"/>
  <c r="BH102" i="1"/>
  <c r="BG180" i="1"/>
  <c r="BH178" i="1"/>
  <c r="BH179" i="1" s="1"/>
  <c r="BI168" i="1"/>
  <c r="BI170" i="1" s="1"/>
  <c r="BI176" i="1" s="1"/>
  <c r="BI161" i="1"/>
  <c r="BJ143" i="1"/>
  <c r="BJ144" i="1" s="1"/>
  <c r="BN149" i="1"/>
  <c r="BN173" i="1" s="1"/>
  <c r="BN174" i="1" s="1"/>
  <c r="BM160" i="1"/>
  <c r="BN158" i="1"/>
  <c r="BM134" i="1" l="1"/>
  <c r="BN129" i="1"/>
  <c r="BH180" i="1"/>
  <c r="BI178" i="1"/>
  <c r="BI179" i="1" s="1"/>
  <c r="BH111" i="1"/>
  <c r="BH112" i="1" s="1"/>
  <c r="BH162" i="1" s="1"/>
  <c r="BI102" i="1"/>
  <c r="BJ168" i="1"/>
  <c r="BJ170" i="1" s="1"/>
  <c r="BJ176" i="1" s="1"/>
  <c r="BJ161" i="1"/>
  <c r="BK143" i="1"/>
  <c r="BK144" i="1" s="1"/>
  <c r="BO149" i="1"/>
  <c r="BO173" i="1" s="1"/>
  <c r="BO174" i="1" s="1"/>
  <c r="BN160" i="1"/>
  <c r="BO158" i="1"/>
  <c r="BN134" i="1" l="1"/>
  <c r="BO129" i="1"/>
  <c r="BJ102" i="1"/>
  <c r="BJ111" i="1" s="1"/>
  <c r="BJ112" i="1" s="1"/>
  <c r="BJ162" i="1" s="1"/>
  <c r="BI111" i="1"/>
  <c r="BI112" i="1" s="1"/>
  <c r="BI162" i="1" s="1"/>
  <c r="BI180" i="1"/>
  <c r="BJ178" i="1"/>
  <c r="BJ179" i="1" s="1"/>
  <c r="BK168" i="1"/>
  <c r="BK170" i="1" s="1"/>
  <c r="BK176" i="1" s="1"/>
  <c r="BK161" i="1"/>
  <c r="BL143" i="1"/>
  <c r="BL144" i="1" s="1"/>
  <c r="BP149" i="1"/>
  <c r="BP173" i="1" s="1"/>
  <c r="BP174" i="1" s="1"/>
  <c r="BO160" i="1"/>
  <c r="BP158" i="1"/>
  <c r="BO134" i="1" l="1"/>
  <c r="BP129" i="1"/>
  <c r="BK102" i="1"/>
  <c r="BK111" i="1" s="1"/>
  <c r="BK112" i="1" s="1"/>
  <c r="BK162" i="1" s="1"/>
  <c r="BJ180" i="1"/>
  <c r="BK178" i="1"/>
  <c r="BK179" i="1" s="1"/>
  <c r="BL168" i="1"/>
  <c r="BL170" i="1" s="1"/>
  <c r="BL176" i="1" s="1"/>
  <c r="BL161" i="1"/>
  <c r="BM143" i="1"/>
  <c r="BM144" i="1" s="1"/>
  <c r="BQ149" i="1"/>
  <c r="BQ173" i="1" s="1"/>
  <c r="BQ174" i="1" s="1"/>
  <c r="BP160" i="1"/>
  <c r="BQ158" i="1"/>
  <c r="BP134" i="1" l="1"/>
  <c r="BQ129" i="1"/>
  <c r="BL102" i="1"/>
  <c r="BL111" i="1" s="1"/>
  <c r="BL112" i="1" s="1"/>
  <c r="BL162" i="1" s="1"/>
  <c r="BM168" i="1"/>
  <c r="BM170" i="1" s="1"/>
  <c r="BM176" i="1" s="1"/>
  <c r="BM161" i="1"/>
  <c r="G46" i="5"/>
  <c r="BL178" i="1"/>
  <c r="BL179" i="1" s="1"/>
  <c r="BK180" i="1"/>
  <c r="BN143" i="1"/>
  <c r="BN144" i="1" s="1"/>
  <c r="BR149" i="1"/>
  <c r="BR173" i="1" s="1"/>
  <c r="BR174" i="1" s="1"/>
  <c r="BQ160" i="1"/>
  <c r="BR158" i="1"/>
  <c r="BQ134" i="1" l="1"/>
  <c r="BR129" i="1"/>
  <c r="BM102" i="1"/>
  <c r="BM111" i="1" s="1"/>
  <c r="BM112" i="1" s="1"/>
  <c r="BM162" i="1" s="1"/>
  <c r="BL180" i="1"/>
  <c r="BM178" i="1"/>
  <c r="BM179" i="1" s="1"/>
  <c r="G89" i="5"/>
  <c r="G90" i="5"/>
  <c r="BN168" i="1"/>
  <c r="BN170" i="1" s="1"/>
  <c r="BN176" i="1" s="1"/>
  <c r="BN161" i="1"/>
  <c r="BO143" i="1"/>
  <c r="BO144" i="1" s="1"/>
  <c r="BS149" i="1"/>
  <c r="BS173" i="1" s="1"/>
  <c r="BS174" i="1" s="1"/>
  <c r="BR160" i="1"/>
  <c r="BS158" i="1"/>
  <c r="BS129" i="1" l="1"/>
  <c r="BR134" i="1"/>
  <c r="BN102" i="1"/>
  <c r="BN111" i="1" s="1"/>
  <c r="BN112" i="1" s="1"/>
  <c r="BN162" i="1" s="1"/>
  <c r="BM180" i="1"/>
  <c r="BN178" i="1"/>
  <c r="BN179" i="1" s="1"/>
  <c r="BP143" i="1"/>
  <c r="BP144" i="1" s="1"/>
  <c r="BO168" i="1"/>
  <c r="BO170" i="1" s="1"/>
  <c r="BO176" i="1" s="1"/>
  <c r="BO161" i="1"/>
  <c r="BT149" i="1"/>
  <c r="BT173" i="1" s="1"/>
  <c r="BT174" i="1" s="1"/>
  <c r="BS160" i="1"/>
  <c r="BT158" i="1"/>
  <c r="BT129" i="1" l="1"/>
  <c r="BS134" i="1"/>
  <c r="BO102" i="1"/>
  <c r="BO111" i="1" s="1"/>
  <c r="BO112" i="1" s="1"/>
  <c r="BO162" i="1" s="1"/>
  <c r="BP168" i="1"/>
  <c r="BP170" i="1" s="1"/>
  <c r="BP176" i="1" s="1"/>
  <c r="BP161" i="1"/>
  <c r="BN180" i="1"/>
  <c r="BO178" i="1"/>
  <c r="BO179" i="1" s="1"/>
  <c r="BQ143" i="1"/>
  <c r="BQ144" i="1" s="1"/>
  <c r="BU149" i="1"/>
  <c r="BU173" i="1" s="1"/>
  <c r="BU174" i="1" s="1"/>
  <c r="BT160" i="1"/>
  <c r="BU158" i="1"/>
  <c r="BT134" i="1" l="1"/>
  <c r="BU129" i="1"/>
  <c r="BP102" i="1"/>
  <c r="BP111" i="1" s="1"/>
  <c r="BP112" i="1" s="1"/>
  <c r="BP162" i="1" s="1"/>
  <c r="BP178" i="1"/>
  <c r="BP179" i="1" s="1"/>
  <c r="BO180" i="1"/>
  <c r="BR143" i="1"/>
  <c r="BR144" i="1" s="1"/>
  <c r="BQ168" i="1"/>
  <c r="BQ170" i="1" s="1"/>
  <c r="BQ176" i="1" s="1"/>
  <c r="BQ161" i="1"/>
  <c r="BV149" i="1"/>
  <c r="BV173" i="1" s="1"/>
  <c r="BV174" i="1" s="1"/>
  <c r="BU160" i="1"/>
  <c r="BV158" i="1"/>
  <c r="BU134" i="1" l="1"/>
  <c r="BV129" i="1"/>
  <c r="BQ102" i="1"/>
  <c r="BQ111" i="1" s="1"/>
  <c r="BQ112" i="1" s="1"/>
  <c r="BQ162" i="1" s="1"/>
  <c r="BP180" i="1"/>
  <c r="BQ178" i="1"/>
  <c r="BQ179" i="1" s="1"/>
  <c r="BR168" i="1"/>
  <c r="BR170" i="1" s="1"/>
  <c r="BR176" i="1" s="1"/>
  <c r="BR161" i="1"/>
  <c r="BS143" i="1"/>
  <c r="BS144" i="1" s="1"/>
  <c r="BW149" i="1"/>
  <c r="H49" i="5" s="1"/>
  <c r="BV160" i="1"/>
  <c r="BW158" i="1"/>
  <c r="BV134" i="1" l="1"/>
  <c r="BW129" i="1"/>
  <c r="BR102" i="1"/>
  <c r="BR111" i="1" s="1"/>
  <c r="BR112" i="1" s="1"/>
  <c r="BR162" i="1" s="1"/>
  <c r="BQ180" i="1"/>
  <c r="BR178" i="1"/>
  <c r="BR179" i="1" s="1"/>
  <c r="BS168" i="1"/>
  <c r="BS170" i="1" s="1"/>
  <c r="BS176" i="1" s="1"/>
  <c r="BS161" i="1"/>
  <c r="BT143" i="1"/>
  <c r="BT144" i="1" s="1"/>
  <c r="BX149" i="1"/>
  <c r="BX173" i="1" s="1"/>
  <c r="BX174" i="1" s="1"/>
  <c r="BW173" i="1"/>
  <c r="BW174" i="1" s="1"/>
  <c r="BW160" i="1"/>
  <c r="BX158" i="1"/>
  <c r="BW134" i="1" l="1"/>
  <c r="BX129" i="1"/>
  <c r="BS102" i="1"/>
  <c r="BS111" i="1" s="1"/>
  <c r="BS112" i="1" s="1"/>
  <c r="BS162" i="1" s="1"/>
  <c r="BU143" i="1"/>
  <c r="BU144" i="1" s="1"/>
  <c r="BS178" i="1"/>
  <c r="BS179" i="1" s="1"/>
  <c r="BR180" i="1"/>
  <c r="BT168" i="1"/>
  <c r="BT170" i="1" s="1"/>
  <c r="BT176" i="1" s="1"/>
  <c r="BT161" i="1"/>
  <c r="BY149" i="1"/>
  <c r="BY173" i="1" s="1"/>
  <c r="BY174" i="1" s="1"/>
  <c r="BX160" i="1"/>
  <c r="BY158" i="1"/>
  <c r="BX134" i="1" l="1"/>
  <c r="BY129" i="1"/>
  <c r="BT102" i="1"/>
  <c r="BT111" i="1" s="1"/>
  <c r="BT112" i="1" s="1"/>
  <c r="BT162" i="1" s="1"/>
  <c r="BU168" i="1"/>
  <c r="BU170" i="1" s="1"/>
  <c r="BU176" i="1" s="1"/>
  <c r="BU161" i="1"/>
  <c r="BT178" i="1"/>
  <c r="BT179" i="1" s="1"/>
  <c r="BS180" i="1"/>
  <c r="BV143" i="1"/>
  <c r="BV144" i="1" s="1"/>
  <c r="BZ149" i="1"/>
  <c r="BZ173" i="1" s="1"/>
  <c r="BZ174" i="1" s="1"/>
  <c r="BY160" i="1"/>
  <c r="BZ158" i="1"/>
  <c r="BZ129" i="1" l="1"/>
  <c r="BY134" i="1"/>
  <c r="BU102" i="1"/>
  <c r="BU111" i="1" s="1"/>
  <c r="BU112" i="1" s="1"/>
  <c r="BU162" i="1" s="1"/>
  <c r="BT180" i="1"/>
  <c r="BU178" i="1"/>
  <c r="BU179" i="1" s="1"/>
  <c r="BV168" i="1"/>
  <c r="BV170" i="1" s="1"/>
  <c r="BV176" i="1" s="1"/>
  <c r="BV161" i="1"/>
  <c r="BW143" i="1"/>
  <c r="BW144" i="1" s="1"/>
  <c r="CA149" i="1"/>
  <c r="CA173" i="1" s="1"/>
  <c r="CA174" i="1" s="1"/>
  <c r="BZ160" i="1"/>
  <c r="CA158" i="1"/>
  <c r="BZ134" i="1" l="1"/>
  <c r="CA129" i="1"/>
  <c r="BV102" i="1"/>
  <c r="BV111" i="1" s="1"/>
  <c r="BV112" i="1" s="1"/>
  <c r="BV162" i="1" s="1"/>
  <c r="BU180" i="1"/>
  <c r="BV178" i="1"/>
  <c r="BV179" i="1" s="1"/>
  <c r="BW168" i="1"/>
  <c r="BW170" i="1" s="1"/>
  <c r="BW176" i="1" s="1"/>
  <c r="BW161" i="1"/>
  <c r="BX143" i="1"/>
  <c r="BX144" i="1" s="1"/>
  <c r="CB149" i="1"/>
  <c r="CB173" i="1" s="1"/>
  <c r="CB174" i="1" s="1"/>
  <c r="CA160" i="1"/>
  <c r="CB158" i="1"/>
  <c r="CB129" i="1" l="1"/>
  <c r="CA134" i="1"/>
  <c r="BW102" i="1"/>
  <c r="BW111" i="1" s="1"/>
  <c r="BW112" i="1" s="1"/>
  <c r="BW162" i="1" s="1"/>
  <c r="BX168" i="1"/>
  <c r="BX170" i="1" s="1"/>
  <c r="BX176" i="1" s="1"/>
  <c r="BX161" i="1"/>
  <c r="BY143" i="1"/>
  <c r="BY144" i="1" s="1"/>
  <c r="BV180" i="1"/>
  <c r="BW178" i="1"/>
  <c r="BW179" i="1" s="1"/>
  <c r="CC149" i="1"/>
  <c r="CC173" i="1" s="1"/>
  <c r="CC174" i="1" s="1"/>
  <c r="CB160" i="1"/>
  <c r="CC158" i="1"/>
  <c r="CB134" i="1" l="1"/>
  <c r="CC129" i="1"/>
  <c r="BX102" i="1"/>
  <c r="BX111" i="1" s="1"/>
  <c r="BX112" i="1" s="1"/>
  <c r="BX162" i="1" s="1"/>
  <c r="BY168" i="1"/>
  <c r="BY170" i="1" s="1"/>
  <c r="BY176" i="1" s="1"/>
  <c r="BY161" i="1"/>
  <c r="BZ143" i="1"/>
  <c r="BZ144" i="1" s="1"/>
  <c r="H46" i="5"/>
  <c r="BW180" i="1"/>
  <c r="BX178" i="1"/>
  <c r="BX179" i="1" s="1"/>
  <c r="CD149" i="1"/>
  <c r="CD173" i="1" s="1"/>
  <c r="CD174" i="1" s="1"/>
  <c r="CC160" i="1"/>
  <c r="CD158" i="1"/>
  <c r="CC134" i="1" l="1"/>
  <c r="CD129" i="1"/>
  <c r="BY102" i="1"/>
  <c r="BY111" i="1" s="1"/>
  <c r="BY112" i="1" s="1"/>
  <c r="BY162" i="1" s="1"/>
  <c r="BZ168" i="1"/>
  <c r="BZ170" i="1" s="1"/>
  <c r="BZ176" i="1" s="1"/>
  <c r="BZ161" i="1"/>
  <c r="CA143" i="1"/>
  <c r="CA144" i="1" s="1"/>
  <c r="H89" i="5"/>
  <c r="H90" i="5"/>
  <c r="I46" i="5"/>
  <c r="BX180" i="1"/>
  <c r="BY178" i="1"/>
  <c r="BY179" i="1" s="1"/>
  <c r="CE149" i="1"/>
  <c r="CE173" i="1" s="1"/>
  <c r="CE174" i="1" s="1"/>
  <c r="CD160" i="1"/>
  <c r="CE158" i="1"/>
  <c r="CD134" i="1" l="1"/>
  <c r="CE129" i="1"/>
  <c r="BZ102" i="1"/>
  <c r="BZ111" i="1" s="1"/>
  <c r="BZ112" i="1" s="1"/>
  <c r="BZ162" i="1" s="1"/>
  <c r="CA168" i="1"/>
  <c r="CA170" i="1" s="1"/>
  <c r="CA176" i="1" s="1"/>
  <c r="CA161" i="1"/>
  <c r="I90" i="5"/>
  <c r="I89" i="5"/>
  <c r="CB143" i="1"/>
  <c r="CB144" i="1" s="1"/>
  <c r="BZ178" i="1"/>
  <c r="BZ179" i="1" s="1"/>
  <c r="J46" i="5"/>
  <c r="BY180" i="1"/>
  <c r="CF149" i="1"/>
  <c r="CF173" i="1" s="1"/>
  <c r="CF174" i="1" s="1"/>
  <c r="CE160" i="1"/>
  <c r="CF158" i="1"/>
  <c r="CE134" i="1" l="1"/>
  <c r="CF129" i="1"/>
  <c r="CA102" i="1"/>
  <c r="CA111" i="1" s="1"/>
  <c r="CA112" i="1" s="1"/>
  <c r="CA162" i="1" s="1"/>
  <c r="J90" i="5"/>
  <c r="J89" i="5"/>
  <c r="K46" i="5"/>
  <c r="CA178" i="1"/>
  <c r="CA179" i="1" s="1"/>
  <c r="BZ180" i="1"/>
  <c r="CB168" i="1"/>
  <c r="CB170" i="1" s="1"/>
  <c r="CB176" i="1" s="1"/>
  <c r="CB161" i="1"/>
  <c r="CC143" i="1"/>
  <c r="CC144" i="1" s="1"/>
  <c r="CG149" i="1"/>
  <c r="CG173" i="1" s="1"/>
  <c r="CG174" i="1" s="1"/>
  <c r="CF160" i="1"/>
  <c r="CG158" i="1"/>
  <c r="CF134" i="1" l="1"/>
  <c r="CG129" i="1"/>
  <c r="CB102" i="1"/>
  <c r="CB111" i="1" s="1"/>
  <c r="CB112" i="1" s="1"/>
  <c r="CB162" i="1" s="1"/>
  <c r="CB178" i="1"/>
  <c r="CB179" i="1" s="1"/>
  <c r="CA180" i="1"/>
  <c r="K89" i="5"/>
  <c r="K90" i="5"/>
  <c r="CC168" i="1"/>
  <c r="CC170" i="1" s="1"/>
  <c r="CC176" i="1" s="1"/>
  <c r="CC161" i="1"/>
  <c r="CD143" i="1"/>
  <c r="CD144" i="1" s="1"/>
  <c r="CH149" i="1"/>
  <c r="CH173" i="1" s="1"/>
  <c r="CH174" i="1" s="1"/>
  <c r="CG160" i="1"/>
  <c r="CH158" i="1"/>
  <c r="CG134" i="1" l="1"/>
  <c r="CH129" i="1"/>
  <c r="CC102" i="1"/>
  <c r="CC111" i="1" s="1"/>
  <c r="CC112" i="1" s="1"/>
  <c r="CC162" i="1" s="1"/>
  <c r="CD168" i="1"/>
  <c r="CD170" i="1" s="1"/>
  <c r="CD176" i="1" s="1"/>
  <c r="CD161" i="1"/>
  <c r="CB180" i="1"/>
  <c r="CC178" i="1"/>
  <c r="CC179" i="1" s="1"/>
  <c r="CE143" i="1"/>
  <c r="CE144" i="1" s="1"/>
  <c r="CI149" i="1"/>
  <c r="I49" i="5" s="1"/>
  <c r="CH160" i="1"/>
  <c r="CI158" i="1"/>
  <c r="CH134" i="1" l="1"/>
  <c r="CI129" i="1"/>
  <c r="CD102" i="1"/>
  <c r="CD111" i="1" s="1"/>
  <c r="CD112" i="1" s="1"/>
  <c r="CD162" i="1" s="1"/>
  <c r="CC180" i="1"/>
  <c r="CD178" i="1"/>
  <c r="CD179" i="1" s="1"/>
  <c r="CF143" i="1"/>
  <c r="CF144" i="1" s="1"/>
  <c r="CE168" i="1"/>
  <c r="CE170" i="1" s="1"/>
  <c r="CE176" i="1" s="1"/>
  <c r="CE161" i="1"/>
  <c r="CI173" i="1"/>
  <c r="CI174" i="1" s="1"/>
  <c r="CJ149" i="1"/>
  <c r="CJ173" i="1" s="1"/>
  <c r="CJ174" i="1" s="1"/>
  <c r="CI160" i="1"/>
  <c r="CJ158" i="1"/>
  <c r="CJ129" i="1" l="1"/>
  <c r="CI134" i="1"/>
  <c r="CE102" i="1"/>
  <c r="CE111" i="1" s="1"/>
  <c r="CE112" i="1" s="1"/>
  <c r="CE162" i="1" s="1"/>
  <c r="CF168" i="1"/>
  <c r="CF170" i="1" s="1"/>
  <c r="CF176" i="1" s="1"/>
  <c r="CF161" i="1"/>
  <c r="CG143" i="1"/>
  <c r="CG144" i="1" s="1"/>
  <c r="CD180" i="1"/>
  <c r="CE178" i="1"/>
  <c r="CE179" i="1" s="1"/>
  <c r="CK149" i="1"/>
  <c r="CK173" i="1" s="1"/>
  <c r="CK174" i="1" s="1"/>
  <c r="CJ160" i="1"/>
  <c r="CK158" i="1"/>
  <c r="CJ134" i="1" l="1"/>
  <c r="CK129" i="1"/>
  <c r="CF102" i="1"/>
  <c r="CE180" i="1"/>
  <c r="CF178" i="1"/>
  <c r="CF179" i="1" s="1"/>
  <c r="CF111" i="1"/>
  <c r="CF112" i="1" s="1"/>
  <c r="CF162" i="1" s="1"/>
  <c r="CG168" i="1"/>
  <c r="CG170" i="1" s="1"/>
  <c r="CG176" i="1" s="1"/>
  <c r="CG102" i="1" s="1"/>
  <c r="CG161" i="1"/>
  <c r="CH143" i="1"/>
  <c r="CH144" i="1" s="1"/>
  <c r="CL149" i="1"/>
  <c r="CL173" i="1" s="1"/>
  <c r="CL174" i="1" s="1"/>
  <c r="CK160" i="1"/>
  <c r="CL158" i="1"/>
  <c r="CK134" i="1" l="1"/>
  <c r="CL129" i="1"/>
  <c r="CG111" i="1"/>
  <c r="CG112" i="1" s="1"/>
  <c r="CG162" i="1" s="1"/>
  <c r="CI143" i="1"/>
  <c r="CI144" i="1" s="1"/>
  <c r="CF180" i="1"/>
  <c r="CG178" i="1"/>
  <c r="CG179" i="1" s="1"/>
  <c r="CH168" i="1"/>
  <c r="CH170" i="1" s="1"/>
  <c r="CH176" i="1" s="1"/>
  <c r="CH102" i="1" s="1"/>
  <c r="CH111" i="1" s="1"/>
  <c r="CH112" i="1" s="1"/>
  <c r="CH161" i="1"/>
  <c r="CM149" i="1"/>
  <c r="CM173" i="1" s="1"/>
  <c r="CM174" i="1" s="1"/>
  <c r="CL160" i="1"/>
  <c r="CM158" i="1"/>
  <c r="CL134" i="1" l="1"/>
  <c r="CM129" i="1"/>
  <c r="CH178" i="1"/>
  <c r="CH179" i="1" s="1"/>
  <c r="CG180" i="1"/>
  <c r="CI168" i="1"/>
  <c r="CI170" i="1" s="1"/>
  <c r="CI176" i="1" s="1"/>
  <c r="CI102" i="1" s="1"/>
  <c r="CI161" i="1"/>
  <c r="CJ143" i="1"/>
  <c r="CJ144" i="1" s="1"/>
  <c r="CH162" i="1"/>
  <c r="CN149" i="1"/>
  <c r="CN173" i="1" s="1"/>
  <c r="CN174" i="1" s="1"/>
  <c r="CM160" i="1"/>
  <c r="CN158" i="1"/>
  <c r="CM134" i="1" l="1"/>
  <c r="CN129" i="1"/>
  <c r="CJ168" i="1"/>
  <c r="CJ170" i="1" s="1"/>
  <c r="CJ176" i="1" s="1"/>
  <c r="CJ102" i="1" s="1"/>
  <c r="CJ161" i="1"/>
  <c r="CK143" i="1"/>
  <c r="CK144" i="1" s="1"/>
  <c r="CI111" i="1"/>
  <c r="CI112" i="1" s="1"/>
  <c r="CI162" i="1" s="1"/>
  <c r="CH180" i="1"/>
  <c r="CI178" i="1"/>
  <c r="CI179" i="1" s="1"/>
  <c r="CO149" i="1"/>
  <c r="CO173" i="1" s="1"/>
  <c r="CO174" i="1" s="1"/>
  <c r="CN160" i="1"/>
  <c r="CO158" i="1"/>
  <c r="CN134" i="1" l="1"/>
  <c r="CO129" i="1"/>
  <c r="CJ111" i="1"/>
  <c r="CJ112" i="1" s="1"/>
  <c r="CJ162" i="1" s="1"/>
  <c r="CK168" i="1"/>
  <c r="CK170" i="1" s="1"/>
  <c r="CK176" i="1" s="1"/>
  <c r="CK102" i="1" s="1"/>
  <c r="CK161" i="1"/>
  <c r="CL143" i="1"/>
  <c r="CL144" i="1" s="1"/>
  <c r="CI180" i="1"/>
  <c r="CJ178" i="1"/>
  <c r="CJ179" i="1" s="1"/>
  <c r="CP149" i="1"/>
  <c r="CP173" i="1" s="1"/>
  <c r="CP174" i="1" s="1"/>
  <c r="CO160" i="1"/>
  <c r="CP158" i="1"/>
  <c r="CP129" i="1" l="1"/>
  <c r="CO134" i="1"/>
  <c r="CK111" i="1"/>
  <c r="CK112" i="1" s="1"/>
  <c r="CK162" i="1" s="1"/>
  <c r="CL168" i="1"/>
  <c r="CL170" i="1" s="1"/>
  <c r="CL176" i="1" s="1"/>
  <c r="CL102" i="1" s="1"/>
  <c r="CL161" i="1"/>
  <c r="CM143" i="1"/>
  <c r="CM144" i="1" s="1"/>
  <c r="CJ180" i="1"/>
  <c r="CK178" i="1"/>
  <c r="CK179" i="1" s="1"/>
  <c r="CQ149" i="1"/>
  <c r="CQ173" i="1" s="1"/>
  <c r="CQ174" i="1" s="1"/>
  <c r="CP160" i="1"/>
  <c r="CQ158" i="1"/>
  <c r="CQ129" i="1" l="1"/>
  <c r="CP134" i="1"/>
  <c r="CL111" i="1"/>
  <c r="CL112" i="1" s="1"/>
  <c r="CL162" i="1" s="1"/>
  <c r="CM168" i="1"/>
  <c r="CM170" i="1" s="1"/>
  <c r="CM176" i="1" s="1"/>
  <c r="CM102" i="1" s="1"/>
  <c r="CM161" i="1"/>
  <c r="CN143" i="1"/>
  <c r="CN144" i="1" s="1"/>
  <c r="CK180" i="1"/>
  <c r="CL178" i="1"/>
  <c r="CL179" i="1" s="1"/>
  <c r="CR149" i="1"/>
  <c r="CR173" i="1" s="1"/>
  <c r="CR174" i="1" s="1"/>
  <c r="CQ160" i="1"/>
  <c r="CR158" i="1"/>
  <c r="CR129" i="1" l="1"/>
  <c r="CQ134" i="1"/>
  <c r="CM111" i="1"/>
  <c r="CM112" i="1" s="1"/>
  <c r="CM162" i="1" s="1"/>
  <c r="CN168" i="1"/>
  <c r="CN170" i="1" s="1"/>
  <c r="CN176" i="1" s="1"/>
  <c r="CN102" i="1" s="1"/>
  <c r="CN161" i="1"/>
  <c r="CO143" i="1"/>
  <c r="CO144" i="1" s="1"/>
  <c r="CL180" i="1"/>
  <c r="CM178" i="1"/>
  <c r="CM179" i="1" s="1"/>
  <c r="CS149" i="1"/>
  <c r="CS173" i="1" s="1"/>
  <c r="CS174" i="1" s="1"/>
  <c r="CR160" i="1"/>
  <c r="CS158" i="1"/>
  <c r="CR134" i="1" l="1"/>
  <c r="CS129" i="1"/>
  <c r="CN111" i="1"/>
  <c r="CN112" i="1" s="1"/>
  <c r="CN162" i="1" s="1"/>
  <c r="CO168" i="1"/>
  <c r="CO170" i="1" s="1"/>
  <c r="CO176" i="1" s="1"/>
  <c r="CO102" i="1" s="1"/>
  <c r="CO161" i="1"/>
  <c r="CP143" i="1"/>
  <c r="CP144" i="1" s="1"/>
  <c r="CM180" i="1"/>
  <c r="CN178" i="1"/>
  <c r="CN179" i="1" s="1"/>
  <c r="CT149" i="1"/>
  <c r="CT173" i="1" s="1"/>
  <c r="CT174" i="1" s="1"/>
  <c r="CS160" i="1"/>
  <c r="CT158" i="1"/>
  <c r="CS134" i="1" l="1"/>
  <c r="CT129" i="1"/>
  <c r="CO111" i="1"/>
  <c r="CO112" i="1" s="1"/>
  <c r="CO162" i="1" s="1"/>
  <c r="CP168" i="1"/>
  <c r="CP170" i="1" s="1"/>
  <c r="CP176" i="1" s="1"/>
  <c r="CP102" i="1" s="1"/>
  <c r="CP161" i="1"/>
  <c r="CQ143" i="1"/>
  <c r="CQ144" i="1" s="1"/>
  <c r="CN180" i="1"/>
  <c r="CO178" i="1"/>
  <c r="CO179" i="1" s="1"/>
  <c r="CU149" i="1"/>
  <c r="J49" i="5" s="1"/>
  <c r="CT160" i="1"/>
  <c r="CU158" i="1"/>
  <c r="CT134" i="1" l="1"/>
  <c r="CU129" i="1"/>
  <c r="CP111" i="1"/>
  <c r="CP112" i="1" s="1"/>
  <c r="CP162" i="1" s="1"/>
  <c r="CQ168" i="1"/>
  <c r="CQ170" i="1" s="1"/>
  <c r="CQ176" i="1" s="1"/>
  <c r="CQ102" i="1" s="1"/>
  <c r="CQ161" i="1"/>
  <c r="CR143" i="1"/>
  <c r="CR144" i="1" s="1"/>
  <c r="CO180" i="1"/>
  <c r="CP178" i="1"/>
  <c r="CP179" i="1" s="1"/>
  <c r="CV149" i="1"/>
  <c r="CV173" i="1" s="1"/>
  <c r="CV174" i="1" s="1"/>
  <c r="CU173" i="1"/>
  <c r="CU174" i="1" s="1"/>
  <c r="CU160" i="1"/>
  <c r="CV158" i="1"/>
  <c r="CU134" i="1" l="1"/>
  <c r="CV129" i="1"/>
  <c r="CR168" i="1"/>
  <c r="CR170" i="1" s="1"/>
  <c r="CR176" i="1" s="1"/>
  <c r="CR102" i="1" s="1"/>
  <c r="CR161" i="1"/>
  <c r="CS143" i="1"/>
  <c r="CS144" i="1" s="1"/>
  <c r="CQ111" i="1"/>
  <c r="CQ112" i="1" s="1"/>
  <c r="CQ162" i="1" s="1"/>
  <c r="CP180" i="1"/>
  <c r="CQ178" i="1"/>
  <c r="CQ179" i="1" s="1"/>
  <c r="CW149" i="1"/>
  <c r="CW173" i="1" s="1"/>
  <c r="CW174" i="1" s="1"/>
  <c r="CV160" i="1"/>
  <c r="CW158" i="1"/>
  <c r="CV134" i="1" l="1"/>
  <c r="CW129" i="1"/>
  <c r="CR111" i="1"/>
  <c r="CR112" i="1" s="1"/>
  <c r="CR162" i="1" s="1"/>
  <c r="CQ180" i="1"/>
  <c r="CR178" i="1"/>
  <c r="CR179" i="1" s="1"/>
  <c r="CS168" i="1"/>
  <c r="CS170" i="1" s="1"/>
  <c r="CS176" i="1" s="1"/>
  <c r="CS102" i="1" s="1"/>
  <c r="CS161" i="1"/>
  <c r="CT143" i="1"/>
  <c r="CT144" i="1" s="1"/>
  <c r="CX149" i="1"/>
  <c r="CX173" i="1" s="1"/>
  <c r="CX174" i="1" s="1"/>
  <c r="CW160" i="1"/>
  <c r="CX158" i="1"/>
  <c r="CX129" i="1" l="1"/>
  <c r="CW134" i="1"/>
  <c r="CS111" i="1"/>
  <c r="CS112" i="1" s="1"/>
  <c r="CS162" i="1" s="1"/>
  <c r="CR180" i="1"/>
  <c r="CS178" i="1"/>
  <c r="CS179" i="1" s="1"/>
  <c r="CT168" i="1"/>
  <c r="CT170" i="1" s="1"/>
  <c r="CT176" i="1" s="1"/>
  <c r="CT102" i="1" s="1"/>
  <c r="CT111" i="1" s="1"/>
  <c r="CT112" i="1" s="1"/>
  <c r="CT161" i="1"/>
  <c r="CU143" i="1"/>
  <c r="CU144" i="1" s="1"/>
  <c r="CY149" i="1"/>
  <c r="CY173" i="1" s="1"/>
  <c r="CY174" i="1" s="1"/>
  <c r="CX160" i="1"/>
  <c r="CY158" i="1"/>
  <c r="CY129" i="1" l="1"/>
  <c r="CX134" i="1"/>
  <c r="CT162" i="1"/>
  <c r="CT178" i="1"/>
  <c r="CT179" i="1" s="1"/>
  <c r="CS180" i="1"/>
  <c r="CU168" i="1"/>
  <c r="CU170" i="1" s="1"/>
  <c r="CU176" i="1" s="1"/>
  <c r="CU102" i="1" s="1"/>
  <c r="CU161" i="1"/>
  <c r="CV143" i="1"/>
  <c r="CV144" i="1" s="1"/>
  <c r="CZ149" i="1"/>
  <c r="CZ173" i="1" s="1"/>
  <c r="CZ174" i="1" s="1"/>
  <c r="CY160" i="1"/>
  <c r="CZ158" i="1"/>
  <c r="CY134" i="1" l="1"/>
  <c r="CZ129" i="1"/>
  <c r="CV168" i="1"/>
  <c r="CV170" i="1" s="1"/>
  <c r="CV176" i="1" s="1"/>
  <c r="CV102" i="1" s="1"/>
  <c r="CV161" i="1"/>
  <c r="CU111" i="1"/>
  <c r="CU112" i="1" s="1"/>
  <c r="CU162" i="1" s="1"/>
  <c r="CU178" i="1"/>
  <c r="CU179" i="1" s="1"/>
  <c r="CT180" i="1"/>
  <c r="CW143" i="1"/>
  <c r="CW144" i="1" s="1"/>
  <c r="DA149" i="1"/>
  <c r="DA173" i="1" s="1"/>
  <c r="DA174" i="1" s="1"/>
  <c r="CZ160" i="1"/>
  <c r="DA158" i="1"/>
  <c r="CZ134" i="1" l="1"/>
  <c r="DA129" i="1"/>
  <c r="CX143" i="1"/>
  <c r="CX144" i="1" s="1"/>
  <c r="CU180" i="1"/>
  <c r="CV178" i="1"/>
  <c r="CV179" i="1" s="1"/>
  <c r="CV111" i="1"/>
  <c r="CV112" i="1" s="1"/>
  <c r="CV162" i="1" s="1"/>
  <c r="CW168" i="1"/>
  <c r="CW170" i="1" s="1"/>
  <c r="CW176" i="1" s="1"/>
  <c r="CW102" i="1" s="1"/>
  <c r="CW161" i="1"/>
  <c r="DB149" i="1"/>
  <c r="DB173" i="1" s="1"/>
  <c r="DB174" i="1" s="1"/>
  <c r="DA160" i="1"/>
  <c r="DB158" i="1"/>
  <c r="DA134" i="1" l="1"/>
  <c r="DB129" i="1"/>
  <c r="CV180" i="1"/>
  <c r="CW178" i="1"/>
  <c r="CW179" i="1" s="1"/>
  <c r="CX168" i="1"/>
  <c r="CX170" i="1" s="1"/>
  <c r="CX176" i="1" s="1"/>
  <c r="CX102" i="1" s="1"/>
  <c r="CX161" i="1"/>
  <c r="CW111" i="1"/>
  <c r="CW112" i="1" s="1"/>
  <c r="CW162" i="1" s="1"/>
  <c r="CY143" i="1"/>
  <c r="CY144" i="1" s="1"/>
  <c r="DC149" i="1"/>
  <c r="DC173" i="1" s="1"/>
  <c r="DC174" i="1" s="1"/>
  <c r="DC158" i="1"/>
  <c r="DB160" i="1"/>
  <c r="DB134" i="1" l="1"/>
  <c r="DC129" i="1"/>
  <c r="CX111" i="1"/>
  <c r="CX112" i="1" s="1"/>
  <c r="CX162" i="1" s="1"/>
  <c r="CY168" i="1"/>
  <c r="CY170" i="1" s="1"/>
  <c r="CY176" i="1" s="1"/>
  <c r="CY102" i="1" s="1"/>
  <c r="CY161" i="1"/>
  <c r="CW180" i="1"/>
  <c r="CX178" i="1"/>
  <c r="CX179" i="1" s="1"/>
  <c r="CZ143" i="1"/>
  <c r="CZ144" i="1" s="1"/>
  <c r="DD149" i="1"/>
  <c r="DD173" i="1" s="1"/>
  <c r="DD174" i="1" s="1"/>
  <c r="DD158" i="1"/>
  <c r="DC160" i="1"/>
  <c r="DC134" i="1" l="1"/>
  <c r="DD129" i="1"/>
  <c r="CY111" i="1"/>
  <c r="CY112" i="1" s="1"/>
  <c r="CY162" i="1" s="1"/>
  <c r="CY178" i="1"/>
  <c r="CY179" i="1" s="1"/>
  <c r="CX180" i="1"/>
  <c r="CZ168" i="1"/>
  <c r="CZ170" i="1" s="1"/>
  <c r="CZ176" i="1" s="1"/>
  <c r="CZ102" i="1" s="1"/>
  <c r="CZ161" i="1"/>
  <c r="DA143" i="1"/>
  <c r="DA144" i="1" s="1"/>
  <c r="DE149" i="1"/>
  <c r="DE173" i="1" s="1"/>
  <c r="DE174" i="1" s="1"/>
  <c r="DE158" i="1"/>
  <c r="DD160" i="1"/>
  <c r="DD134" i="1" l="1"/>
  <c r="DE129" i="1"/>
  <c r="CZ111" i="1"/>
  <c r="CZ112" i="1" s="1"/>
  <c r="CZ162" i="1" s="1"/>
  <c r="CY180" i="1"/>
  <c r="CZ178" i="1"/>
  <c r="CZ179" i="1" s="1"/>
  <c r="DA168" i="1"/>
  <c r="DA170" i="1" s="1"/>
  <c r="DA176" i="1" s="1"/>
  <c r="DA102" i="1" s="1"/>
  <c r="DA161" i="1"/>
  <c r="DB143" i="1"/>
  <c r="DB144" i="1" s="1"/>
  <c r="DF149" i="1"/>
  <c r="DF173" i="1" s="1"/>
  <c r="DF174" i="1" s="1"/>
  <c r="DG149" i="1"/>
  <c r="K49" i="5" s="1"/>
  <c r="L49" i="5" s="1"/>
  <c r="DE160" i="1"/>
  <c r="DF158" i="1"/>
  <c r="DF129" i="1" l="1"/>
  <c r="DE134" i="1"/>
  <c r="DA111" i="1"/>
  <c r="DA112" i="1" s="1"/>
  <c r="DA162" i="1" s="1"/>
  <c r="CZ180" i="1"/>
  <c r="DA178" i="1"/>
  <c r="DA179" i="1" s="1"/>
  <c r="DB168" i="1"/>
  <c r="DB170" i="1" s="1"/>
  <c r="DB176" i="1" s="1"/>
  <c r="DB102" i="1" s="1"/>
  <c r="DB161" i="1"/>
  <c r="DC143" i="1"/>
  <c r="DC144" i="1" s="1"/>
  <c r="DG173" i="1"/>
  <c r="DG174" i="1" s="1"/>
  <c r="DF160" i="1"/>
  <c r="DG158" i="1"/>
  <c r="DG160" i="1" s="1"/>
  <c r="DG129" i="1" l="1"/>
  <c r="DG134" i="1" s="1"/>
  <c r="DF134" i="1"/>
  <c r="DB111" i="1"/>
  <c r="DB112" i="1" s="1"/>
  <c r="DB162" i="1" s="1"/>
  <c r="DA180" i="1"/>
  <c r="DB178" i="1"/>
  <c r="DB179" i="1" s="1"/>
  <c r="DC168" i="1"/>
  <c r="DC170" i="1" s="1"/>
  <c r="DC176" i="1" s="1"/>
  <c r="DC102" i="1" s="1"/>
  <c r="DC161" i="1"/>
  <c r="DD143" i="1"/>
  <c r="DD144" i="1" s="1"/>
  <c r="DC111" i="1" l="1"/>
  <c r="DC112" i="1" s="1"/>
  <c r="DC162" i="1" s="1"/>
  <c r="DB180" i="1"/>
  <c r="DC178" i="1"/>
  <c r="DC179" i="1" s="1"/>
  <c r="DE143" i="1"/>
  <c r="DE144" i="1" s="1"/>
  <c r="DD168" i="1"/>
  <c r="DD170" i="1" s="1"/>
  <c r="DD176" i="1" s="1"/>
  <c r="DD102" i="1" s="1"/>
  <c r="DD161" i="1"/>
  <c r="DD111" i="1" l="1"/>
  <c r="DD112" i="1" s="1"/>
  <c r="DD162" i="1" s="1"/>
  <c r="DE168" i="1"/>
  <c r="DE170" i="1" s="1"/>
  <c r="DE176" i="1" s="1"/>
  <c r="DE102" i="1" s="1"/>
  <c r="DE161" i="1"/>
  <c r="DG143" i="1"/>
  <c r="DG144" i="1" s="1"/>
  <c r="DF143" i="1"/>
  <c r="DF144" i="1" s="1"/>
  <c r="DD178" i="1"/>
  <c r="DD179" i="1" s="1"/>
  <c r="DC180" i="1"/>
  <c r="DE111" i="1" l="1"/>
  <c r="DE112" i="1" s="1"/>
  <c r="DE162" i="1" s="1"/>
  <c r="DG168" i="1"/>
  <c r="DG170" i="1" s="1"/>
  <c r="DG176" i="1" s="1"/>
  <c r="DG161" i="1"/>
  <c r="DF168" i="1"/>
  <c r="DF170" i="1" s="1"/>
  <c r="DF176" i="1" s="1"/>
  <c r="DF102" i="1" s="1"/>
  <c r="DF161" i="1"/>
  <c r="DD180" i="1"/>
  <c r="DE178" i="1"/>
  <c r="DE179" i="1" s="1"/>
  <c r="DF111" i="1" l="1"/>
  <c r="DF112" i="1" s="1"/>
  <c r="DF162" i="1" s="1"/>
  <c r="DG102" i="1"/>
  <c r="DG111" i="1" s="1"/>
  <c r="DG112" i="1" s="1"/>
  <c r="DG162" i="1" s="1"/>
  <c r="DF178" i="1"/>
  <c r="DF179" i="1" s="1"/>
  <c r="DE180" i="1"/>
  <c r="DG178" i="1" l="1"/>
  <c r="DG179" i="1" s="1"/>
  <c r="DG180" i="1" s="1"/>
  <c r="DF1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tc={652DF29B-C80F-474D-9452-32A45BAD392F}</author>
    <author>tc={973B5C3F-CC1C-478B-AAEB-95C45A193E9C}</author>
  </authors>
  <commentList>
    <comment ref="S41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41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D157" authorId="2" shapeId="0" xr:uid="{652DF29B-C80F-474D-9452-32A45BAD39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$800 Distribution</t>
      </text>
    </comment>
    <comment ref="AE157" authorId="3" shapeId="0" xr:uid="{973B5C3F-CC1C-478B-AAEB-95C45A193E9C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2023 Tax Payment</t>
      </text>
    </comment>
  </commentList>
</comments>
</file>

<file path=xl/sharedStrings.xml><?xml version="1.0" encoding="utf-8"?>
<sst xmlns="http://schemas.openxmlformats.org/spreadsheetml/2006/main" count="1441" uniqueCount="523">
  <si>
    <t>Total</t>
  </si>
  <si>
    <t>Income</t>
  </si>
  <si>
    <t xml:space="preserve">   Total 50000 Service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</si>
  <si>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</si>
  <si>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</si>
  <si>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</si>
  <si>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</si>
  <si>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</si>
  <si>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</si>
  <si>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</si>
  <si>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</si>
  <si>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</si>
  <si>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</si>
  <si>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</si>
  <si>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</si>
  <si>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</si>
  <si>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</si>
  <si>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</si>
  <si>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</si>
  <si>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</si>
  <si>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</si>
  <si>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</si>
  <si>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</si>
  <si>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</si>
  <si>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</si>
  <si>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</si>
  <si>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40200 Owner Distributions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</si>
  <si>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</si>
  <si>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</si>
  <si>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</si>
  <si>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</si>
  <si>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</si>
  <si>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</si>
  <si>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</si>
  <si>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</si>
  <si>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</si>
  <si>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</si>
  <si>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</si>
  <si>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</si>
  <si>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</si>
  <si>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</si>
  <si>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</si>
  <si>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</si>
  <si>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</si>
  <si>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</si>
  <si>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</si>
  <si>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</si>
  <si>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</si>
  <si>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</si>
  <si>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</si>
  <si>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</si>
  <si>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</si>
  <si>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Utilization %</t>
  </si>
  <si>
    <t># of Students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</si>
  <si>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</si>
  <si>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</si>
  <si>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</si>
  <si>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</si>
  <si>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</si>
  <si>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</si>
  <si>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</si>
  <si>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</si>
  <si>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</si>
  <si>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</si>
  <si>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</si>
  <si>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</si>
  <si>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</si>
  <si>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</si>
  <si>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</si>
  <si>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</si>
  <si>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</si>
  <si>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</si>
  <si>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</si>
  <si>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</si>
  <si>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</si>
  <si>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</si>
  <si>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</si>
  <si>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</si>
  <si>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</si>
  <si>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</si>
  <si>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</si>
  <si>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</si>
  <si>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</si>
  <si>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</si>
  <si>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</si>
  <si>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</si>
  <si>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</si>
  <si>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</si>
  <si>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</si>
  <si>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</si>
  <si>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</si>
  <si>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</si>
  <si>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</si>
  <si>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</si>
  <si>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</si>
  <si>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</si>
  <si>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</si>
  <si>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</si>
  <si>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</si>
  <si>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</si>
  <si>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</si>
  <si>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</si>
  <si>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</si>
  <si>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</si>
  <si>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</si>
  <si>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</si>
  <si>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</si>
  <si>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</si>
  <si>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</si>
  <si>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</si>
  <si>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</si>
  <si>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</si>
  <si>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</si>
  <si>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</si>
  <si>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</si>
  <si>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</si>
  <si>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</si>
  <si>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</si>
  <si>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</si>
  <si>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</si>
  <si>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</si>
  <si>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</si>
  <si>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</si>
  <si>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</si>
  <si>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</si>
  <si>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</si>
  <si>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</si>
  <si>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</si>
  <si>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</si>
  <si>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</si>
  <si>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</si>
  <si>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</si>
  <si>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</si>
  <si>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</si>
  <si>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</si>
  <si>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</si>
  <si>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</si>
  <si>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</si>
  <si>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</si>
  <si>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</si>
  <si>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</si>
  <si>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</si>
  <si>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</si>
  <si>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</si>
  <si>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</si>
  <si>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</si>
  <si>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</si>
  <si>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</si>
  <si>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</si>
  <si>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</si>
  <si>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</si>
  <si>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</si>
  <si>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</si>
  <si>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</si>
  <si>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</si>
  <si>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</si>
  <si>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</si>
  <si>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</si>
  <si>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</si>
  <si>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</si>
  <si>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</si>
  <si>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</si>
  <si>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</si>
  <si>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</si>
  <si>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</si>
  <si>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</si>
  <si>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</si>
  <si>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</si>
  <si>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</si>
  <si>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</si>
  <si>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</si>
  <si>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</si>
  <si>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</si>
  <si>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</si>
  <si>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</si>
  <si>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</si>
  <si>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</si>
  <si>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</si>
  <si>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</si>
  <si>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</si>
  <si>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</si>
  <si>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</si>
  <si>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</si>
  <si>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</si>
  <si>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</si>
  <si>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</si>
  <si>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</si>
  <si>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</si>
  <si>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</si>
  <si>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</si>
  <si>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</si>
  <si>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</si>
  <si>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</si>
  <si>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</si>
  <si>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</si>
  <si>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</si>
  <si>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</si>
  <si>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</si>
  <si>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</si>
  <si>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</si>
  <si>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</si>
  <si>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</si>
  <si>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</si>
  <si>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</si>
  <si>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</si>
  <si>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>Actual</t>
  </si>
  <si>
    <t>Variance</t>
  </si>
  <si>
    <t>Forecast</t>
  </si>
  <si>
    <t>Name</t>
  </si>
  <si>
    <t>Position</t>
  </si>
  <si>
    <t>NOI %</t>
  </si>
  <si>
    <t>Q1 2024</t>
  </si>
  <si>
    <t>Q2 2024</t>
  </si>
  <si>
    <t>Q3 2024</t>
  </si>
  <si>
    <t>Q4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</si>
  <si>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</si>
  <si>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</si>
  <si>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</si>
  <si>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</si>
  <si>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</si>
  <si>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</si>
  <si>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</si>
  <si>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</si>
  <si>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</si>
  <si>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</si>
  <si>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</si>
  <si>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</si>
  <si>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2024 Overview (Rolling Forecast)</t>
  </si>
  <si>
    <t>2024 Overview (Annual Operating Plan)</t>
  </si>
  <si>
    <t xml:space="preserve">   Computer &amp; Software</t>
  </si>
  <si>
    <t>Donations/Gifts</t>
  </si>
  <si>
    <t>Fees/Subscriptions</t>
  </si>
  <si>
    <t>Finance &amp; Accounting</t>
  </si>
  <si>
    <t>Bank Fees</t>
  </si>
  <si>
    <t>Meals and Entertainment</t>
  </si>
  <si>
    <t>QBO Fees</t>
  </si>
  <si>
    <t>Professional/Legal Fees</t>
  </si>
  <si>
    <t>Utilities</t>
  </si>
  <si>
    <t>Total Cash Distributions</t>
  </si>
  <si>
    <t>Construction Revenue</t>
  </si>
  <si>
    <t>Cash Balance</t>
  </si>
  <si>
    <t>Contract #1</t>
  </si>
  <si>
    <t>Sale Price</t>
  </si>
  <si>
    <t>Expense Schedule</t>
  </si>
  <si>
    <t>Revenue Recognized (Accrual)</t>
  </si>
  <si>
    <t>Cost</t>
  </si>
  <si>
    <t>Construction Revenue (Accural Basis)</t>
  </si>
  <si>
    <t>GM % (Cash Basis)</t>
  </si>
  <si>
    <t>GM % (Accrual Basis)</t>
  </si>
  <si>
    <t>Gross Margin  (Accrual Basis)</t>
  </si>
  <si>
    <t>Gross Margin  (Cash Basis)</t>
  </si>
  <si>
    <t>COGS</t>
  </si>
  <si>
    <t>Cost of Goods Sold</t>
  </si>
  <si>
    <t xml:space="preserve">   Total Cost of goods sold</t>
  </si>
  <si>
    <t>Total Cost of Goods Sold</t>
  </si>
  <si>
    <t>Accrued Expenses</t>
  </si>
  <si>
    <t xml:space="preserve">   40100 Construction Revenue</t>
  </si>
  <si>
    <t xml:space="preserve">   30100 Advertising &amp; Marketing</t>
  </si>
  <si>
    <t xml:space="preserve">      30110 Merchandise</t>
  </si>
  <si>
    <t xml:space="preserve">   Total 30100 Advertising &amp; Marketing</t>
  </si>
  <si>
    <t xml:space="preserve">   60100 General &amp; Administrative Expenses</t>
  </si>
  <si>
    <t xml:space="preserve">      Total 60200 Office expenses</t>
  </si>
  <si>
    <t xml:space="preserve">      61000 Legal &amp; Accounting Services</t>
  </si>
  <si>
    <t xml:space="preserve">      Total 61000 Legal &amp; Accounting Services</t>
  </si>
  <si>
    <t xml:space="preserve">   Total 60100 General &amp; Administrative Expenses</t>
  </si>
  <si>
    <t xml:space="preserve">   70200 Interest Expense</t>
  </si>
  <si>
    <t xml:space="preserve">         Cash</t>
  </si>
  <si>
    <t xml:space="preserve">         Credit Cards</t>
  </si>
  <si>
    <t xml:space="preserve">         Total Credit Cards</t>
  </si>
  <si>
    <t xml:space="preserve">         Other Current Liabilities</t>
  </si>
  <si>
    <t xml:space="preserve">            Short-term loans due Partners</t>
  </si>
  <si>
    <t xml:space="preserve">               Loan Due Partner - Bobby</t>
  </si>
  <si>
    <t xml:space="preserve">               Loans due Partner - Felicia</t>
  </si>
  <si>
    <t xml:space="preserve">            Total Short-term loans due Partners</t>
  </si>
  <si>
    <t xml:space="preserve">         Total Other Current Liabilities</t>
  </si>
  <si>
    <t xml:space="preserve">      Total Current Liabilities</t>
  </si>
  <si>
    <t xml:space="preserve">         Total Accounts Payable</t>
  </si>
  <si>
    <t xml:space="preserve">      Partner distributions</t>
  </si>
  <si>
    <t xml:space="preserve">         Bobby - Partner Distributions</t>
  </si>
  <si>
    <t xml:space="preserve">         Felicia - Partner Distributions</t>
  </si>
  <si>
    <t xml:space="preserve">      Total Partner distributions</t>
  </si>
  <si>
    <t xml:space="preserve">      Partner investments</t>
  </si>
  <si>
    <t xml:space="preserve">         80100 Bobby - Partner Investments</t>
  </si>
  <si>
    <t xml:space="preserve">         80200 Felicia - Partner Investments</t>
  </si>
  <si>
    <t xml:space="preserve">      Total Partner investments</t>
  </si>
  <si>
    <t>Felicia Lee</t>
  </si>
  <si>
    <t>Bobby Ambush</t>
  </si>
  <si>
    <t>Partner</t>
  </si>
  <si>
    <t>Total Income (Cash Basis)</t>
  </si>
  <si>
    <t>Accumulated Deposits</t>
  </si>
  <si>
    <t>Revenue Recognized (Cash Deposits)</t>
  </si>
  <si>
    <t>Net Operating Income (EBITDA) - Cash Basis</t>
  </si>
  <si>
    <t>Net Operating Income (EBITDA) - Accrual Basis</t>
  </si>
  <si>
    <t>Tax Savings</t>
  </si>
  <si>
    <t>Accumulated Revenue Recognized (Accrual)</t>
  </si>
  <si>
    <t>Customer Deposits</t>
  </si>
  <si>
    <t>Net Income - Cash Basis</t>
  </si>
  <si>
    <t>Net Income - Accrual Basis</t>
  </si>
  <si>
    <t>Estimated Tax Burden - Accrual Basis</t>
  </si>
  <si>
    <t>Estimated Tax Burden - Cash Basis</t>
  </si>
  <si>
    <t>Construction Income (Cash Basis)</t>
  </si>
  <si>
    <t>Total Revenue</t>
  </si>
  <si>
    <t>EBITDA % - Cash Basis</t>
  </si>
  <si>
    <t>EBITDA % - Accrual Basis</t>
  </si>
  <si>
    <t>NI % - Accrual Basis</t>
  </si>
  <si>
    <t>NI % - Cash Basis</t>
  </si>
  <si>
    <t>*Estimated Tax Burden - Cash Basis</t>
  </si>
  <si>
    <t>*Estimated Tax Burden - Accrual Basis</t>
  </si>
  <si>
    <t>*Estimated Tax Burden - Accrual</t>
  </si>
  <si>
    <t xml:space="preserve">   50100 Construction Parts &amp; Tools - COGS</t>
  </si>
  <si>
    <t xml:space="preserve">   50200 Supplies &amp; Materials - COGS</t>
  </si>
  <si>
    <t xml:space="preserve">   50600 Subcontractors - COGS</t>
  </si>
  <si>
    <t xml:space="preserve">      30130 Marketing Material</t>
  </si>
  <si>
    <t xml:space="preserve">      60200 Office Expenses</t>
  </si>
  <si>
    <t xml:space="preserve">         60210 Office Supplies</t>
  </si>
  <si>
    <t xml:space="preserve">         60220 Shipping &amp; Postage</t>
  </si>
  <si>
    <t xml:space="preserve">         60230 Small Tools &amp; Equipment</t>
  </si>
  <si>
    <t xml:space="preserve">         60240 Software &amp; Apps</t>
  </si>
  <si>
    <t xml:space="preserve">         60310 Accounting &amp; Finance</t>
  </si>
  <si>
    <t xml:space="preserve">         60320 Legal &amp; Professional Fees</t>
  </si>
  <si>
    <t xml:space="preserve">      60400 Travel</t>
  </si>
  <si>
    <t xml:space="preserve">         60410 Airfare</t>
  </si>
  <si>
    <t xml:space="preserve">         60430 Hotels</t>
  </si>
  <si>
    <t xml:space="preserve">      Total 60400 Travel</t>
  </si>
  <si>
    <t xml:space="preserve">      60500 Memberships, Dues, &amp; Subscriptions</t>
  </si>
  <si>
    <t xml:space="preserve">      60600 Insurance</t>
  </si>
  <si>
    <t xml:space="preserve">      60700 Meals (50% Deductible)</t>
  </si>
  <si>
    <t xml:space="preserve">      60800 Phone Service</t>
  </si>
  <si>
    <t xml:space="preserve">      60900 Bank Fees &amp; Service Charges</t>
  </si>
  <si>
    <t xml:space="preserve">      61000 Business Licenses</t>
  </si>
  <si>
    <t xml:space="preserve">      61100 Donations</t>
  </si>
  <si>
    <t xml:space="preserve">      61200 Training &amp; Development</t>
  </si>
  <si>
    <t xml:space="preserve">   Reconciliation Discrepancies</t>
  </si>
  <si>
    <t xml:space="preserve">            (ARCHIVED) Cash Rewards Business (3775)</t>
  </si>
  <si>
    <t xml:space="preserve">               30210 Security Deposit - Kemps Ridge Lot 1</t>
  </si>
  <si>
    <t xml:space="preserve">               30220 Kemps Ridge Lot 1</t>
  </si>
  <si>
    <t>Price</t>
  </si>
  <si>
    <t>Services</t>
  </si>
  <si>
    <t>Relief Period (Project estimated time of completion)</t>
  </si>
  <si>
    <t>Total Adjusted Market</t>
  </si>
  <si>
    <t>Identified Leads</t>
  </si>
  <si>
    <t>Trial</t>
  </si>
  <si>
    <t>Proposal</t>
  </si>
  <si>
    <t>Decision</t>
  </si>
  <si>
    <t>Contract Hits</t>
  </si>
  <si>
    <t>Contract Hit Rate</t>
  </si>
  <si>
    <t>Total Client Additions</t>
  </si>
  <si>
    <t xml:space="preserve">   40200 Contract Consulting Revenue</t>
  </si>
  <si>
    <t>Contractor Services</t>
  </si>
  <si>
    <t xml:space="preserve">               30230 Security Deposit - Kemps Ridge Lot 2</t>
  </si>
  <si>
    <t xml:space="preserve">               30240 Kemps Ridge Lot 2</t>
  </si>
  <si>
    <t>Total Cash Deposits</t>
  </si>
  <si>
    <t>Construction Parts &amp; Tools as a % of Revenue</t>
  </si>
  <si>
    <t>Supplies &amp; Materials as a % of Revenue</t>
  </si>
  <si>
    <t>Subcontractors as a % of Revenue</t>
  </si>
  <si>
    <t xml:space="preserve">   50600 Subcontractors - COGS (Contractor Services)</t>
  </si>
  <si>
    <t>Subcontractors (Contractor Services) as a % of Revenue</t>
  </si>
  <si>
    <t>Construction Revenue (Accrual Basis)</t>
  </si>
  <si>
    <t>Contractor Services Revenue (Accrual Basis)</t>
  </si>
  <si>
    <t>Contractor Services (Cash Basis)</t>
  </si>
  <si>
    <t>Accumulated Contractor Services (Cash Basis)</t>
  </si>
  <si>
    <t>Total Accured Revenue</t>
  </si>
  <si>
    <t xml:space="preserve">   Construction Parts &amp; Tools</t>
  </si>
  <si>
    <t xml:space="preserve">   Supplies &amp; Materials</t>
  </si>
  <si>
    <t xml:space="preserve">   Subcontractors</t>
  </si>
  <si>
    <t xml:space="preserve">   Subcontractors (Contractor Services)</t>
  </si>
  <si>
    <t xml:space="preserve">Gross Margin </t>
  </si>
  <si>
    <t>Contractor Services Revenue</t>
  </si>
  <si>
    <t>Construction Income</t>
  </si>
  <si>
    <t>Contractor Services Income</t>
  </si>
  <si>
    <t xml:space="preserve">NI % </t>
  </si>
  <si>
    <t>\</t>
  </si>
  <si>
    <t>Home Builders Income (Cash Basis)</t>
  </si>
  <si>
    <t>Contractor Services Income (Cash Basis)</t>
  </si>
  <si>
    <t>2024 Overview (Cash Basis)</t>
  </si>
  <si>
    <t>Contract #3</t>
  </si>
  <si>
    <t>Contract #4</t>
  </si>
  <si>
    <t>Gross Profit (Accrual Basis)</t>
  </si>
  <si>
    <t>GM % (Home Builders)</t>
  </si>
  <si>
    <t>GM % (Contractor Services)</t>
  </si>
  <si>
    <t>Contract #5</t>
  </si>
  <si>
    <t>Contract #6</t>
  </si>
  <si>
    <t>Ed's Windows</t>
  </si>
  <si>
    <t>Home Builders Revenue</t>
  </si>
  <si>
    <t>GM % - Home Builders</t>
  </si>
  <si>
    <t>GM % - Contractor Services</t>
  </si>
  <si>
    <t>Contract #7</t>
  </si>
  <si>
    <t>Advertising &amp; Marketing</t>
  </si>
  <si>
    <t>General &amp; Admintrative</t>
  </si>
  <si>
    <t>Cash Distributions</t>
  </si>
  <si>
    <t>Summary Balance Sheet</t>
  </si>
  <si>
    <t>Cash</t>
  </si>
  <si>
    <t>A/R</t>
  </si>
  <si>
    <t>Other Current Assets</t>
  </si>
  <si>
    <t>Cash &amp; Liquidity</t>
  </si>
  <si>
    <t>Fixed Assets</t>
  </si>
  <si>
    <t>Total Assets</t>
  </si>
  <si>
    <t>Current Liabilites</t>
  </si>
  <si>
    <t>L/T Liabilites</t>
  </si>
  <si>
    <t>Total Debt</t>
  </si>
  <si>
    <t>Net Debt / (Net Cash)</t>
  </si>
  <si>
    <t>Shareholder Investments</t>
  </si>
  <si>
    <t>Net Income (Loss)/Dividends</t>
  </si>
  <si>
    <t>Total Equity</t>
  </si>
  <si>
    <t>EBITDA</t>
  </si>
  <si>
    <t>Less:  Depreciation</t>
  </si>
  <si>
    <t>EBIT</t>
  </si>
  <si>
    <t>Less: Interest/Taxes</t>
  </si>
  <si>
    <t>Earnings after Taxes</t>
  </si>
  <si>
    <t>Plus:  Depreciation</t>
  </si>
  <si>
    <t>Less:  Capital expenditures</t>
  </si>
  <si>
    <t xml:space="preserve"> + / -  Changes in working capital</t>
  </si>
  <si>
    <t xml:space="preserve"> + / -  Changes in other assets and liabilities</t>
  </si>
  <si>
    <t>Unlevered Free Cash Flow</t>
  </si>
  <si>
    <t>Unlevered Free Cash Flow Growth Rate</t>
  </si>
  <si>
    <t>Key Metrics &amp; Ratios</t>
  </si>
  <si>
    <t>Liquidity Coveraqe</t>
  </si>
  <si>
    <t>Perpetuity Growth Method</t>
  </si>
  <si>
    <t>EBITDA Multiple Method</t>
  </si>
  <si>
    <t>Interest Coverage</t>
  </si>
  <si>
    <t>Financial Leverage Ratio</t>
  </si>
  <si>
    <t>Weighted average cost of capital:</t>
  </si>
  <si>
    <t>TTM EBITDA</t>
  </si>
  <si>
    <t>Net present value of free cash flow</t>
  </si>
  <si>
    <t>Enterprise Value</t>
  </si>
  <si>
    <t>EBITDA Multiple</t>
  </si>
  <si>
    <t>5-Year CAGR</t>
  </si>
  <si>
    <t>Debt Service Coverage</t>
  </si>
  <si>
    <t>Exit multiple</t>
  </si>
  <si>
    <t>Working Capital</t>
  </si>
  <si>
    <t>Terminal value</t>
  </si>
  <si>
    <t>Present value of the terminal value</t>
  </si>
  <si>
    <t>Return on Assets</t>
  </si>
  <si>
    <t>Return on Equity</t>
  </si>
  <si>
    <t>CFO to CapEx</t>
  </si>
  <si>
    <t>Unlevered Beta</t>
  </si>
  <si>
    <t xml:space="preserve"> LESS: Net Debt (Cash)</t>
  </si>
  <si>
    <t>Levered Beta</t>
  </si>
  <si>
    <t>Equity Value</t>
  </si>
  <si>
    <t>Risk Free Rate</t>
  </si>
  <si>
    <t>Expected Rate of Return</t>
  </si>
  <si>
    <t>Diluted shares:</t>
  </si>
  <si>
    <t>Cost of Equity</t>
  </si>
  <si>
    <t>Effective Interest Rate</t>
  </si>
  <si>
    <t>Equity Value Per Share</t>
  </si>
  <si>
    <t>Cost of Debt</t>
  </si>
  <si>
    <t>WACC</t>
  </si>
  <si>
    <t>Capitalization Rate</t>
  </si>
  <si>
    <t>NAV</t>
  </si>
  <si>
    <t>NOI (Accrual Basis)</t>
  </si>
  <si>
    <t>EstimatedCost</t>
  </si>
  <si>
    <t>Actual Cost</t>
  </si>
  <si>
    <t>Charles Sterling</t>
  </si>
  <si>
    <t>Contract #2 - Madison</t>
  </si>
  <si>
    <t># of Contract Bookings</t>
  </si>
  <si>
    <t>Partner Salary - Bobby</t>
  </si>
  <si>
    <t>Partner Salary - Felicia</t>
  </si>
  <si>
    <t>Operating Cash Runway</t>
  </si>
  <si>
    <t>Cash Runway in Months</t>
  </si>
  <si>
    <t>Cash Burn</t>
  </si>
  <si>
    <t>*Estimated Tax 
Burden</t>
  </si>
  <si>
    <t>*Estimated 
Tax Burden</t>
  </si>
  <si>
    <t>2024 Overview</t>
  </si>
  <si>
    <t>2025 Overview</t>
  </si>
  <si>
    <t>Jason Lee</t>
  </si>
  <si>
    <t>CC Days</t>
  </si>
  <si>
    <t xml:space="preserve">   Subcontractors - Contractor Services</t>
  </si>
  <si>
    <t>Net New Clients</t>
  </si>
  <si>
    <t>Start Date</t>
  </si>
  <si>
    <t xml:space="preserve">         60420 Personal Mileage &amp; Gas</t>
  </si>
  <si>
    <t xml:space="preserve">         60440 Shared Rides/Parking</t>
  </si>
  <si>
    <t xml:space="preserve">         60450 Vehicle Rental</t>
  </si>
  <si>
    <t xml:space="preserve">         10100 PNC Checking - 0658</t>
  </si>
  <si>
    <t xml:space="preserve">         10200 Chase Checking - 3000</t>
  </si>
  <si>
    <t xml:space="preserve">         10900 ESCROW Checking - 4743</t>
  </si>
  <si>
    <t xml:space="preserve">         Payments to deposit</t>
  </si>
  <si>
    <t xml:space="preserve">         Prepaid expenses</t>
  </si>
  <si>
    <t xml:space="preserve">            30100 Customer Deposits - Contractor Services</t>
  </si>
  <si>
    <t xml:space="preserve">            30200 Customer Deposits - Home Builders</t>
  </si>
  <si>
    <t>AP Days</t>
  </si>
  <si>
    <t>Phase</t>
  </si>
  <si>
    <t>2023-2024</t>
  </si>
  <si>
    <t>2024-2025</t>
  </si>
  <si>
    <t>Anticipated Cash Deposit Rate</t>
  </si>
  <si>
    <t>Expense Rate</t>
  </si>
  <si>
    <t>2025-2026</t>
  </si>
  <si>
    <t>End Date</t>
  </si>
  <si>
    <t>Contract #8</t>
  </si>
  <si>
    <t>Charles Sterling - Backyard Pipe Burial</t>
  </si>
  <si>
    <t>Charles Sterling - Deck</t>
  </si>
  <si>
    <t xml:space="preserve">            Total 30200 Customer Deposits</t>
  </si>
  <si>
    <t>Anticipated Cash Deposit Rate - CONTRACTOR SERVICES</t>
  </si>
  <si>
    <t>Contracting Services</t>
  </si>
  <si>
    <t>Masai Troutman</t>
  </si>
  <si>
    <t>Ed Pesnell</t>
  </si>
  <si>
    <t xml:space="preserve">      30150 Conferences &amp; Trade Shows</t>
  </si>
  <si>
    <t>Wiley Mackintosh</t>
  </si>
  <si>
    <t xml:space="preserve">      60110 General &amp; Administrative Salaries</t>
  </si>
  <si>
    <t xml:space="preserve">         60130 Payroll Taxes</t>
  </si>
  <si>
    <t xml:space="preserve">         60140 401k/Health Benefits</t>
  </si>
  <si>
    <t xml:space="preserve">      Total 60110 Payroll expenses</t>
  </si>
  <si>
    <t>Payroll Taxes as a % of Wages</t>
  </si>
  <si>
    <t xml:space="preserve">         60210 Partner Wages</t>
  </si>
  <si>
    <t>Health Benefits as a % of Wages</t>
  </si>
  <si>
    <t>Partner Salaries - Bobby</t>
  </si>
  <si>
    <t>Partner Salaries - Felicia</t>
  </si>
  <si>
    <t>EOY Contract Bookings Count</t>
  </si>
  <si>
    <t>Total Contract Bookings</t>
  </si>
  <si>
    <t xml:space="preserve">            Chase CC - 1758</t>
  </si>
  <si>
    <t xml:space="preserve">            PNC Cash Rewards - 3775</t>
  </si>
  <si>
    <t xml:space="preserve">            PNC Points Visa - 9782</t>
  </si>
  <si>
    <t>Kelly Athey</t>
  </si>
  <si>
    <t>Total Cost of Goods Sold (COGS)</t>
  </si>
  <si>
    <t>Advertising &amp; Marketing Expenses</t>
  </si>
  <si>
    <t>Q1</t>
  </si>
  <si>
    <t>Q2</t>
  </si>
  <si>
    <t>Q3</t>
  </si>
  <si>
    <t>Q4</t>
  </si>
  <si>
    <t>2024 AOP Income</t>
  </si>
  <si>
    <t>2024 AOP Net Income</t>
  </si>
  <si>
    <t>2024 AOP Avg. Appointments</t>
  </si>
  <si>
    <t>2024 AOP Avg. MRR</t>
  </si>
  <si>
    <t>2024 AOP Avg. Client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</si>
</sst>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[$-409]mmmm;@"/>
    <numFmt numFmtId="170" formatCode="[$-409]mmmm\-yy;@"/>
    <numFmt numFmtId="171" formatCode="_(&quot;$&quot;* #,##0_);_(&quot;$&quot;* \(#,##0\);_(&quot;$&quot;* &quot;-&quot;??_);_(@_)"/>
    <numFmt numFmtId="172" formatCode="_([$$]#,##0_)_%;\([$$]#,##0\)_%;_(&quot;–&quot;_)_%;_(@_)_%"/>
    <numFmt numFmtId="173" formatCode="0.0%"/>
    <numFmt numFmtId="174" formatCode="0.00000"/>
    <numFmt numFmtId="175" formatCode="_(&quot;$&quot;* #,##0.000_);_(&quot;$&quot;* \(#,##0.000\);_(&quot;$&quot;* &quot;-&quot;??_);_(@_)"/>
    <numFmt numFmtId="176" formatCode="0\ &quot;months&quot;"/>
    <numFmt numFmtId="177" formatCode="_(0.00\x_)_);_(\(0.00\x\)"/>
    <numFmt numFmtId="178" formatCode="#,##0.0%_);\(#,##0.0%\)"/>
    <numFmt numFmtId="179" formatCode="&quot;$&quot;#,##0.0_);\(&quot;$&quot;#,##0.0\)"/>
    <numFmt numFmtId="180" formatCode="#,##0.0\x_)"/>
    <numFmt numFmtId="181" formatCode="#,##0.0_);\(#,##0.0\)"/>
    <numFmt numFmtId="182" formatCode="#,##0.000_);\(#,##0.000\)"/>
    <numFmt numFmtId="183" formatCode="_(* #\ ##0.00_)&quot;month(s)&quot;;_(* #\ ##0.00_)&quot;month(s)&quot;;_(* &quot;-&quot;??_);_(@_)&quot;month(s)&quot;"/>
  </numFmts>
  <fonts count="6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sz val="10"/>
      <color theme="9"/>
      <name val="Arial"/>
      <family val="2"/>
    </font>
    <font>
      <sz val="11"/>
      <color rgb="FFFFFF00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03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/>
    <xf numFmtId="14" fontId="8" fillId="4" borderId="0" xfId="0" applyNumberFormat="1" applyFont="1" applyFill="1" applyAlignment="1">
      <alignment horizontal="center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2" fillId="0" borderId="0" xfId="0" applyFont="1" applyAlignment="1">
      <alignment horizontal="right" wrapText="1"/>
    </xf>
    <xf numFmtId="2" fontId="0" fillId="0" borderId="2" xfId="3" applyNumberFormat="1" applyFont="1" applyBorder="1"/>
    <xf numFmtId="0" fontId="5" fillId="6" borderId="2" xfId="0" applyFont="1" applyFill="1" applyBorder="1" applyAlignment="1">
      <alignment horizontal="left" wrapText="1"/>
    </xf>
    <xf numFmtId="0" fontId="22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4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26" fillId="4" borderId="0" xfId="0" applyFont="1" applyFill="1" applyAlignment="1">
      <alignment horizontal="right" vertical="center"/>
    </xf>
    <xf numFmtId="169" fontId="27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vertical="center"/>
    </xf>
    <xf numFmtId="170" fontId="2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1" fontId="16" fillId="2" borderId="2" xfId="2" applyNumberFormat="1" applyFont="1" applyFill="1" applyBorder="1" applyAlignment="1">
      <alignment horizontal="right"/>
    </xf>
    <xf numFmtId="171" fontId="0" fillId="0" borderId="0" xfId="2" applyNumberFormat="1" applyFont="1" applyBorder="1" applyAlignment="1">
      <alignment horizontal="right"/>
    </xf>
    <xf numFmtId="172" fontId="0" fillId="0" borderId="0" xfId="0" applyNumberFormat="1"/>
    <xf numFmtId="171" fontId="28" fillId="0" borderId="0" xfId="2" applyNumberFormat="1" applyFont="1"/>
    <xf numFmtId="0" fontId="11" fillId="2" borderId="2" xfId="0" applyFont="1" applyFill="1" applyBorder="1" applyAlignment="1">
      <alignment horizontal="right"/>
    </xf>
    <xf numFmtId="171" fontId="11" fillId="2" borderId="2" xfId="2" applyNumberFormat="1" applyFont="1" applyFill="1" applyBorder="1" applyAlignment="1"/>
    <xf numFmtId="171" fontId="0" fillId="0" borderId="0" xfId="2" applyNumberFormat="1" applyFont="1" applyAlignment="1"/>
    <xf numFmtId="0" fontId="30" fillId="0" borderId="0" xfId="0" applyFont="1" applyAlignment="1">
      <alignment horizontal="right"/>
    </xf>
    <xf numFmtId="168" fontId="30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1" fontId="27" fillId="10" borderId="2" xfId="2" applyNumberFormat="1" applyFont="1" applyFill="1" applyBorder="1" applyAlignment="1">
      <alignment horizontal="right"/>
    </xf>
    <xf numFmtId="171" fontId="27" fillId="10" borderId="2" xfId="2" applyNumberFormat="1" applyFont="1" applyFill="1" applyBorder="1"/>
    <xf numFmtId="0" fontId="29" fillId="10" borderId="0" xfId="0" applyFont="1" applyFill="1" applyAlignment="1">
      <alignment horizontal="right"/>
    </xf>
    <xf numFmtId="168" fontId="29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0" fillId="0" borderId="0" xfId="1" applyFont="1"/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1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2" fillId="0" borderId="0" xfId="3" applyFont="1" applyBorder="1"/>
    <xf numFmtId="173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0" fontId="18" fillId="2" borderId="15" xfId="0" applyFont="1" applyFill="1" applyBorder="1"/>
    <xf numFmtId="0" fontId="19" fillId="2" borderId="15" xfId="0" applyFont="1" applyFill="1" applyBorder="1" applyAlignment="1">
      <alignment horizontal="left"/>
    </xf>
    <xf numFmtId="0" fontId="20" fillId="2" borderId="15" xfId="0" applyFont="1" applyFill="1" applyBorder="1"/>
    <xf numFmtId="168" fontId="19" fillId="2" borderId="15" xfId="0" applyNumberFormat="1" applyFont="1" applyFill="1" applyBorder="1"/>
    <xf numFmtId="168" fontId="19" fillId="2" borderId="16" xfId="0" applyNumberFormat="1" applyFont="1" applyFill="1" applyBorder="1"/>
    <xf numFmtId="169" fontId="27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1" fontId="16" fillId="2" borderId="13" xfId="2" applyNumberFormat="1" applyFont="1" applyFill="1" applyBorder="1" applyAlignment="1">
      <alignment horizontal="right"/>
    </xf>
    <xf numFmtId="172" fontId="0" fillId="0" borderId="12" xfId="0" applyNumberFormat="1" applyBorder="1"/>
    <xf numFmtId="171" fontId="27" fillId="10" borderId="13" xfId="2" applyNumberFormat="1" applyFont="1" applyFill="1" applyBorder="1"/>
    <xf numFmtId="168" fontId="29" fillId="10" borderId="12" xfId="0" applyNumberFormat="1" applyFont="1" applyFill="1" applyBorder="1" applyAlignment="1">
      <alignment horizontal="right"/>
    </xf>
    <xf numFmtId="171" fontId="11" fillId="2" borderId="13" xfId="2" applyNumberFormat="1" applyFont="1" applyFill="1" applyBorder="1" applyAlignment="1"/>
    <xf numFmtId="168" fontId="30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43" fontId="37" fillId="2" borderId="2" xfId="0" applyNumberFormat="1" applyFont="1" applyFill="1" applyBorder="1" applyAlignment="1">
      <alignment horizontal="right"/>
    </xf>
    <xf numFmtId="0" fontId="0" fillId="2" borderId="2" xfId="0" applyFill="1" applyBorder="1"/>
    <xf numFmtId="0" fontId="0" fillId="2" borderId="15" xfId="0" applyFill="1" applyBorder="1"/>
    <xf numFmtId="0" fontId="0" fillId="2" borderId="0" xfId="0" applyFill="1"/>
    <xf numFmtId="0" fontId="0" fillId="0" borderId="23" xfId="0" applyBorder="1"/>
    <xf numFmtId="14" fontId="0" fillId="0" borderId="0" xfId="0" applyNumberFormat="1"/>
    <xf numFmtId="0" fontId="0" fillId="0" borderId="26" xfId="0" applyBorder="1"/>
    <xf numFmtId="44" fontId="0" fillId="0" borderId="0" xfId="2" applyFont="1" applyBorder="1"/>
    <xf numFmtId="44" fontId="0" fillId="0" borderId="26" xfId="0" applyNumberFormat="1" applyBorder="1"/>
    <xf numFmtId="43" fontId="36" fillId="2" borderId="27" xfId="0" applyNumberFormat="1" applyFont="1" applyFill="1" applyBorder="1" applyAlignment="1">
      <alignment vertical="center"/>
    </xf>
    <xf numFmtId="43" fontId="36" fillId="2" borderId="25" xfId="0" applyNumberFormat="1" applyFont="1" applyFill="1" applyBorder="1" applyAlignment="1">
      <alignment vertical="center"/>
    </xf>
    <xf numFmtId="0" fontId="38" fillId="2" borderId="0" xfId="0" applyFont="1" applyFill="1" applyAlignment="1">
      <alignment horizontal="right"/>
    </xf>
    <xf numFmtId="1" fontId="0" fillId="2" borderId="0" xfId="0" applyNumberFormat="1" applyFill="1"/>
    <xf numFmtId="0" fontId="37" fillId="2" borderId="0" xfId="0" applyFont="1" applyFill="1" applyAlignment="1">
      <alignment horizontal="right"/>
    </xf>
    <xf numFmtId="0" fontId="36" fillId="2" borderId="25" xfId="0" applyFont="1" applyFill="1" applyBorder="1" applyAlignment="1">
      <alignment vertical="center"/>
    </xf>
    <xf numFmtId="0" fontId="39" fillId="2" borderId="29" xfId="0" applyFont="1" applyFill="1" applyBorder="1"/>
    <xf numFmtId="0" fontId="0" fillId="0" borderId="34" xfId="0" applyBorder="1"/>
    <xf numFmtId="2" fontId="0" fillId="0" borderId="0" xfId="3" applyNumberFormat="1" applyFont="1"/>
    <xf numFmtId="174" fontId="0" fillId="0" borderId="0" xfId="0" applyNumberFormat="1"/>
    <xf numFmtId="0" fontId="8" fillId="4" borderId="21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14" fontId="8" fillId="4" borderId="21" xfId="0" applyNumberFormat="1" applyFont="1" applyFill="1" applyBorder="1" applyAlignment="1">
      <alignment horizontal="center"/>
    </xf>
    <xf numFmtId="0" fontId="0" fillId="0" borderId="21" xfId="0" applyBorder="1"/>
    <xf numFmtId="43" fontId="0" fillId="0" borderId="21" xfId="1" applyFont="1" applyBorder="1"/>
    <xf numFmtId="44" fontId="11" fillId="0" borderId="17" xfId="0" applyNumberFormat="1" applyFont="1" applyBorder="1"/>
    <xf numFmtId="44" fontId="11" fillId="0" borderId="21" xfId="0" applyNumberFormat="1" applyFont="1" applyBorder="1"/>
    <xf numFmtId="168" fontId="19" fillId="2" borderId="20" xfId="0" applyNumberFormat="1" applyFont="1" applyFill="1" applyBorder="1"/>
    <xf numFmtId="44" fontId="11" fillId="0" borderId="14" xfId="0" applyNumberFormat="1" applyFont="1" applyBorder="1"/>
    <xf numFmtId="44" fontId="11" fillId="4" borderId="21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21" xfId="0" applyFill="1" applyBorder="1"/>
    <xf numFmtId="44" fontId="0" fillId="0" borderId="17" xfId="0" applyNumberFormat="1" applyBorder="1"/>
    <xf numFmtId="44" fontId="0" fillId="0" borderId="21" xfId="0" applyNumberFormat="1" applyBorder="1"/>
    <xf numFmtId="169" fontId="27" fillId="4" borderId="37" xfId="0" applyNumberFormat="1" applyFont="1" applyFill="1" applyBorder="1" applyAlignment="1">
      <alignment horizontal="center" vertical="center"/>
    </xf>
    <xf numFmtId="14" fontId="10" fillId="0" borderId="37" xfId="0" applyNumberFormat="1" applyFont="1" applyBorder="1"/>
    <xf numFmtId="167" fontId="0" fillId="0" borderId="37" xfId="0" applyNumberFormat="1" applyBorder="1" applyAlignment="1">
      <alignment horizontal="right" vertical="center"/>
    </xf>
    <xf numFmtId="171" fontId="16" fillId="2" borderId="38" xfId="2" applyNumberFormat="1" applyFont="1" applyFill="1" applyBorder="1" applyAlignment="1">
      <alignment horizontal="right"/>
    </xf>
    <xf numFmtId="172" fontId="0" fillId="0" borderId="37" xfId="0" applyNumberFormat="1" applyBorder="1"/>
    <xf numFmtId="171" fontId="27" fillId="10" borderId="38" xfId="2" applyNumberFormat="1" applyFont="1" applyFill="1" applyBorder="1"/>
    <xf numFmtId="168" fontId="29" fillId="10" borderId="37" xfId="0" applyNumberFormat="1" applyFont="1" applyFill="1" applyBorder="1" applyAlignment="1">
      <alignment horizontal="right"/>
    </xf>
    <xf numFmtId="0" fontId="0" fillId="0" borderId="37" xfId="0" applyBorder="1"/>
    <xf numFmtId="171" fontId="11" fillId="2" borderId="38" xfId="2" applyNumberFormat="1" applyFont="1" applyFill="1" applyBorder="1" applyAlignment="1"/>
    <xf numFmtId="168" fontId="30" fillId="0" borderId="37" xfId="0" applyNumberFormat="1" applyFont="1" applyBorder="1"/>
    <xf numFmtId="43" fontId="0" fillId="0" borderId="37" xfId="1" applyFont="1" applyBorder="1" applyAlignment="1">
      <alignment horizontal="right" vertical="center"/>
    </xf>
    <xf numFmtId="44" fontId="8" fillId="4" borderId="40" xfId="2" applyFont="1" applyFill="1" applyBorder="1" applyAlignment="1">
      <alignment horizontal="right"/>
    </xf>
    <xf numFmtId="44" fontId="8" fillId="4" borderId="39" xfId="0" applyNumberFormat="1" applyFont="1" applyFill="1" applyBorder="1" applyAlignment="1">
      <alignment horizontal="right"/>
    </xf>
    <xf numFmtId="0" fontId="25" fillId="3" borderId="0" xfId="0" applyFont="1" applyFill="1"/>
    <xf numFmtId="2" fontId="0" fillId="0" borderId="0" xfId="3" applyNumberFormat="1" applyFont="1" applyBorder="1"/>
    <xf numFmtId="172" fontId="11" fillId="0" borderId="37" xfId="0" applyNumberFormat="1" applyFont="1" applyBorder="1"/>
    <xf numFmtId="0" fontId="40" fillId="2" borderId="15" xfId="0" applyFont="1" applyFill="1" applyBorder="1" applyAlignment="1">
      <alignment horizontal="right"/>
    </xf>
    <xf numFmtId="0" fontId="5" fillId="0" borderId="5" xfId="0" applyFont="1" applyBorder="1" applyAlignment="1">
      <alignment wrapText="1"/>
    </xf>
    <xf numFmtId="0" fontId="5" fillId="0" borderId="43" xfId="0" applyFont="1" applyBorder="1" applyAlignment="1">
      <alignment wrapText="1"/>
    </xf>
    <xf numFmtId="167" fontId="11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>
      <alignment horizontal="right"/>
    </xf>
    <xf numFmtId="172" fontId="11" fillId="7" borderId="37" xfId="0" applyNumberFormat="1" applyFont="1" applyFill="1" applyBorder="1"/>
    <xf numFmtId="171" fontId="34" fillId="7" borderId="38" xfId="2" applyNumberFormat="1" applyFont="1" applyFill="1" applyBorder="1"/>
    <xf numFmtId="168" fontId="35" fillId="7" borderId="37" xfId="0" applyNumberFormat="1" applyFont="1" applyFill="1" applyBorder="1" applyAlignment="1">
      <alignment horizontal="right"/>
    </xf>
    <xf numFmtId="0" fontId="16" fillId="7" borderId="37" xfId="0" applyFont="1" applyFill="1" applyBorder="1"/>
    <xf numFmtId="167" fontId="16" fillId="7" borderId="37" xfId="0" applyNumberFormat="1" applyFont="1" applyFill="1" applyBorder="1" applyAlignment="1">
      <alignment horizontal="right" vertical="center"/>
    </xf>
    <xf numFmtId="171" fontId="16" fillId="7" borderId="38" xfId="2" applyNumberFormat="1" applyFont="1" applyFill="1" applyBorder="1" applyAlignment="1"/>
    <xf numFmtId="168" fontId="35" fillId="7" borderId="37" xfId="0" applyNumberFormat="1" applyFont="1" applyFill="1" applyBorder="1"/>
    <xf numFmtId="43" fontId="16" fillId="7" borderId="37" xfId="1" applyFont="1" applyFill="1" applyBorder="1" applyAlignment="1">
      <alignment horizontal="right" vertical="center"/>
    </xf>
    <xf numFmtId="168" fontId="14" fillId="7" borderId="37" xfId="0" applyNumberFormat="1" applyFont="1" applyFill="1" applyBorder="1" applyAlignment="1">
      <alignment horizontal="right"/>
    </xf>
    <xf numFmtId="0" fontId="17" fillId="0" borderId="37" xfId="0" applyFont="1" applyBorder="1"/>
    <xf numFmtId="171" fontId="0" fillId="0" borderId="0" xfId="2" applyNumberFormat="1" applyFont="1"/>
    <xf numFmtId="43" fontId="41" fillId="0" borderId="0" xfId="1" applyFont="1" applyBorder="1"/>
    <xf numFmtId="44" fontId="25" fillId="3" borderId="0" xfId="0" applyNumberFormat="1" applyFont="1" applyFill="1"/>
    <xf numFmtId="167" fontId="16" fillId="2" borderId="0" xfId="1" applyNumberFormat="1" applyFont="1" applyFill="1" applyBorder="1" applyAlignment="1">
      <alignment horizontal="right"/>
    </xf>
    <xf numFmtId="171" fontId="0" fillId="0" borderId="0" xfId="0" applyNumberFormat="1"/>
    <xf numFmtId="0" fontId="26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1" fontId="16" fillId="2" borderId="44" xfId="2" applyNumberFormat="1" applyFont="1" applyFill="1" applyBorder="1" applyAlignment="1">
      <alignment horizontal="right"/>
    </xf>
    <xf numFmtId="171" fontId="16" fillId="2" borderId="7" xfId="2" applyNumberFormat="1" applyFont="1" applyFill="1" applyBorder="1" applyAlignment="1">
      <alignment horizontal="right"/>
    </xf>
    <xf numFmtId="171" fontId="27" fillId="10" borderId="44" xfId="2" applyNumberFormat="1" applyFont="1" applyFill="1" applyBorder="1" applyAlignment="1">
      <alignment horizontal="right"/>
    </xf>
    <xf numFmtId="0" fontId="29" fillId="10" borderId="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0" fontId="30" fillId="0" borderId="7" xfId="0" applyFont="1" applyBorder="1" applyAlignment="1">
      <alignment horizontal="right"/>
    </xf>
    <xf numFmtId="0" fontId="5" fillId="0" borderId="0" xfId="0" applyFont="1" applyAlignment="1">
      <alignment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4" fontId="0" fillId="0" borderId="46" xfId="2" applyFont="1" applyBorder="1"/>
    <xf numFmtId="0" fontId="5" fillId="0" borderId="49" xfId="0" applyFont="1" applyBorder="1" applyAlignment="1">
      <alignment wrapText="1"/>
    </xf>
    <xf numFmtId="14" fontId="10" fillId="0" borderId="46" xfId="0" applyNumberFormat="1" applyFont="1" applyBorder="1"/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1" fontId="0" fillId="2" borderId="47" xfId="0" applyNumberFormat="1" applyFill="1" applyBorder="1"/>
    <xf numFmtId="167" fontId="0" fillId="2" borderId="28" xfId="1" applyNumberFormat="1" applyFont="1" applyFill="1" applyBorder="1" applyAlignment="1"/>
    <xf numFmtId="1" fontId="0" fillId="2" borderId="46" xfId="0" applyNumberFormat="1" applyFill="1" applyBorder="1"/>
    <xf numFmtId="167" fontId="0" fillId="2" borderId="26" xfId="1" applyNumberFormat="1" applyFont="1" applyFill="1" applyBorder="1" applyAlignment="1"/>
    <xf numFmtId="0" fontId="0" fillId="2" borderId="46" xfId="0" applyFill="1" applyBorder="1"/>
    <xf numFmtId="44" fontId="0" fillId="2" borderId="26" xfId="0" applyNumberFormat="1" applyFill="1" applyBorder="1"/>
    <xf numFmtId="10" fontId="0" fillId="2" borderId="48" xfId="3" applyNumberFormat="1" applyFont="1" applyFill="1" applyBorder="1" applyAlignment="1"/>
    <xf numFmtId="10" fontId="0" fillId="2" borderId="30" xfId="3" applyNumberFormat="1" applyFont="1" applyFill="1" applyBorder="1" applyAlignment="1"/>
    <xf numFmtId="44" fontId="0" fillId="0" borderId="46" xfId="2" applyFont="1" applyBorder="1" applyAlignment="1"/>
    <xf numFmtId="44" fontId="0" fillId="0" borderId="50" xfId="0" applyNumberFormat="1" applyBorder="1"/>
    <xf numFmtId="44" fontId="0" fillId="0" borderId="33" xfId="0" applyNumberFormat="1" applyBorder="1"/>
    <xf numFmtId="44" fontId="0" fillId="0" borderId="46" xfId="0" applyNumberFormat="1" applyBorder="1"/>
    <xf numFmtId="44" fontId="0" fillId="0" borderId="51" xfId="0" applyNumberFormat="1" applyBorder="1"/>
    <xf numFmtId="44" fontId="0" fillId="0" borderId="35" xfId="0" applyNumberFormat="1" applyBorder="1"/>
    <xf numFmtId="171" fontId="27" fillId="10" borderId="12" xfId="2" applyNumberFormat="1" applyFont="1" applyFill="1" applyBorder="1"/>
    <xf numFmtId="171" fontId="27" fillId="10" borderId="0" xfId="2" applyNumberFormat="1" applyFont="1" applyFill="1" applyBorder="1"/>
    <xf numFmtId="171" fontId="42" fillId="10" borderId="0" xfId="2" applyNumberFormat="1" applyFont="1" applyFill="1" applyBorder="1"/>
    <xf numFmtId="0" fontId="27" fillId="4" borderId="0" xfId="0" applyFont="1" applyFill="1" applyAlignment="1">
      <alignment horizontal="center" vertical="center"/>
    </xf>
    <xf numFmtId="0" fontId="30" fillId="0" borderId="53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21" xfId="0" applyFont="1" applyBorder="1" applyAlignment="1">
      <alignment horizontal="center"/>
    </xf>
    <xf numFmtId="0" fontId="0" fillId="0" borderId="53" xfId="0" applyBorder="1" applyAlignment="1">
      <alignment horizontal="right" vertical="center"/>
    </xf>
    <xf numFmtId="167" fontId="0" fillId="0" borderId="21" xfId="1" applyNumberFormat="1" applyFont="1" applyBorder="1"/>
    <xf numFmtId="171" fontId="16" fillId="2" borderId="54" xfId="2" applyNumberFormat="1" applyFont="1" applyFill="1" applyBorder="1" applyAlignment="1">
      <alignment horizontal="right"/>
    </xf>
    <xf numFmtId="0" fontId="31" fillId="0" borderId="53" xfId="0" applyFont="1" applyBorder="1" applyAlignment="1">
      <alignment horizontal="right" vertical="top"/>
    </xf>
    <xf numFmtId="9" fontId="32" fillId="0" borderId="21" xfId="3" applyFont="1" applyBorder="1"/>
    <xf numFmtId="0" fontId="0" fillId="0" borderId="53" xfId="0" applyBorder="1" applyAlignment="1">
      <alignment horizontal="right"/>
    </xf>
    <xf numFmtId="171" fontId="27" fillId="10" borderId="54" xfId="2" applyNumberFormat="1" applyFont="1" applyFill="1" applyBorder="1" applyAlignment="1">
      <alignment horizontal="right"/>
    </xf>
    <xf numFmtId="171" fontId="27" fillId="10" borderId="17" xfId="2" applyNumberFormat="1" applyFont="1" applyFill="1" applyBorder="1"/>
    <xf numFmtId="0" fontId="29" fillId="10" borderId="53" xfId="0" applyFont="1" applyFill="1" applyBorder="1" applyAlignment="1">
      <alignment horizontal="right"/>
    </xf>
    <xf numFmtId="168" fontId="29" fillId="10" borderId="21" xfId="0" applyNumberFormat="1" applyFont="1" applyFill="1" applyBorder="1" applyAlignment="1">
      <alignment horizontal="right"/>
    </xf>
    <xf numFmtId="172" fontId="0" fillId="0" borderId="21" xfId="0" applyNumberFormat="1" applyBorder="1"/>
    <xf numFmtId="0" fontId="30" fillId="0" borderId="53" xfId="0" applyFont="1" applyBorder="1" applyAlignment="1">
      <alignment horizontal="right"/>
    </xf>
    <xf numFmtId="168" fontId="30" fillId="0" borderId="21" xfId="0" applyNumberFormat="1" applyFont="1" applyBorder="1"/>
    <xf numFmtId="171" fontId="27" fillId="10" borderId="21" xfId="2" applyNumberFormat="1" applyFont="1" applyFill="1" applyBorder="1"/>
    <xf numFmtId="0" fontId="44" fillId="0" borderId="55" xfId="0" applyFont="1" applyBorder="1" applyAlignment="1">
      <alignment horizontal="right"/>
    </xf>
    <xf numFmtId="171" fontId="43" fillId="0" borderId="1" xfId="2" applyNumberFormat="1" applyFont="1" applyFill="1" applyBorder="1"/>
    <xf numFmtId="171" fontId="27" fillId="0" borderId="0" xfId="2" applyNumberFormat="1" applyFont="1" applyFill="1" applyBorder="1"/>
    <xf numFmtId="0" fontId="14" fillId="0" borderId="53" xfId="0" applyFont="1" applyBorder="1" applyAlignment="1">
      <alignment horizontal="right"/>
    </xf>
    <xf numFmtId="167" fontId="0" fillId="0" borderId="0" xfId="1" applyNumberFormat="1" applyFont="1" applyFill="1" applyBorder="1"/>
    <xf numFmtId="9" fontId="32" fillId="0" borderId="0" xfId="3" applyFont="1" applyFill="1" applyBorder="1"/>
    <xf numFmtId="0" fontId="27" fillId="0" borderId="0" xfId="0" applyFont="1" applyAlignment="1">
      <alignment horizontal="center" vertical="center"/>
    </xf>
    <xf numFmtId="171" fontId="16" fillId="0" borderId="0" xfId="2" applyNumberFormat="1" applyFont="1" applyFill="1" applyBorder="1"/>
    <xf numFmtId="168" fontId="29" fillId="0" borderId="0" xfId="0" applyNumberFormat="1" applyFont="1" applyAlignment="1">
      <alignment horizontal="right"/>
    </xf>
    <xf numFmtId="171" fontId="11" fillId="0" borderId="0" xfId="2" applyNumberFormat="1" applyFont="1" applyFill="1" applyBorder="1"/>
    <xf numFmtId="44" fontId="16" fillId="0" borderId="59" xfId="2" applyFont="1" applyFill="1" applyBorder="1" applyAlignment="1">
      <alignment horizontal="center"/>
    </xf>
    <xf numFmtId="44" fontId="16" fillId="0" borderId="58" xfId="2" applyFont="1" applyFill="1" applyBorder="1" applyAlignment="1">
      <alignment horizontal="center"/>
    </xf>
    <xf numFmtId="44" fontId="45" fillId="0" borderId="52" xfId="2" applyFont="1" applyFill="1" applyBorder="1" applyAlignment="1">
      <alignment horizontal="center"/>
    </xf>
    <xf numFmtId="171" fontId="46" fillId="0" borderId="0" xfId="2" applyNumberFormat="1" applyFont="1" applyFill="1" applyBorder="1"/>
    <xf numFmtId="171" fontId="46" fillId="0" borderId="21" xfId="2" applyNumberFormat="1" applyFont="1" applyFill="1" applyBorder="1"/>
    <xf numFmtId="44" fontId="0" fillId="0" borderId="0" xfId="2" applyFont="1"/>
    <xf numFmtId="44" fontId="25" fillId="3" borderId="0" xfId="2" applyFont="1" applyFill="1"/>
    <xf numFmtId="171" fontId="27" fillId="10" borderId="53" xfId="2" applyNumberFormat="1" applyFont="1" applyFill="1" applyBorder="1" applyAlignment="1">
      <alignment horizontal="right"/>
    </xf>
    <xf numFmtId="0" fontId="0" fillId="0" borderId="1" xfId="0" applyBorder="1"/>
    <xf numFmtId="0" fontId="5" fillId="0" borderId="1" xfId="0" applyFont="1" applyBorder="1" applyAlignment="1">
      <alignment horizontal="left" wrapText="1"/>
    </xf>
    <xf numFmtId="44" fontId="11" fillId="0" borderId="56" xfId="0" applyNumberFormat="1" applyFont="1" applyBorder="1"/>
    <xf numFmtId="44" fontId="47" fillId="6" borderId="0" xfId="0" applyNumberFormat="1" applyFont="1" applyFill="1"/>
    <xf numFmtId="44" fontId="47" fillId="6" borderId="21" xfId="0" applyNumberFormat="1" applyFont="1" applyFill="1" applyBorder="1"/>
    <xf numFmtId="43" fontId="0" fillId="0" borderId="1" xfId="1" applyFont="1" applyBorder="1"/>
    <xf numFmtId="43" fontId="0" fillId="6" borderId="0" xfId="1" applyFont="1" applyFill="1" applyBorder="1"/>
    <xf numFmtId="44" fontId="0" fillId="12" borderId="14" xfId="0" applyNumberFormat="1" applyFill="1" applyBorder="1"/>
    <xf numFmtId="0" fontId="0" fillId="7" borderId="2" xfId="0" applyFill="1" applyBorder="1"/>
    <xf numFmtId="0" fontId="5" fillId="7" borderId="2" xfId="0" applyFont="1" applyFill="1" applyBorder="1" applyAlignment="1">
      <alignment horizontal="left" wrapText="1"/>
    </xf>
    <xf numFmtId="44" fontId="11" fillId="7" borderId="2" xfId="0" applyNumberFormat="1" applyFont="1" applyFill="1" applyBorder="1"/>
    <xf numFmtId="44" fontId="11" fillId="7" borderId="17" xfId="0" applyNumberFormat="1" applyFont="1" applyFill="1" applyBorder="1"/>
    <xf numFmtId="10" fontId="11" fillId="0" borderId="0" xfId="3" applyNumberFormat="1" applyFont="1" applyBorder="1"/>
    <xf numFmtId="171" fontId="16" fillId="2" borderId="0" xfId="2" applyNumberFormat="1" applyFont="1" applyFill="1" applyBorder="1" applyAlignment="1">
      <alignment horizontal="right"/>
    </xf>
    <xf numFmtId="171" fontId="16" fillId="2" borderId="12" xfId="2" applyNumberFormat="1" applyFont="1" applyFill="1" applyBorder="1" applyAlignment="1">
      <alignment horizontal="right"/>
    </xf>
    <xf numFmtId="171" fontId="16" fillId="2" borderId="37" xfId="2" applyNumberFormat="1" applyFont="1" applyFill="1" applyBorder="1" applyAlignment="1">
      <alignment horizontal="right"/>
    </xf>
    <xf numFmtId="171" fontId="27" fillId="10" borderId="0" xfId="2" applyNumberFormat="1" applyFont="1" applyFill="1" applyBorder="1" applyAlignment="1">
      <alignment horizontal="right"/>
    </xf>
    <xf numFmtId="171" fontId="27" fillId="10" borderId="37" xfId="2" applyNumberFormat="1" applyFont="1" applyFill="1" applyBorder="1"/>
    <xf numFmtId="0" fontId="26" fillId="4" borderId="54" xfId="0" applyFont="1" applyFill="1" applyBorder="1" applyAlignment="1">
      <alignment horizontal="right" vertical="center"/>
    </xf>
    <xf numFmtId="169" fontId="27" fillId="4" borderId="13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vertical="center"/>
    </xf>
    <xf numFmtId="170" fontId="27" fillId="4" borderId="17" xfId="0" applyNumberFormat="1" applyFont="1" applyFill="1" applyBorder="1" applyAlignment="1">
      <alignment horizontal="center" vertical="center"/>
    </xf>
    <xf numFmtId="167" fontId="0" fillId="0" borderId="21" xfId="0" applyNumberFormat="1" applyBorder="1" applyAlignment="1">
      <alignment horizontal="right" vertical="center"/>
    </xf>
    <xf numFmtId="171" fontId="16" fillId="2" borderId="17" xfId="2" applyNumberFormat="1" applyFont="1" applyFill="1" applyBorder="1" applyAlignment="1">
      <alignment horizontal="right"/>
    </xf>
    <xf numFmtId="171" fontId="16" fillId="2" borderId="53" xfId="2" applyNumberFormat="1" applyFont="1" applyFill="1" applyBorder="1" applyAlignment="1">
      <alignment horizontal="right"/>
    </xf>
    <xf numFmtId="171" fontId="16" fillId="2" borderId="21" xfId="2" applyNumberFormat="1" applyFont="1" applyFill="1" applyBorder="1" applyAlignment="1">
      <alignment horizontal="right"/>
    </xf>
    <xf numFmtId="171" fontId="28" fillId="0" borderId="0" xfId="2" applyNumberFormat="1" applyFont="1" applyBorder="1"/>
    <xf numFmtId="0" fontId="11" fillId="2" borderId="54" xfId="0" applyFont="1" applyFill="1" applyBorder="1" applyAlignment="1">
      <alignment horizontal="right"/>
    </xf>
    <xf numFmtId="171" fontId="0" fillId="0" borderId="0" xfId="2" applyNumberFormat="1" applyFont="1" applyBorder="1" applyAlignment="1"/>
    <xf numFmtId="171" fontId="11" fillId="2" borderId="17" xfId="2" applyNumberFormat="1" applyFont="1" applyFill="1" applyBorder="1" applyAlignment="1"/>
    <xf numFmtId="0" fontId="8" fillId="4" borderId="60" xfId="0" applyFont="1" applyFill="1" applyBorder="1" applyAlignment="1">
      <alignment horizontal="right"/>
    </xf>
    <xf numFmtId="171" fontId="42" fillId="10" borderId="21" xfId="2" applyNumberFormat="1" applyFont="1" applyFill="1" applyBorder="1"/>
    <xf numFmtId="0" fontId="8" fillId="4" borderId="55" xfId="0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1" xfId="0" applyNumberFormat="1" applyFont="1" applyFill="1" applyBorder="1" applyAlignment="1">
      <alignment horizontal="right"/>
    </xf>
    <xf numFmtId="171" fontId="42" fillId="10" borderId="56" xfId="2" applyNumberFormat="1" applyFont="1" applyFill="1" applyBorder="1"/>
    <xf numFmtId="44" fontId="0" fillId="0" borderId="56" xfId="0" applyNumberFormat="1" applyBorder="1"/>
    <xf numFmtId="44" fontId="8" fillId="4" borderId="62" xfId="2" applyFont="1" applyFill="1" applyBorder="1" applyAlignment="1">
      <alignment horizontal="right"/>
    </xf>
    <xf numFmtId="44" fontId="8" fillId="4" borderId="63" xfId="0" applyNumberFormat="1" applyFont="1" applyFill="1" applyBorder="1" applyAlignment="1">
      <alignment horizontal="right"/>
    </xf>
    <xf numFmtId="0" fontId="0" fillId="0" borderId="6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4" fontId="16" fillId="0" borderId="64" xfId="0" applyNumberFormat="1" applyFont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53" xfId="0" applyBorder="1"/>
    <xf numFmtId="171" fontId="0" fillId="0" borderId="53" xfId="2" applyNumberFormat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176" fontId="25" fillId="3" borderId="59" xfId="0" applyNumberFormat="1" applyFont="1" applyFill="1" applyBorder="1" applyAlignment="1">
      <alignment horizontal="center"/>
    </xf>
    <xf numFmtId="1" fontId="49" fillId="6" borderId="53" xfId="0" applyNumberFormat="1" applyFont="1" applyFill="1" applyBorder="1"/>
    <xf numFmtId="0" fontId="49" fillId="6" borderId="0" xfId="0" applyFont="1" applyFill="1"/>
    <xf numFmtId="0" fontId="49" fillId="6" borderId="21" xfId="0" applyFont="1" applyFill="1" applyBorder="1"/>
    <xf numFmtId="0" fontId="0" fillId="0" borderId="57" xfId="0" applyBorder="1" applyAlignment="1">
      <alignment horizontal="center"/>
    </xf>
    <xf numFmtId="171" fontId="0" fillId="0" borderId="55" xfId="2" applyNumberFormat="1" applyFont="1" applyBorder="1" applyAlignment="1">
      <alignment horizontal="center"/>
    </xf>
    <xf numFmtId="0" fontId="0" fillId="0" borderId="52" xfId="0" applyBorder="1" applyAlignment="1">
      <alignment horizontal="center"/>
    </xf>
    <xf numFmtId="176" fontId="25" fillId="3" borderId="52" xfId="0" applyNumberFormat="1" applyFont="1" applyFill="1" applyBorder="1" applyAlignment="1">
      <alignment horizontal="center"/>
    </xf>
    <xf numFmtId="1" fontId="49" fillId="6" borderId="55" xfId="0" applyNumberFormat="1" applyFont="1" applyFill="1" applyBorder="1"/>
    <xf numFmtId="0" fontId="49" fillId="6" borderId="1" xfId="0" applyFont="1" applyFill="1" applyBorder="1"/>
    <xf numFmtId="0" fontId="49" fillId="6" borderId="56" xfId="0" applyFont="1" applyFill="1" applyBorder="1"/>
    <xf numFmtId="14" fontId="25" fillId="3" borderId="0" xfId="0" applyNumberFormat="1" applyFont="1" applyFill="1"/>
    <xf numFmtId="14" fontId="17" fillId="0" borderId="0" xfId="0" applyNumberFormat="1" applyFont="1"/>
    <xf numFmtId="44" fontId="0" fillId="0" borderId="53" xfId="2" applyFont="1" applyBorder="1"/>
    <xf numFmtId="44" fontId="0" fillId="0" borderId="21" xfId="2" applyFont="1" applyBorder="1"/>
    <xf numFmtId="44" fontId="0" fillId="0" borderId="55" xfId="2" applyFont="1" applyBorder="1"/>
    <xf numFmtId="44" fontId="0" fillId="0" borderId="1" xfId="2" applyFont="1" applyBorder="1"/>
    <xf numFmtId="44" fontId="0" fillId="0" borderId="56" xfId="2" applyFont="1" applyBorder="1"/>
    <xf numFmtId="0" fontId="0" fillId="0" borderId="55" xfId="0" applyBorder="1"/>
    <xf numFmtId="0" fontId="0" fillId="0" borderId="1" xfId="0" applyBorder="1" applyAlignment="1">
      <alignment horizontal="right"/>
    </xf>
    <xf numFmtId="14" fontId="16" fillId="0" borderId="57" xfId="0" applyNumberFormat="1" applyFont="1" applyBorder="1" applyAlignment="1">
      <alignment horizontal="center"/>
    </xf>
    <xf numFmtId="14" fontId="16" fillId="0" borderId="65" xfId="0" applyNumberFormat="1" applyFont="1" applyBorder="1" applyAlignment="1">
      <alignment horizontal="center"/>
    </xf>
    <xf numFmtId="1" fontId="47" fillId="3" borderId="0" xfId="0" applyNumberFormat="1" applyFont="1" applyFill="1" applyAlignment="1">
      <alignment horizontal="center"/>
    </xf>
    <xf numFmtId="1" fontId="47" fillId="3" borderId="2" xfId="0" applyNumberFormat="1" applyFont="1" applyFill="1" applyBorder="1" applyAlignment="1">
      <alignment horizontal="center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9" fontId="16" fillId="7" borderId="0" xfId="3" applyFont="1" applyFill="1" applyBorder="1" applyAlignment="1">
      <alignment horizontal="center"/>
    </xf>
    <xf numFmtId="9" fontId="16" fillId="0" borderId="0" xfId="3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11" fillId="0" borderId="2" xfId="0" applyFont="1" applyBorder="1"/>
    <xf numFmtId="1" fontId="11" fillId="0" borderId="2" xfId="0" applyNumberFormat="1" applyFont="1" applyBorder="1" applyAlignment="1">
      <alignment horizontal="center"/>
    </xf>
    <xf numFmtId="43" fontId="49" fillId="0" borderId="0" xfId="1" applyFont="1" applyBorder="1"/>
    <xf numFmtId="43" fontId="49" fillId="0" borderId="0" xfId="1" applyFont="1"/>
    <xf numFmtId="44" fontId="24" fillId="6" borderId="0" xfId="0" applyNumberFormat="1" applyFont="1" applyFill="1"/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44" fontId="11" fillId="7" borderId="21" xfId="0" applyNumberFormat="1" applyFont="1" applyFill="1" applyBorder="1"/>
    <xf numFmtId="0" fontId="5" fillId="7" borderId="0" xfId="0" applyFont="1" applyFill="1" applyAlignment="1">
      <alignment horizontal="right" wrapText="1"/>
    </xf>
    <xf numFmtId="9" fontId="11" fillId="7" borderId="0" xfId="3" applyFont="1" applyFill="1" applyBorder="1"/>
    <xf numFmtId="173" fontId="11" fillId="7" borderId="0" xfId="3" applyNumberFormat="1" applyFont="1" applyFill="1" applyBorder="1"/>
    <xf numFmtId="10" fontId="11" fillId="7" borderId="0" xfId="3" applyNumberFormat="1" applyFont="1" applyFill="1" applyBorder="1"/>
    <xf numFmtId="9" fontId="11" fillId="7" borderId="21" xfId="3" applyFont="1" applyFill="1" applyBorder="1"/>
    <xf numFmtId="173" fontId="11" fillId="7" borderId="21" xfId="3" applyNumberFormat="1" applyFont="1" applyFill="1" applyBorder="1"/>
    <xf numFmtId="9" fontId="47" fillId="3" borderId="0" xfId="3" applyFont="1" applyFill="1" applyBorder="1"/>
    <xf numFmtId="44" fontId="25" fillId="3" borderId="1" xfId="2" applyFont="1" applyFill="1" applyBorder="1"/>
    <xf numFmtId="167" fontId="0" fillId="0" borderId="56" xfId="1" applyNumberFormat="1" applyFont="1" applyBorder="1"/>
    <xf numFmtId="43" fontId="47" fillId="7" borderId="0" xfId="1" applyFont="1" applyFill="1" applyBorder="1"/>
    <xf numFmtId="43" fontId="49" fillId="0" borderId="21" xfId="1" applyFont="1" applyBorder="1"/>
    <xf numFmtId="44" fontId="24" fillId="0" borderId="17" xfId="0" applyNumberFormat="1" applyFont="1" applyBorder="1"/>
    <xf numFmtId="43" fontId="41" fillId="0" borderId="21" xfId="1" applyFont="1" applyBorder="1"/>
    <xf numFmtId="44" fontId="24" fillId="6" borderId="21" xfId="0" applyNumberFormat="1" applyFont="1" applyFill="1" applyBorder="1"/>
    <xf numFmtId="43" fontId="0" fillId="6" borderId="21" xfId="1" applyFont="1" applyFill="1" applyBorder="1"/>
    <xf numFmtId="1" fontId="47" fillId="7" borderId="0" xfId="0" applyNumberFormat="1" applyFont="1" applyFill="1" applyAlignment="1">
      <alignment horizontal="center"/>
    </xf>
    <xf numFmtId="167" fontId="0" fillId="0" borderId="1" xfId="1" applyNumberFormat="1" applyFont="1" applyBorder="1"/>
    <xf numFmtId="173" fontId="29" fillId="10" borderId="0" xfId="3" applyNumberFormat="1" applyFont="1" applyFill="1" applyBorder="1" applyAlignment="1">
      <alignment horizontal="right"/>
    </xf>
    <xf numFmtId="0" fontId="0" fillId="0" borderId="57" xfId="0" applyBorder="1"/>
    <xf numFmtId="0" fontId="50" fillId="0" borderId="0" xfId="0" applyFont="1" applyAlignment="1">
      <alignment horizontal="right"/>
    </xf>
    <xf numFmtId="0" fontId="1" fillId="0" borderId="0" xfId="8"/>
    <xf numFmtId="14" fontId="1" fillId="0" borderId="0" xfId="8" applyNumberFormat="1"/>
    <xf numFmtId="0" fontId="51" fillId="0" borderId="0" xfId="0" applyFont="1" applyAlignment="1">
      <alignment horizontal="left"/>
    </xf>
    <xf numFmtId="0" fontId="51" fillId="0" borderId="2" xfId="0" applyFont="1" applyBorder="1" applyAlignment="1">
      <alignment horizontal="left"/>
    </xf>
    <xf numFmtId="43" fontId="0" fillId="0" borderId="2" xfId="0" applyNumberFormat="1" applyBorder="1"/>
    <xf numFmtId="0" fontId="51" fillId="0" borderId="0" xfId="0" applyFont="1"/>
    <xf numFmtId="0" fontId="52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10" fontId="0" fillId="0" borderId="0" xfId="0" applyNumberFormat="1"/>
    <xf numFmtId="0" fontId="55" fillId="0" borderId="64" xfId="0" applyFont="1" applyBorder="1" applyAlignment="1">
      <alignment horizontal="centerContinuous"/>
    </xf>
    <xf numFmtId="0" fontId="56" fillId="0" borderId="3" xfId="0" applyFont="1" applyBorder="1" applyAlignment="1">
      <alignment horizontal="centerContinuous"/>
    </xf>
    <xf numFmtId="0" fontId="56" fillId="0" borderId="14" xfId="0" applyFont="1" applyBorder="1" applyAlignment="1">
      <alignment horizontal="centerContinuous"/>
    </xf>
    <xf numFmtId="0" fontId="51" fillId="0" borderId="54" xfId="0" applyFont="1" applyBorder="1"/>
    <xf numFmtId="0" fontId="51" fillId="0" borderId="2" xfId="0" applyFont="1" applyBorder="1"/>
    <xf numFmtId="0" fontId="51" fillId="0" borderId="17" xfId="0" applyFont="1" applyBorder="1"/>
    <xf numFmtId="177" fontId="0" fillId="0" borderId="0" xfId="0" applyNumberFormat="1"/>
    <xf numFmtId="0" fontId="52" fillId="0" borderId="53" xfId="0" applyFont="1" applyBorder="1"/>
    <xf numFmtId="178" fontId="57" fillId="0" borderId="57" xfId="0" applyNumberFormat="1" applyFont="1" applyBorder="1"/>
    <xf numFmtId="178" fontId="52" fillId="0" borderId="57" xfId="0" applyNumberFormat="1" applyFont="1" applyBorder="1"/>
    <xf numFmtId="167" fontId="0" fillId="0" borderId="0" xfId="0" applyNumberFormat="1"/>
    <xf numFmtId="0" fontId="51" fillId="0" borderId="53" xfId="0" applyFont="1" applyBorder="1" applyAlignment="1">
      <alignment horizontal="left"/>
    </xf>
    <xf numFmtId="179" fontId="51" fillId="0" borderId="21" xfId="0" applyNumberFormat="1" applyFont="1" applyBorder="1" applyProtection="1">
      <protection hidden="1"/>
    </xf>
    <xf numFmtId="0" fontId="51" fillId="0" borderId="53" xfId="0" applyFont="1" applyBorder="1"/>
    <xf numFmtId="0" fontId="51" fillId="0" borderId="21" xfId="0" applyFont="1" applyBorder="1"/>
    <xf numFmtId="9" fontId="51" fillId="0" borderId="21" xfId="0" applyNumberFormat="1" applyFont="1" applyBorder="1"/>
    <xf numFmtId="0" fontId="52" fillId="0" borderId="53" xfId="0" applyFont="1" applyBorder="1" applyAlignment="1">
      <alignment horizontal="left"/>
    </xf>
    <xf numFmtId="178" fontId="51" fillId="0" borderId="57" xfId="0" applyNumberFormat="1" applyFont="1" applyBorder="1" applyProtection="1">
      <protection locked="0"/>
    </xf>
    <xf numFmtId="180" fontId="57" fillId="0" borderId="57" xfId="0" applyNumberFormat="1" applyFont="1" applyBorder="1" applyProtection="1">
      <protection locked="0"/>
    </xf>
    <xf numFmtId="179" fontId="51" fillId="0" borderId="21" xfId="0" applyNumberFormat="1" applyFont="1" applyBorder="1"/>
    <xf numFmtId="181" fontId="51" fillId="0" borderId="21" xfId="0" applyNumberFormat="1" applyFont="1" applyBorder="1" applyProtection="1">
      <protection hidden="1"/>
    </xf>
    <xf numFmtId="0" fontId="52" fillId="0" borderId="0" xfId="0" applyFont="1"/>
    <xf numFmtId="179" fontId="52" fillId="0" borderId="21" xfId="0" applyNumberFormat="1" applyFont="1" applyBorder="1" applyProtection="1">
      <protection hidden="1"/>
    </xf>
    <xf numFmtId="177" fontId="25" fillId="6" borderId="0" xfId="0" applyNumberFormat="1" applyFont="1" applyFill="1"/>
    <xf numFmtId="181" fontId="58" fillId="0" borderId="21" xfId="0" applyNumberFormat="1" applyFont="1" applyBorder="1" applyProtection="1">
      <protection hidden="1"/>
    </xf>
    <xf numFmtId="0" fontId="52" fillId="0" borderId="55" xfId="0" applyFont="1" applyBorder="1" applyAlignment="1">
      <alignment horizontal="left"/>
    </xf>
    <xf numFmtId="0" fontId="52" fillId="0" borderId="1" xfId="0" applyFont="1" applyBorder="1" applyAlignment="1">
      <alignment horizontal="left"/>
    </xf>
    <xf numFmtId="0" fontId="52" fillId="0" borderId="1" xfId="0" applyFont="1" applyBorder="1"/>
    <xf numFmtId="179" fontId="52" fillId="0" borderId="56" xfId="0" applyNumberFormat="1" applyFont="1" applyBorder="1" applyProtection="1">
      <protection hidden="1"/>
    </xf>
    <xf numFmtId="10" fontId="10" fillId="0" borderId="7" xfId="0" applyNumberFormat="1" applyFont="1" applyBorder="1"/>
    <xf numFmtId="10" fontId="25" fillId="6" borderId="0" xfId="0" applyNumberFormat="1" applyFont="1" applyFill="1"/>
    <xf numFmtId="0" fontId="51" fillId="0" borderId="0" xfId="0" applyFont="1" applyAlignment="1">
      <alignment horizontal="right"/>
    </xf>
    <xf numFmtId="182" fontId="59" fillId="13" borderId="0" xfId="0" applyNumberFormat="1" applyFont="1" applyFill="1"/>
    <xf numFmtId="182" fontId="51" fillId="0" borderId="0" xfId="0" applyNumberFormat="1" applyFont="1"/>
    <xf numFmtId="0" fontId="56" fillId="0" borderId="64" xfId="0" applyFont="1" applyBorder="1"/>
    <xf numFmtId="0" fontId="56" fillId="0" borderId="3" xfId="0" applyFont="1" applyBorder="1"/>
    <xf numFmtId="0" fontId="55" fillId="0" borderId="3" xfId="0" applyFont="1" applyBorder="1" applyAlignment="1">
      <alignment horizontal="right"/>
    </xf>
    <xf numFmtId="7" fontId="55" fillId="0" borderId="14" xfId="0" applyNumberFormat="1" applyFont="1" applyBorder="1" applyProtection="1">
      <protection hidden="1"/>
    </xf>
    <xf numFmtId="0" fontId="54" fillId="4" borderId="0" xfId="0" applyFont="1" applyFill="1"/>
    <xf numFmtId="44" fontId="19" fillId="2" borderId="15" xfId="2" applyFont="1" applyFill="1" applyBorder="1"/>
    <xf numFmtId="44" fontId="19" fillId="2" borderId="20" xfId="2" applyFont="1" applyFill="1" applyBorder="1"/>
    <xf numFmtId="44" fontId="19" fillId="2" borderId="16" xfId="2" applyFont="1" applyFill="1" applyBorder="1"/>
    <xf numFmtId="0" fontId="19" fillId="2" borderId="15" xfId="0" applyFont="1" applyFill="1" applyBorder="1"/>
    <xf numFmtId="0" fontId="26" fillId="4" borderId="44" xfId="0" applyFont="1" applyFill="1" applyBorder="1" applyAlignment="1">
      <alignment horizontal="right" vertical="center"/>
    </xf>
    <xf numFmtId="170" fontId="27" fillId="4" borderId="66" xfId="0" applyNumberFormat="1" applyFont="1" applyFill="1" applyBorder="1" applyAlignment="1">
      <alignment horizontal="center" vertical="center"/>
    </xf>
    <xf numFmtId="167" fontId="0" fillId="0" borderId="8" xfId="0" applyNumberFormat="1" applyBorder="1" applyAlignment="1">
      <alignment horizontal="right" vertical="center"/>
    </xf>
    <xf numFmtId="171" fontId="16" fillId="2" borderId="66" xfId="2" applyNumberFormat="1" applyFont="1" applyFill="1" applyBorder="1" applyAlignment="1">
      <alignment horizontal="right"/>
    </xf>
    <xf numFmtId="171" fontId="16" fillId="2" borderId="8" xfId="2" applyNumberFormat="1" applyFont="1" applyFill="1" applyBorder="1" applyAlignment="1">
      <alignment horizontal="right"/>
    </xf>
    <xf numFmtId="172" fontId="0" fillId="0" borderId="8" xfId="0" applyNumberFormat="1" applyBorder="1"/>
    <xf numFmtId="171" fontId="27" fillId="10" borderId="66" xfId="2" applyNumberFormat="1" applyFont="1" applyFill="1" applyBorder="1"/>
    <xf numFmtId="168" fontId="29" fillId="10" borderId="8" xfId="0" applyNumberFormat="1" applyFont="1" applyFill="1" applyBorder="1" applyAlignment="1">
      <alignment horizontal="right"/>
    </xf>
    <xf numFmtId="171" fontId="11" fillId="2" borderId="66" xfId="2" applyNumberFormat="1" applyFont="1" applyFill="1" applyBorder="1" applyAlignment="1"/>
    <xf numFmtId="168" fontId="30" fillId="0" borderId="8" xfId="0" applyNumberFormat="1" applyFont="1" applyBorder="1"/>
    <xf numFmtId="43" fontId="0" fillId="0" borderId="8" xfId="1" applyFont="1" applyBorder="1"/>
    <xf numFmtId="171" fontId="27" fillId="10" borderId="8" xfId="2" applyNumberFormat="1" applyFont="1" applyFill="1" applyBorder="1"/>
    <xf numFmtId="0" fontId="8" fillId="4" borderId="61" xfId="0" applyFont="1" applyFill="1" applyBorder="1" applyAlignment="1">
      <alignment horizontal="right"/>
    </xf>
    <xf numFmtId="0" fontId="0" fillId="0" borderId="67" xfId="0" applyBorder="1"/>
    <xf numFmtId="10" fontId="0" fillId="0" borderId="1" xfId="3" applyNumberFormat="1" applyFont="1" applyBorder="1"/>
    <xf numFmtId="44" fontId="0" fillId="0" borderId="0" xfId="2" applyFont="1" applyFill="1"/>
    <xf numFmtId="44" fontId="25" fillId="0" borderId="0" xfId="2" applyFont="1" applyFill="1"/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21" xfId="0" applyNumberFormat="1" applyFont="1" applyFill="1" applyBorder="1"/>
    <xf numFmtId="0" fontId="5" fillId="2" borderId="0" xfId="0" applyFont="1" applyFill="1" applyAlignment="1">
      <alignment horizontal="right" wrapText="1"/>
    </xf>
    <xf numFmtId="44" fontId="47" fillId="3" borderId="0" xfId="0" applyNumberFormat="1" applyFont="1" applyFill="1"/>
    <xf numFmtId="171" fontId="42" fillId="10" borderId="8" xfId="2" applyNumberFormat="1" applyFont="1" applyFill="1" applyBorder="1"/>
    <xf numFmtId="0" fontId="8" fillId="4" borderId="7" xfId="0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169" fontId="27" fillId="4" borderId="17" xfId="0" applyNumberFormat="1" applyFont="1" applyFill="1" applyBorder="1" applyAlignment="1">
      <alignment horizontal="center" vertical="center"/>
    </xf>
    <xf numFmtId="14" fontId="10" fillId="0" borderId="21" xfId="0" applyNumberFormat="1" applyFont="1" applyBorder="1"/>
    <xf numFmtId="43" fontId="0" fillId="0" borderId="21" xfId="1" applyFont="1" applyBorder="1" applyAlignment="1">
      <alignment horizontal="right" vertical="center"/>
    </xf>
    <xf numFmtId="44" fontId="8" fillId="4" borderId="68" xfId="2" applyFont="1" applyFill="1" applyBorder="1" applyAlignment="1">
      <alignment horizontal="right"/>
    </xf>
    <xf numFmtId="44" fontId="8" fillId="4" borderId="69" xfId="0" applyNumberFormat="1" applyFont="1" applyFill="1" applyBorder="1" applyAlignment="1">
      <alignment horizontal="right"/>
    </xf>
    <xf numFmtId="44" fontId="8" fillId="4" borderId="21" xfId="0" applyNumberFormat="1" applyFont="1" applyFill="1" applyBorder="1" applyAlignment="1">
      <alignment horizontal="right"/>
    </xf>
    <xf numFmtId="0" fontId="28" fillId="4" borderId="58" xfId="0" applyFont="1" applyFill="1" applyBorder="1" applyAlignment="1">
      <alignment vertical="center"/>
    </xf>
    <xf numFmtId="14" fontId="10" fillId="0" borderId="59" xfId="0" applyNumberFormat="1" applyFont="1" applyBorder="1"/>
    <xf numFmtId="167" fontId="0" fillId="0" borderId="59" xfId="0" applyNumberFormat="1" applyBorder="1" applyAlignment="1">
      <alignment horizontal="right" vertical="center"/>
    </xf>
    <xf numFmtId="171" fontId="0" fillId="0" borderId="59" xfId="2" applyNumberFormat="1" applyFont="1" applyBorder="1" applyAlignment="1">
      <alignment horizontal="right"/>
    </xf>
    <xf numFmtId="0" fontId="0" fillId="0" borderId="59" xfId="0" applyBorder="1"/>
    <xf numFmtId="171" fontId="28" fillId="0" borderId="59" xfId="2" applyNumberFormat="1" applyFont="1" applyBorder="1"/>
    <xf numFmtId="0" fontId="0" fillId="0" borderId="59" xfId="0" applyBorder="1" applyAlignment="1">
      <alignment horizontal="right"/>
    </xf>
    <xf numFmtId="171" fontId="0" fillId="0" borderId="59" xfId="2" applyNumberFormat="1" applyFont="1" applyBorder="1" applyAlignment="1"/>
    <xf numFmtId="43" fontId="0" fillId="0" borderId="59" xfId="1" applyFont="1" applyBorder="1" applyAlignment="1">
      <alignment horizontal="right" vertical="center"/>
    </xf>
    <xf numFmtId="0" fontId="0" fillId="0" borderId="71" xfId="0" applyBorder="1"/>
    <xf numFmtId="0" fontId="29" fillId="10" borderId="9" xfId="0" applyFont="1" applyFill="1" applyBorder="1" applyAlignment="1">
      <alignment horizontal="right"/>
    </xf>
    <xf numFmtId="171" fontId="27" fillId="10" borderId="10" xfId="2" applyNumberFormat="1" applyFont="1" applyFill="1" applyBorder="1"/>
    <xf numFmtId="171" fontId="27" fillId="10" borderId="70" xfId="2" applyNumberFormat="1" applyFont="1" applyFill="1" applyBorder="1"/>
    <xf numFmtId="0" fontId="0" fillId="0" borderId="71" xfId="0" applyBorder="1" applyAlignment="1">
      <alignment horizontal="right"/>
    </xf>
    <xf numFmtId="171" fontId="27" fillId="10" borderId="11" xfId="2" applyNumberFormat="1" applyFont="1" applyFill="1" applyBorder="1"/>
    <xf numFmtId="0" fontId="60" fillId="0" borderId="8" xfId="0" applyFont="1" applyBorder="1" applyAlignment="1">
      <alignment vertical="center" wrapText="1"/>
    </xf>
    <xf numFmtId="44" fontId="61" fillId="2" borderId="15" xfId="2" applyFont="1" applyFill="1" applyBorder="1"/>
    <xf numFmtId="44" fontId="61" fillId="2" borderId="20" xfId="2" applyFont="1" applyFill="1" applyBorder="1"/>
    <xf numFmtId="44" fontId="61" fillId="2" borderId="16" xfId="2" applyFont="1" applyFill="1" applyBorder="1"/>
    <xf numFmtId="0" fontId="26" fillId="4" borderId="4" xfId="0" applyFont="1" applyFill="1" applyBorder="1" applyAlignment="1">
      <alignment horizontal="right" vertical="center"/>
    </xf>
    <xf numFmtId="169" fontId="27" fillId="4" borderId="5" xfId="0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vertical="center"/>
    </xf>
    <xf numFmtId="170" fontId="27" fillId="4" borderId="6" xfId="0" applyNumberFormat="1" applyFont="1" applyFill="1" applyBorder="1" applyAlignment="1">
      <alignment horizontal="center" vertical="center"/>
    </xf>
    <xf numFmtId="0" fontId="11" fillId="7" borderId="0" xfId="3" applyNumberFormat="1" applyFont="1" applyFill="1" applyBorder="1"/>
    <xf numFmtId="1" fontId="5" fillId="6" borderId="2" xfId="0" applyNumberFormat="1" applyFont="1" applyFill="1" applyBorder="1" applyAlignment="1">
      <alignment horizontal="right" wrapText="1"/>
    </xf>
    <xf numFmtId="1" fontId="5" fillId="6" borderId="17" xfId="0" applyNumberFormat="1" applyFont="1" applyFill="1" applyBorder="1" applyAlignment="1">
      <alignment horizontal="right" wrapText="1"/>
    </xf>
    <xf numFmtId="44" fontId="25" fillId="3" borderId="21" xfId="2" applyFont="1" applyFill="1" applyBorder="1"/>
    <xf numFmtId="44" fontId="0" fillId="0" borderId="21" xfId="2" applyFont="1" applyFill="1" applyBorder="1"/>
    <xf numFmtId="183" fontId="8" fillId="4" borderId="10" xfId="0" applyNumberFormat="1" applyFont="1" applyFill="1" applyBorder="1" applyAlignment="1">
      <alignment horizontal="right"/>
    </xf>
    <xf numFmtId="169" fontId="27" fillId="4" borderId="6" xfId="0" applyNumberFormat="1" applyFont="1" applyFill="1" applyBorder="1" applyAlignment="1">
      <alignment horizontal="center" vertical="center"/>
    </xf>
    <xf numFmtId="14" fontId="10" fillId="0" borderId="8" xfId="0" applyNumberFormat="1" applyFont="1" applyBorder="1"/>
    <xf numFmtId="43" fontId="0" fillId="0" borderId="8" xfId="1" applyFont="1" applyBorder="1" applyAlignment="1">
      <alignment horizontal="right" vertical="center"/>
    </xf>
    <xf numFmtId="44" fontId="8" fillId="4" borderId="6" xfId="2" applyFont="1" applyFill="1" applyBorder="1" applyAlignment="1">
      <alignment horizontal="right"/>
    </xf>
    <xf numFmtId="44" fontId="8" fillId="4" borderId="67" xfId="0" applyNumberFormat="1" applyFont="1" applyFill="1" applyBorder="1" applyAlignment="1">
      <alignment horizontal="right"/>
    </xf>
    <xf numFmtId="44" fontId="8" fillId="4" borderId="8" xfId="0" applyNumberFormat="1" applyFont="1" applyFill="1" applyBorder="1" applyAlignment="1">
      <alignment horizontal="right"/>
    </xf>
    <xf numFmtId="183" fontId="8" fillId="4" borderId="11" xfId="0" applyNumberFormat="1" applyFont="1" applyFill="1" applyBorder="1" applyAlignment="1">
      <alignment horizontal="right"/>
    </xf>
    <xf numFmtId="0" fontId="0" fillId="0" borderId="0" xfId="2" applyNumberFormat="1" applyFont="1" applyFill="1"/>
    <xf numFmtId="14" fontId="25" fillId="3" borderId="0" xfId="2" applyNumberFormat="1" applyFont="1" applyFill="1"/>
    <xf numFmtId="167" fontId="0" fillId="0" borderId="0" xfId="1" applyNumberFormat="1" applyFont="1"/>
    <xf numFmtId="14" fontId="17" fillId="0" borderId="0" xfId="2" applyNumberFormat="1" applyFont="1" applyFill="1"/>
    <xf numFmtId="0" fontId="0" fillId="6" borderId="54" xfId="0" applyFill="1" applyBorder="1"/>
    <xf numFmtId="44" fontId="0" fillId="6" borderId="2" xfId="0" applyNumberFormat="1" applyFill="1" applyBorder="1"/>
    <xf numFmtId="44" fontId="0" fillId="6" borderId="17" xfId="0" applyNumberFormat="1" applyFill="1" applyBorder="1"/>
    <xf numFmtId="0" fontId="0" fillId="6" borderId="53" xfId="0" applyFill="1" applyBorder="1"/>
    <xf numFmtId="0" fontId="0" fillId="6" borderId="0" xfId="0" applyFill="1"/>
    <xf numFmtId="44" fontId="0" fillId="6" borderId="0" xfId="0" applyNumberFormat="1" applyFill="1"/>
    <xf numFmtId="44" fontId="0" fillId="6" borderId="21" xfId="0" applyNumberFormat="1" applyFill="1" applyBorder="1"/>
    <xf numFmtId="0" fontId="0" fillId="6" borderId="55" xfId="0" applyFill="1" applyBorder="1"/>
    <xf numFmtId="0" fontId="0" fillId="6" borderId="1" xfId="0" applyFill="1" applyBorder="1"/>
    <xf numFmtId="44" fontId="0" fillId="6" borderId="1" xfId="0" applyNumberFormat="1" applyFill="1" applyBorder="1"/>
    <xf numFmtId="44" fontId="0" fillId="6" borderId="56" xfId="0" applyNumberFormat="1" applyFill="1" applyBorder="1"/>
    <xf numFmtId="168" fontId="16" fillId="0" borderId="17" xfId="0" applyNumberFormat="1" applyFont="1" applyBorder="1" applyAlignment="1">
      <alignment horizontal="center"/>
    </xf>
    <xf numFmtId="0" fontId="27" fillId="4" borderId="2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173" fontId="29" fillId="10" borderId="21" xfId="3" applyNumberFormat="1" applyFont="1" applyFill="1" applyBorder="1" applyAlignment="1">
      <alignment horizontal="right"/>
    </xf>
    <xf numFmtId="0" fontId="14" fillId="0" borderId="55" xfId="0" applyFont="1" applyBorder="1" applyAlignment="1">
      <alignment horizontal="right"/>
    </xf>
    <xf numFmtId="171" fontId="46" fillId="0" borderId="1" xfId="2" applyNumberFormat="1" applyFont="1" applyFill="1" applyBorder="1"/>
    <xf numFmtId="171" fontId="46" fillId="0" borderId="56" xfId="2" applyNumberFormat="1" applyFont="1" applyFill="1" applyBorder="1"/>
    <xf numFmtId="44" fontId="25" fillId="3" borderId="56" xfId="2" applyFont="1" applyFill="1" applyBorder="1"/>
    <xf numFmtId="44" fontId="25" fillId="3" borderId="0" xfId="2" applyFont="1" applyFill="1" applyBorder="1"/>
    <xf numFmtId="44" fontId="0" fillId="0" borderId="0" xfId="2" applyFont="1" applyFill="1" applyBorder="1"/>
    <xf numFmtId="44" fontId="25" fillId="6" borderId="53" xfId="2" applyFont="1" applyFill="1" applyBorder="1"/>
    <xf numFmtId="44" fontId="25" fillId="6" borderId="0" xfId="2" applyFont="1" applyFill="1" applyBorder="1"/>
    <xf numFmtId="44" fontId="25" fillId="6" borderId="21" xfId="2" applyFont="1" applyFill="1" applyBorder="1"/>
    <xf numFmtId="168" fontId="19" fillId="2" borderId="74" xfId="0" applyNumberFormat="1" applyFont="1" applyFill="1" applyBorder="1"/>
    <xf numFmtId="164" fontId="23" fillId="3" borderId="0" xfId="0" applyNumberFormat="1" applyFont="1" applyFill="1" applyAlignment="1">
      <alignment horizontal="right" wrapText="1"/>
    </xf>
    <xf numFmtId="164" fontId="23" fillId="3" borderId="2" xfId="0" applyNumberFormat="1" applyFont="1" applyFill="1" applyBorder="1" applyAlignment="1">
      <alignment horizontal="right" wrapText="1"/>
    </xf>
    <xf numFmtId="0" fontId="11" fillId="7" borderId="21" xfId="3" applyNumberFormat="1" applyFont="1" applyFill="1" applyBorder="1"/>
    <xf numFmtId="10" fontId="11" fillId="0" borderId="21" xfId="3" applyNumberFormat="1" applyFont="1" applyBorder="1"/>
    <xf numFmtId="168" fontId="19" fillId="2" borderId="75" xfId="0" applyNumberFormat="1" applyFont="1" applyFill="1" applyBorder="1"/>
    <xf numFmtId="43" fontId="0" fillId="0" borderId="56" xfId="1" applyFont="1" applyBorder="1"/>
    <xf numFmtId="165" fontId="5" fillId="0" borderId="21" xfId="0" applyNumberFormat="1" applyFont="1" applyBorder="1" applyAlignment="1">
      <alignment horizontal="right" wrapText="1"/>
    </xf>
    <xf numFmtId="164" fontId="6" fillId="0" borderId="21" xfId="0" applyNumberFormat="1" applyFont="1" applyBorder="1" applyAlignment="1">
      <alignment wrapText="1"/>
    </xf>
    <xf numFmtId="10" fontId="47" fillId="3" borderId="0" xfId="0" applyNumberFormat="1" applyFont="1" applyFill="1"/>
    <xf numFmtId="175" fontId="11" fillId="0" borderId="0" xfId="0" applyNumberFormat="1" applyFont="1"/>
    <xf numFmtId="14" fontId="0" fillId="12" borderId="0" xfId="0" applyNumberFormat="1" applyFill="1"/>
    <xf numFmtId="171" fontId="16" fillId="2" borderId="61" xfId="2" applyNumberFormat="1" applyFont="1" applyFill="1" applyBorder="1" applyAlignment="1">
      <alignment horizontal="right"/>
    </xf>
    <xf numFmtId="171" fontId="16" fillId="0" borderId="7" xfId="2" applyNumberFormat="1" applyFont="1" applyFill="1" applyBorder="1" applyAlignment="1">
      <alignment horizontal="right"/>
    </xf>
    <xf numFmtId="171" fontId="16" fillId="0" borderId="0" xfId="2" applyNumberFormat="1" applyFont="1" applyFill="1" applyBorder="1" applyAlignment="1">
      <alignment horizontal="right"/>
    </xf>
    <xf numFmtId="171" fontId="16" fillId="0" borderId="8" xfId="2" applyNumberFormat="1" applyFont="1" applyFill="1" applyBorder="1" applyAlignment="1">
      <alignment horizontal="right"/>
    </xf>
    <xf numFmtId="171" fontId="0" fillId="0" borderId="0" xfId="2" applyNumberFormat="1" applyFont="1" applyFill="1" applyBorder="1" applyAlignment="1">
      <alignment horizontal="right"/>
    </xf>
    <xf numFmtId="0" fontId="29" fillId="10" borderId="61" xfId="0" applyFont="1" applyFill="1" applyBorder="1" applyAlignment="1">
      <alignment horizontal="right"/>
    </xf>
    <xf numFmtId="168" fontId="29" fillId="10" borderId="1" xfId="0" applyNumberFormat="1" applyFont="1" applyFill="1" applyBorder="1" applyAlignment="1">
      <alignment horizontal="right"/>
    </xf>
    <xf numFmtId="168" fontId="29" fillId="10" borderId="67" xfId="0" applyNumberFormat="1" applyFont="1" applyFill="1" applyBorder="1" applyAlignment="1">
      <alignment horizontal="right"/>
    </xf>
    <xf numFmtId="168" fontId="29" fillId="10" borderId="56" xfId="0" applyNumberFormat="1" applyFont="1" applyFill="1" applyBorder="1" applyAlignment="1">
      <alignment horizontal="right"/>
    </xf>
    <xf numFmtId="171" fontId="16" fillId="2" borderId="77" xfId="2" applyNumberFormat="1" applyFont="1" applyFill="1" applyBorder="1" applyAlignment="1">
      <alignment horizontal="right"/>
    </xf>
    <xf numFmtId="171" fontId="27" fillId="10" borderId="77" xfId="2" applyNumberFormat="1" applyFont="1" applyFill="1" applyBorder="1"/>
    <xf numFmtId="168" fontId="29" fillId="10" borderId="72" xfId="0" applyNumberFormat="1" applyFont="1" applyFill="1" applyBorder="1" applyAlignment="1">
      <alignment horizontal="right"/>
    </xf>
    <xf numFmtId="168" fontId="29" fillId="10" borderId="78" xfId="0" applyNumberFormat="1" applyFont="1" applyFill="1" applyBorder="1" applyAlignment="1">
      <alignment horizontal="right"/>
    </xf>
    <xf numFmtId="171" fontId="11" fillId="2" borderId="76" xfId="2" applyNumberFormat="1" applyFont="1" applyFill="1" applyBorder="1" applyAlignment="1"/>
    <xf numFmtId="171" fontId="27" fillId="10" borderId="78" xfId="2" applyNumberFormat="1" applyFont="1" applyFill="1" applyBorder="1"/>
    <xf numFmtId="0" fontId="11" fillId="2" borderId="79" xfId="0" applyFont="1" applyFill="1" applyBorder="1" applyAlignment="1">
      <alignment horizontal="right"/>
    </xf>
    <xf numFmtId="171" fontId="11" fillId="2" borderId="3" xfId="2" applyNumberFormat="1" applyFont="1" applyFill="1" applyBorder="1" applyAlignment="1"/>
    <xf numFmtId="171" fontId="11" fillId="2" borderId="80" xfId="2" applyNumberFormat="1" applyFont="1" applyFill="1" applyBorder="1" applyAlignment="1"/>
    <xf numFmtId="171" fontId="11" fillId="2" borderId="14" xfId="2" applyNumberFormat="1" applyFont="1" applyFill="1" applyBorder="1" applyAlignment="1"/>
    <xf numFmtId="171" fontId="27" fillId="10" borderId="1" xfId="2" applyNumberFormat="1" applyFont="1" applyFill="1" applyBorder="1"/>
    <xf numFmtId="171" fontId="27" fillId="10" borderId="67" xfId="2" applyNumberFormat="1" applyFont="1" applyFill="1" applyBorder="1"/>
    <xf numFmtId="171" fontId="16" fillId="2" borderId="0" xfId="2" applyNumberFormat="1" applyFont="1" applyFill="1" applyBorder="1"/>
    <xf numFmtId="171" fontId="16" fillId="2" borderId="21" xfId="2" applyNumberFormat="1" applyFont="1" applyFill="1" applyBorder="1"/>
    <xf numFmtId="171" fontId="11" fillId="2" borderId="64" xfId="2" applyNumberFormat="1" applyFont="1" applyFill="1" applyBorder="1" applyAlignment="1">
      <alignment horizontal="right"/>
    </xf>
    <xf numFmtId="171" fontId="11" fillId="2" borderId="3" xfId="2" applyNumberFormat="1" applyFont="1" applyFill="1" applyBorder="1"/>
    <xf numFmtId="171" fontId="11" fillId="2" borderId="14" xfId="2" applyNumberFormat="1" applyFont="1" applyFill="1" applyBorder="1"/>
    <xf numFmtId="0" fontId="29" fillId="10" borderId="55" xfId="0" applyFont="1" applyFill="1" applyBorder="1" applyAlignment="1">
      <alignment horizontal="right"/>
    </xf>
    <xf numFmtId="0" fontId="29" fillId="10" borderId="1" xfId="0" applyFont="1" applyFill="1" applyBorder="1" applyAlignment="1">
      <alignment horizontal="right"/>
    </xf>
    <xf numFmtId="171" fontId="16" fillId="2" borderId="64" xfId="2" applyNumberFormat="1" applyFont="1" applyFill="1" applyBorder="1" applyAlignment="1">
      <alignment horizontal="right"/>
    </xf>
    <xf numFmtId="171" fontId="16" fillId="2" borderId="3" xfId="2" applyNumberFormat="1" applyFont="1" applyFill="1" applyBorder="1"/>
    <xf numFmtId="171" fontId="16" fillId="2" borderId="14" xfId="2" applyNumberFormat="1" applyFont="1" applyFill="1" applyBorder="1"/>
    <xf numFmtId="43" fontId="11" fillId="7" borderId="0" xfId="1" applyFont="1" applyFill="1"/>
    <xf numFmtId="43" fontId="11" fillId="7" borderId="0" xfId="1" applyFont="1" applyFill="1" applyBorder="1"/>
    <xf numFmtId="43" fontId="11" fillId="7" borderId="21" xfId="1" applyFont="1" applyFill="1" applyBorder="1"/>
    <xf numFmtId="171" fontId="0" fillId="0" borderId="52" xfId="2" applyNumberFormat="1" applyFont="1" applyBorder="1" applyAlignment="1">
      <alignment horizontal="right"/>
    </xf>
    <xf numFmtId="167" fontId="16" fillId="2" borderId="1" xfId="1" applyNumberFormat="1" applyFont="1" applyFill="1" applyBorder="1" applyAlignment="1">
      <alignment horizontal="right"/>
    </xf>
    <xf numFmtId="167" fontId="16" fillId="2" borderId="56" xfId="1" applyNumberFormat="1" applyFont="1" applyFill="1" applyBorder="1" applyAlignment="1">
      <alignment horizontal="right"/>
    </xf>
    <xf numFmtId="167" fontId="16" fillId="2" borderId="78" xfId="1" applyNumberFormat="1" applyFont="1" applyFill="1" applyBorder="1" applyAlignment="1">
      <alignment horizontal="right"/>
    </xf>
    <xf numFmtId="167" fontId="16" fillId="2" borderId="67" xfId="1" applyNumberFormat="1" applyFont="1" applyFill="1" applyBorder="1" applyAlignment="1">
      <alignment horizontal="right"/>
    </xf>
    <xf numFmtId="167" fontId="16" fillId="2" borderId="3" xfId="1" applyNumberFormat="1" applyFont="1" applyFill="1" applyBorder="1"/>
    <xf numFmtId="167" fontId="16" fillId="2" borderId="14" xfId="1" applyNumberFormat="1" applyFont="1" applyFill="1" applyBorder="1"/>
    <xf numFmtId="1" fontId="47" fillId="3" borderId="17" xfId="0" applyNumberFormat="1" applyFont="1" applyFill="1" applyBorder="1" applyAlignment="1">
      <alignment horizontal="center"/>
    </xf>
    <xf numFmtId="1" fontId="47" fillId="3" borderId="21" xfId="0" applyNumberFormat="1" applyFont="1" applyFill="1" applyBorder="1" applyAlignment="1">
      <alignment horizontal="center"/>
    </xf>
    <xf numFmtId="14" fontId="16" fillId="0" borderId="21" xfId="0" applyNumberFormat="1" applyFont="1" applyBorder="1" applyAlignment="1">
      <alignment horizontal="center"/>
    </xf>
    <xf numFmtId="9" fontId="16" fillId="7" borderId="21" xfId="3" applyFont="1" applyFill="1" applyBorder="1" applyAlignment="1">
      <alignment horizontal="center"/>
    </xf>
    <xf numFmtId="9" fontId="16" fillId="0" borderId="21" xfId="3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71" fontId="0" fillId="6" borderId="53" xfId="2" applyNumberFormat="1" applyFont="1" applyFill="1" applyBorder="1" applyAlignment="1">
      <alignment horizontal="center"/>
    </xf>
    <xf numFmtId="14" fontId="25" fillId="6" borderId="0" xfId="0" applyNumberFormat="1" applyFont="1" applyFill="1"/>
    <xf numFmtId="14" fontId="17" fillId="6" borderId="0" xfId="0" applyNumberFormat="1" applyFont="1" applyFill="1"/>
    <xf numFmtId="14" fontId="0" fillId="6" borderId="0" xfId="0" applyNumberFormat="1" applyFill="1"/>
    <xf numFmtId="44" fontId="0" fillId="6" borderId="0" xfId="2" applyFont="1" applyFill="1" applyBorder="1"/>
    <xf numFmtId="44" fontId="0" fillId="6" borderId="21" xfId="2" applyFont="1" applyFill="1" applyBorder="1"/>
    <xf numFmtId="169" fontId="27" fillId="4" borderId="81" xfId="0" applyNumberFormat="1" applyFont="1" applyFill="1" applyBorder="1" applyAlignment="1">
      <alignment horizontal="center" vertical="center"/>
    </xf>
    <xf numFmtId="169" fontId="27" fillId="4" borderId="38" xfId="0" applyNumberFormat="1" applyFont="1" applyFill="1" applyBorder="1" applyAlignment="1">
      <alignment horizontal="center" vertical="center"/>
    </xf>
    <xf numFmtId="170" fontId="27" fillId="4" borderId="58" xfId="0" applyNumberFormat="1" applyFont="1" applyFill="1" applyBorder="1" applyAlignment="1">
      <alignment horizontal="center" vertical="center"/>
    </xf>
    <xf numFmtId="14" fontId="10" fillId="0" borderId="82" xfId="0" applyNumberFormat="1" applyFont="1" applyBorder="1"/>
    <xf numFmtId="167" fontId="11" fillId="7" borderId="82" xfId="0" applyNumberFormat="1" applyFont="1" applyFill="1" applyBorder="1" applyAlignment="1">
      <alignment horizontal="right" vertical="center"/>
    </xf>
    <xf numFmtId="167" fontId="11" fillId="0" borderId="21" xfId="0" applyNumberFormat="1" applyFont="1" applyBorder="1" applyAlignment="1">
      <alignment horizontal="right" vertical="center"/>
    </xf>
    <xf numFmtId="171" fontId="16" fillId="7" borderId="81" xfId="2" applyNumberFormat="1" applyFont="1" applyFill="1" applyBorder="1" applyAlignment="1">
      <alignment horizontal="right"/>
    </xf>
    <xf numFmtId="171" fontId="16" fillId="2" borderId="58" xfId="2" applyNumberFormat="1" applyFont="1" applyFill="1" applyBorder="1" applyAlignment="1">
      <alignment horizontal="right"/>
    </xf>
    <xf numFmtId="167" fontId="16" fillId="7" borderId="82" xfId="1" applyNumberFormat="1" applyFont="1" applyFill="1" applyBorder="1" applyAlignment="1">
      <alignment horizontal="right"/>
    </xf>
    <xf numFmtId="167" fontId="16" fillId="7" borderId="37" xfId="1" applyNumberFormat="1" applyFont="1" applyFill="1" applyBorder="1" applyAlignment="1">
      <alignment horizontal="right"/>
    </xf>
    <xf numFmtId="167" fontId="16" fillId="7" borderId="83" xfId="1" applyNumberFormat="1" applyFont="1" applyFill="1" applyBorder="1" applyAlignment="1">
      <alignment horizontal="right"/>
    </xf>
    <xf numFmtId="167" fontId="16" fillId="2" borderId="52" xfId="1" applyNumberFormat="1" applyFont="1" applyFill="1" applyBorder="1" applyAlignment="1">
      <alignment horizontal="right"/>
    </xf>
    <xf numFmtId="172" fontId="11" fillId="7" borderId="82" xfId="0" applyNumberFormat="1" applyFont="1" applyFill="1" applyBorder="1"/>
    <xf numFmtId="172" fontId="11" fillId="0" borderId="21" xfId="0" applyNumberFormat="1" applyFont="1" applyBorder="1"/>
    <xf numFmtId="172" fontId="0" fillId="0" borderId="59" xfId="0" applyNumberFormat="1" applyBorder="1"/>
    <xf numFmtId="171" fontId="27" fillId="10" borderId="3" xfId="2" applyNumberFormat="1" applyFont="1" applyFill="1" applyBorder="1"/>
    <xf numFmtId="171" fontId="16" fillId="7" borderId="84" xfId="2" applyNumberFormat="1" applyFont="1" applyFill="1" applyBorder="1" applyAlignment="1"/>
    <xf numFmtId="171" fontId="27" fillId="10" borderId="14" xfId="2" applyNumberFormat="1" applyFont="1" applyFill="1" applyBorder="1"/>
    <xf numFmtId="171" fontId="27" fillId="10" borderId="64" xfId="2" applyNumberFormat="1" applyFont="1" applyFill="1" applyBorder="1"/>
    <xf numFmtId="172" fontId="11" fillId="0" borderId="82" xfId="0" applyNumberFormat="1" applyFont="1" applyBorder="1"/>
    <xf numFmtId="171" fontId="34" fillId="7" borderId="81" xfId="2" applyNumberFormat="1" applyFont="1" applyFill="1" applyBorder="1"/>
    <xf numFmtId="171" fontId="27" fillId="10" borderId="58" xfId="2" applyNumberFormat="1" applyFont="1" applyFill="1" applyBorder="1"/>
    <xf numFmtId="168" fontId="33" fillId="10" borderId="1" xfId="0" applyNumberFormat="1" applyFont="1" applyFill="1" applyBorder="1" applyAlignment="1">
      <alignment horizontal="right"/>
    </xf>
    <xf numFmtId="168" fontId="35" fillId="7" borderId="83" xfId="0" applyNumberFormat="1" applyFont="1" applyFill="1" applyBorder="1" applyAlignment="1">
      <alignment horizontal="right"/>
    </xf>
    <xf numFmtId="168" fontId="33" fillId="10" borderId="56" xfId="0" applyNumberFormat="1" applyFont="1" applyFill="1" applyBorder="1" applyAlignment="1">
      <alignment horizontal="right"/>
    </xf>
    <xf numFmtId="168" fontId="29" fillId="10" borderId="52" xfId="0" applyNumberFormat="1" applyFont="1" applyFill="1" applyBorder="1" applyAlignment="1">
      <alignment horizontal="right"/>
    </xf>
    <xf numFmtId="0" fontId="16" fillId="7" borderId="82" xfId="0" applyFont="1" applyFill="1" applyBorder="1"/>
    <xf numFmtId="0" fontId="11" fillId="0" borderId="21" xfId="0" applyFont="1" applyBorder="1"/>
    <xf numFmtId="167" fontId="16" fillId="7" borderId="82" xfId="0" applyNumberFormat="1" applyFont="1" applyFill="1" applyBorder="1" applyAlignment="1">
      <alignment horizontal="right" vertical="center"/>
    </xf>
    <xf numFmtId="171" fontId="11" fillId="2" borderId="57" xfId="2" applyNumberFormat="1" applyFont="1" applyFill="1" applyBorder="1" applyAlignment="1"/>
    <xf numFmtId="168" fontId="35" fillId="7" borderId="82" xfId="0" applyNumberFormat="1" applyFont="1" applyFill="1" applyBorder="1"/>
    <xf numFmtId="168" fontId="12" fillId="0" borderId="21" xfId="0" applyNumberFormat="1" applyFont="1" applyBorder="1"/>
    <xf numFmtId="168" fontId="30" fillId="0" borderId="59" xfId="0" applyNumberFormat="1" applyFont="1" applyBorder="1"/>
    <xf numFmtId="43" fontId="16" fillId="7" borderId="82" xfId="1" applyFont="1" applyFill="1" applyBorder="1" applyAlignment="1">
      <alignment horizontal="right" vertical="center"/>
    </xf>
    <xf numFmtId="43" fontId="11" fillId="0" borderId="21" xfId="1" applyFont="1" applyBorder="1" applyAlignment="1">
      <alignment horizontal="right" vertical="center"/>
    </xf>
    <xf numFmtId="43" fontId="0" fillId="0" borderId="59" xfId="1" applyFont="1" applyBorder="1"/>
    <xf numFmtId="168" fontId="14" fillId="7" borderId="83" xfId="0" applyNumberFormat="1" applyFont="1" applyFill="1" applyBorder="1" applyAlignment="1">
      <alignment horizontal="right"/>
    </xf>
    <xf numFmtId="0" fontId="0" fillId="0" borderId="82" xfId="0" applyBorder="1"/>
    <xf numFmtId="44" fontId="8" fillId="4" borderId="86" xfId="0" applyNumberFormat="1" applyFont="1" applyFill="1" applyBorder="1" applyAlignment="1">
      <alignment horizontal="right"/>
    </xf>
    <xf numFmtId="171" fontId="8" fillId="4" borderId="4" xfId="2" applyNumberFormat="1" applyFont="1" applyFill="1" applyBorder="1" applyAlignment="1">
      <alignment horizontal="right"/>
    </xf>
    <xf numFmtId="171" fontId="24" fillId="4" borderId="85" xfId="2" applyNumberFormat="1" applyFont="1" applyFill="1" applyBorder="1" applyAlignment="1">
      <alignment horizontal="right"/>
    </xf>
    <xf numFmtId="171" fontId="8" fillId="4" borderId="5" xfId="2" applyNumberFormat="1" applyFont="1" applyFill="1" applyBorder="1" applyAlignment="1">
      <alignment horizontal="right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0" fillId="0" borderId="0" xfId="0" applyFont="1"/>
    <xf numFmtId="0" fontId="26" fillId="4" borderId="27" xfId="0" applyFont="1" applyFill="1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25" xfId="0" applyBorder="1" applyAlignment="1">
      <alignment horizontal="right" vertical="center"/>
    </xf>
    <xf numFmtId="167" fontId="11" fillId="0" borderId="0" xfId="0" applyNumberFormat="1" applyFont="1" applyAlignment="1">
      <alignment horizontal="right" vertical="center"/>
    </xf>
    <xf numFmtId="171" fontId="16" fillId="2" borderId="27" xfId="2" applyNumberFormat="1" applyFont="1" applyFill="1" applyBorder="1" applyAlignment="1">
      <alignment horizontal="right"/>
    </xf>
    <xf numFmtId="171" fontId="16" fillId="2" borderId="36" xfId="2" applyNumberFormat="1" applyFont="1" applyFill="1" applyBorder="1" applyAlignment="1">
      <alignment horizontal="right"/>
    </xf>
    <xf numFmtId="172" fontId="11" fillId="0" borderId="0" xfId="0" applyNumberFormat="1" applyFont="1"/>
    <xf numFmtId="171" fontId="27" fillId="10" borderId="32" xfId="2" applyNumberFormat="1" applyFont="1" applyFill="1" applyBorder="1" applyAlignment="1">
      <alignment horizontal="right"/>
    </xf>
    <xf numFmtId="171" fontId="27" fillId="0" borderId="36" xfId="2" applyNumberFormat="1" applyFont="1" applyFill="1" applyBorder="1" applyAlignment="1">
      <alignment horizontal="right"/>
    </xf>
    <xf numFmtId="171" fontId="27" fillId="10" borderId="27" xfId="2" applyNumberFormat="1" applyFont="1" applyFill="1" applyBorder="1" applyAlignment="1">
      <alignment horizontal="right"/>
    </xf>
    <xf numFmtId="0" fontId="29" fillId="10" borderId="36" xfId="0" applyFont="1" applyFill="1" applyBorder="1" applyAlignment="1">
      <alignment horizontal="right"/>
    </xf>
    <xf numFmtId="0" fontId="11" fillId="0" borderId="0" xfId="0" applyFont="1"/>
    <xf numFmtId="0" fontId="11" fillId="2" borderId="32" xfId="0" applyFont="1" applyFill="1" applyBorder="1" applyAlignment="1">
      <alignment horizontal="right"/>
    </xf>
    <xf numFmtId="0" fontId="30" fillId="0" borderId="25" xfId="0" applyFont="1" applyBorder="1" applyAlignment="1">
      <alignment horizontal="right"/>
    </xf>
    <xf numFmtId="168" fontId="12" fillId="0" borderId="0" xfId="0" applyNumberFormat="1" applyFont="1"/>
    <xf numFmtId="0" fontId="8" fillId="4" borderId="31" xfId="0" applyFont="1" applyFill="1" applyBorder="1" applyAlignment="1">
      <alignment horizontal="right"/>
    </xf>
    <xf numFmtId="0" fontId="8" fillId="4" borderId="36" xfId="0" applyFont="1" applyFill="1" applyBorder="1" applyAlignment="1">
      <alignment horizontal="right"/>
    </xf>
    <xf numFmtId="0" fontId="0" fillId="0" borderId="87" xfId="0" applyBorder="1"/>
    <xf numFmtId="0" fontId="0" fillId="0" borderId="35" xfId="0" applyBorder="1"/>
    <xf numFmtId="0" fontId="10" fillId="0" borderId="25" xfId="0" applyFont="1" applyBorder="1"/>
    <xf numFmtId="44" fontId="10" fillId="0" borderId="0" xfId="2" applyFont="1" applyBorder="1"/>
    <xf numFmtId="167" fontId="10" fillId="0" borderId="0" xfId="1" applyNumberFormat="1" applyFont="1" applyBorder="1"/>
    <xf numFmtId="167" fontId="0" fillId="0" borderId="52" xfId="0" applyNumberFormat="1" applyBorder="1"/>
    <xf numFmtId="0" fontId="29" fillId="10" borderId="25" xfId="0" applyFont="1" applyFill="1" applyBorder="1" applyAlignment="1">
      <alignment horizontal="right"/>
    </xf>
    <xf numFmtId="168" fontId="33" fillId="10" borderId="0" xfId="0" applyNumberFormat="1" applyFont="1" applyFill="1" applyAlignment="1">
      <alignment horizontal="right"/>
    </xf>
    <xf numFmtId="168" fontId="35" fillId="7" borderId="82" xfId="0" applyNumberFormat="1" applyFont="1" applyFill="1" applyBorder="1" applyAlignment="1">
      <alignment horizontal="right"/>
    </xf>
    <xf numFmtId="168" fontId="33" fillId="10" borderId="21" xfId="0" applyNumberFormat="1" applyFont="1" applyFill="1" applyBorder="1" applyAlignment="1">
      <alignment horizontal="right"/>
    </xf>
    <xf numFmtId="171" fontId="34" fillId="7" borderId="37" xfId="2" applyNumberFormat="1" applyFont="1" applyFill="1" applyBorder="1"/>
    <xf numFmtId="171" fontId="27" fillId="10" borderId="59" xfId="2" applyNumberFormat="1" applyFont="1" applyFill="1" applyBorder="1"/>
    <xf numFmtId="44" fontId="8" fillId="4" borderId="83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48" fillId="0" borderId="7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8" xfId="0" applyFont="1" applyBorder="1" applyAlignment="1">
      <alignment horizontal="center"/>
    </xf>
    <xf numFmtId="0" fontId="60" fillId="4" borderId="72" xfId="0" applyFont="1" applyFill="1" applyBorder="1" applyAlignment="1">
      <alignment horizontal="center" vertical="center" wrapText="1"/>
    </xf>
    <xf numFmtId="0" fontId="60" fillId="4" borderId="73" xfId="0" applyFont="1" applyFill="1" applyBorder="1" applyAlignment="1">
      <alignment horizontal="center" vertical="center" wrapText="1"/>
    </xf>
    <xf numFmtId="171" fontId="42" fillId="4" borderId="8" xfId="2" applyNumberFormat="1" applyFont="1" applyFill="1" applyBorder="1" applyAlignment="1">
      <alignment horizontal="center" vertical="center" wrapText="1"/>
    </xf>
    <xf numFmtId="171" fontId="42" fillId="4" borderId="8" xfId="2" applyNumberFormat="1" applyFont="1" applyFill="1" applyBorder="1" applyAlignment="1">
      <alignment horizontal="center" vertical="center"/>
    </xf>
    <xf numFmtId="171" fontId="42" fillId="4" borderId="11" xfId="2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1" xfId="0" applyFont="1" applyBorder="1" applyAlignment="1">
      <alignment horizontal="center" wrapText="1"/>
    </xf>
    <xf numFmtId="0" fontId="5" fillId="0" borderId="42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1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4 2" xfId="8" xr:uid="{643EE1CB-0B48-48B6-8D63-FF9F6C0ED382}"/>
    <cellStyle name="Normal 5" xfId="7" xr:uid="{B2BE4F6B-0336-47F0-90E9-D8419412B55F}"/>
    <cellStyle name="Percent" xfId="3" builtinId="5"/>
  </cellStyles>
  <dxfs count="4"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B2-4A63-A64D-58B388678D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'2023 Overview'!$C$38:$N$38</c:f>
              <c:numCache>
                <c:formatCode>_("$"* #,##0.00_);_("$"* \(#,##0.00\);_("$"* "-"??_);_(@_)</c:formatCode>
                <c:ptCount val="12"/>
                <c:pt idx="0">
                  <c:v>1685.4099999999987</c:v>
                </c:pt>
                <c:pt idx="1">
                  <c:v>1215.7899999999986</c:v>
                </c:pt>
                <c:pt idx="2">
                  <c:v>888.59999999999854</c:v>
                </c:pt>
                <c:pt idx="3">
                  <c:v>721.96999999999866</c:v>
                </c:pt>
                <c:pt idx="4">
                  <c:v>75385.05</c:v>
                </c:pt>
                <c:pt idx="5">
                  <c:v>71768.56</c:v>
                </c:pt>
                <c:pt idx="6">
                  <c:v>71854.92</c:v>
                </c:pt>
                <c:pt idx="7">
                  <c:v>51317.030000000006</c:v>
                </c:pt>
                <c:pt idx="8">
                  <c:v>48758.8</c:v>
                </c:pt>
                <c:pt idx="9">
                  <c:v>118050.04999999999</c:v>
                </c:pt>
                <c:pt idx="10">
                  <c:v>143860.09999999998</c:v>
                </c:pt>
                <c:pt idx="11">
                  <c:v>194649.22999999998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Overview'!$C$39:$N$39</c:f>
              <c:numCache>
                <c:formatCode>_("$"* #,##0.00_);_("$"* \(#,##0.00\);_("$"* "-"??_);_(@_)</c:formatCode>
                <c:ptCount val="12"/>
                <c:pt idx="0">
                  <c:v>1377.5999999999985</c:v>
                </c:pt>
                <c:pt idx="1">
                  <c:v>-469.62</c:v>
                </c:pt>
                <c:pt idx="2">
                  <c:v>-327.19000000000005</c:v>
                </c:pt>
                <c:pt idx="3">
                  <c:v>-166.62999999999988</c:v>
                </c:pt>
                <c:pt idx="4">
                  <c:v>74663.08</c:v>
                </c:pt>
                <c:pt idx="5">
                  <c:v>-3616.4899999999984</c:v>
                </c:pt>
                <c:pt idx="6">
                  <c:v>86.35999999999558</c:v>
                </c:pt>
                <c:pt idx="7">
                  <c:v>-20537.889999999992</c:v>
                </c:pt>
                <c:pt idx="8">
                  <c:v>-2558.23</c:v>
                </c:pt>
                <c:pt idx="9">
                  <c:v>69291.249999999985</c:v>
                </c:pt>
                <c:pt idx="10">
                  <c:v>25810.049999999974</c:v>
                </c:pt>
                <c:pt idx="11">
                  <c:v>50789.130000000019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# of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v>Rolling Forecast -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C-43B0-BEA5-A2C03BA689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C-43B0-BEA5-A2C03BA689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C-43B0-BEA5-A2C03BA689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C-43B0-BEA5-A2C03BA689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C-43B0-BEA5-A2C03BA689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C-43B0-BEA5-A2C03BA6891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8C-43B0-BEA5-A2C03BA6891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C-43B0-BEA5-A2C03BA6891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8C-43B0-BEA5-A2C03BA68917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'Monthly Detail'!$AB$79:$AM$79</c:f>
              <c:numCache>
                <c:formatCode>_("$"* #,##0.00_);_("$"* \(#,##0.00\);_("$"* "-"??_);_(@_)</c:formatCode>
                <c:ptCount val="12"/>
                <c:pt idx="0">
                  <c:v>-67320.260000000009</c:v>
                </c:pt>
                <c:pt idx="1">
                  <c:v>92246.720000000001</c:v>
                </c:pt>
                <c:pt idx="2">
                  <c:v>5735.720000000003</c:v>
                </c:pt>
                <c:pt idx="3">
                  <c:v>-28857.11</c:v>
                </c:pt>
                <c:pt idx="4">
                  <c:v>53032.210000000006</c:v>
                </c:pt>
                <c:pt idx="5">
                  <c:v>-30499.549999999996</c:v>
                </c:pt>
                <c:pt idx="6">
                  <c:v>-5299.88</c:v>
                </c:pt>
                <c:pt idx="7">
                  <c:v>1880.1499999999996</c:v>
                </c:pt>
                <c:pt idx="8">
                  <c:v>10566.740000000005</c:v>
                </c:pt>
                <c:pt idx="9">
                  <c:v>60727.900950000003</c:v>
                </c:pt>
                <c:pt idx="10">
                  <c:v>17355.056666666667</c:v>
                </c:pt>
                <c:pt idx="11">
                  <c:v>85411.14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8C-43B0-BEA5-A2C03BA68917}"/>
            </c:ext>
          </c:extLst>
        </c:ser>
        <c:ser>
          <c:idx val="1"/>
          <c:order val="2"/>
          <c:tx>
            <c:v>Total Income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'Monthly Detail'!$AB$9:$AM$9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112500</c:v>
                </c:pt>
                <c:pt idx="2">
                  <c:v>112500</c:v>
                </c:pt>
                <c:pt idx="3">
                  <c:v>0</c:v>
                </c:pt>
                <c:pt idx="4">
                  <c:v>82459.320000000007</c:v>
                </c:pt>
                <c:pt idx="5">
                  <c:v>10928.64</c:v>
                </c:pt>
                <c:pt idx="6">
                  <c:v>700</c:v>
                </c:pt>
                <c:pt idx="7">
                  <c:v>45897</c:v>
                </c:pt>
                <c:pt idx="8">
                  <c:v>49010.3</c:v>
                </c:pt>
                <c:pt idx="9">
                  <c:v>115381.11</c:v>
                </c:pt>
                <c:pt idx="10">
                  <c:v>40916.666666666664</c:v>
                </c:pt>
                <c:pt idx="11">
                  <c:v>98100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3"/>
          <c:order val="0"/>
          <c:tx>
            <c:v>Rolling Forecast # of Bookings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D8C-43B0-BEA5-A2C03BA6891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D8C-43B0-BEA5-A2C03BA6891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D8C-43B0-BEA5-A2C03BA6891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D8C-43B0-BEA5-A2C03BA6891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D8C-43B0-BEA5-A2C03BA6891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D8C-43B0-BEA5-A2C03BA6891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D8C-43B0-BEA5-A2C03BA6891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D8C-43B0-BEA5-A2C03BA68917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'Monthly Detail'!$AB$12:$AM$12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D8C-43B0-BEA5-A2C03BA6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(Budget)'!$B$29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CAC-B25D-9347D75493A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CAC-B25D-9347D7549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(Budget)'!$C$29:$N$29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(Budget)'!$B$30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(Budget)'!$C$30:$N$30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CAC-B25D-9347D7549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"/>
          <c:order val="2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Detail'!$AB$179:$AS$179</c:f>
              <c:numCache>
                <c:formatCode>_("$"* #,##0.00_);_("$"* \(#,##0.00\);_("$"* "-"??_);_(@_)</c:formatCode>
                <c:ptCount val="18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20509.540000000015</c:v>
                </c:pt>
                <c:pt idx="8">
                  <c:v>33227.020000000019</c:v>
                </c:pt>
                <c:pt idx="9">
                  <c:v>169214.67718884727</c:v>
                </c:pt>
                <c:pt idx="10">
                  <c:v>190769.46533662349</c:v>
                </c:pt>
                <c:pt idx="11">
                  <c:v>352788.93552211684</c:v>
                </c:pt>
                <c:pt idx="12">
                  <c:v>335561.62857232022</c:v>
                </c:pt>
                <c:pt idx="13">
                  <c:v>314832.22931562545</c:v>
                </c:pt>
                <c:pt idx="14">
                  <c:v>242361.02336300298</c:v>
                </c:pt>
                <c:pt idx="15">
                  <c:v>547118.2103943401</c:v>
                </c:pt>
                <c:pt idx="16">
                  <c:v>845678.87634067261</c:v>
                </c:pt>
                <c:pt idx="17">
                  <c:v>1049418.3156140326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stacked"/>
        <c:varyColors val="0"/>
        <c:ser>
          <c:idx val="4"/>
          <c:order val="0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3CF-4C44-AC7D-220921683A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3CF-4C44-AC7D-220921683A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3CF-4C44-AC7D-220921683A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3CF-4C44-AC7D-220921683A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3CF-4C44-AC7D-220921683A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3CF-4C44-AC7D-220921683A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3CF-4C44-AC7D-220921683A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3CF-4C44-AC7D-220921683AF3}"/>
              </c:ext>
            </c:extLst>
          </c:dPt>
          <c:cat>
            <c:numLit>
              <c:formatCode>General</c:formatCode>
              <c:ptCount val="84"/>
              <c:pt idx="0">
                <c:v>44957</c:v>
              </c:pt>
              <c:pt idx="1">
                <c:v>44985</c:v>
              </c:pt>
              <c:pt idx="2">
                <c:v>45016</c:v>
              </c:pt>
              <c:pt idx="3">
                <c:v>45046</c:v>
              </c:pt>
              <c:pt idx="4">
                <c:v>45077</c:v>
              </c:pt>
              <c:pt idx="5">
                <c:v>45107</c:v>
              </c:pt>
              <c:pt idx="6">
                <c:v>45138</c:v>
              </c:pt>
              <c:pt idx="7">
                <c:v>45169</c:v>
              </c:pt>
              <c:pt idx="8">
                <c:v>45199</c:v>
              </c:pt>
              <c:pt idx="9">
                <c:v>45230</c:v>
              </c:pt>
              <c:pt idx="10">
                <c:v>45260</c:v>
              </c:pt>
              <c:pt idx="11">
                <c:v>45291</c:v>
              </c:pt>
              <c:pt idx="12">
                <c:v>45322</c:v>
              </c:pt>
              <c:pt idx="13">
                <c:v>45351</c:v>
              </c:pt>
              <c:pt idx="14">
                <c:v>45382</c:v>
              </c:pt>
              <c:pt idx="15">
                <c:v>45412</c:v>
              </c:pt>
              <c:pt idx="16">
                <c:v>45443</c:v>
              </c:pt>
              <c:pt idx="17">
                <c:v>45473</c:v>
              </c:pt>
              <c:pt idx="18">
                <c:v>45504</c:v>
              </c:pt>
              <c:pt idx="19">
                <c:v>45535</c:v>
              </c:pt>
              <c:pt idx="20">
                <c:v>45565</c:v>
              </c:pt>
              <c:pt idx="21">
                <c:v>45596</c:v>
              </c:pt>
              <c:pt idx="22">
                <c:v>45626</c:v>
              </c:pt>
              <c:pt idx="23">
                <c:v>45657</c:v>
              </c:pt>
              <c:pt idx="24">
                <c:v>46053</c:v>
              </c:pt>
              <c:pt idx="25">
                <c:v>46081</c:v>
              </c:pt>
              <c:pt idx="26">
                <c:v>46112</c:v>
              </c:pt>
              <c:pt idx="27">
                <c:v>46142</c:v>
              </c:pt>
              <c:pt idx="28">
                <c:v>46173</c:v>
              </c:pt>
              <c:pt idx="29">
                <c:v>46203</c:v>
              </c:pt>
              <c:pt idx="30">
                <c:v>46234</c:v>
              </c:pt>
              <c:pt idx="31">
                <c:v>46265</c:v>
              </c:pt>
              <c:pt idx="32">
                <c:v>46295</c:v>
              </c:pt>
              <c:pt idx="33">
                <c:v>46326</c:v>
              </c:pt>
              <c:pt idx="34">
                <c:v>46356</c:v>
              </c:pt>
              <c:pt idx="35">
                <c:v>46387</c:v>
              </c:pt>
              <c:pt idx="36">
                <c:v>46418</c:v>
              </c:pt>
              <c:pt idx="37">
                <c:v>46446</c:v>
              </c:pt>
              <c:pt idx="38">
                <c:v>46477</c:v>
              </c:pt>
              <c:pt idx="39">
                <c:v>46507</c:v>
              </c:pt>
              <c:pt idx="40">
                <c:v>46538</c:v>
              </c:pt>
              <c:pt idx="41">
                <c:v>46568</c:v>
              </c:pt>
              <c:pt idx="42">
                <c:v>46599</c:v>
              </c:pt>
              <c:pt idx="43">
                <c:v>46630</c:v>
              </c:pt>
              <c:pt idx="44">
                <c:v>46660</c:v>
              </c:pt>
              <c:pt idx="45">
                <c:v>46691</c:v>
              </c:pt>
              <c:pt idx="46">
                <c:v>46721</c:v>
              </c:pt>
              <c:pt idx="47">
                <c:v>46752</c:v>
              </c:pt>
              <c:pt idx="48">
                <c:v>46783</c:v>
              </c:pt>
              <c:pt idx="49">
                <c:v>46812</c:v>
              </c:pt>
              <c:pt idx="50">
                <c:v>46843</c:v>
              </c:pt>
              <c:pt idx="51">
                <c:v>46873</c:v>
              </c:pt>
              <c:pt idx="52">
                <c:v>46904</c:v>
              </c:pt>
              <c:pt idx="53">
                <c:v>46934</c:v>
              </c:pt>
              <c:pt idx="54">
                <c:v>46965</c:v>
              </c:pt>
              <c:pt idx="55">
                <c:v>46996</c:v>
              </c:pt>
              <c:pt idx="56">
                <c:v>47026</c:v>
              </c:pt>
              <c:pt idx="57">
                <c:v>47057</c:v>
              </c:pt>
              <c:pt idx="58">
                <c:v>47087</c:v>
              </c:pt>
              <c:pt idx="59">
                <c:v>47118</c:v>
              </c:pt>
              <c:pt idx="60">
                <c:v>47149</c:v>
              </c:pt>
              <c:pt idx="61">
                <c:v>47177</c:v>
              </c:pt>
              <c:pt idx="62">
                <c:v>47208</c:v>
              </c:pt>
              <c:pt idx="63">
                <c:v>47238</c:v>
              </c:pt>
              <c:pt idx="64">
                <c:v>47269</c:v>
              </c:pt>
              <c:pt idx="65">
                <c:v>47299</c:v>
              </c:pt>
              <c:pt idx="66">
                <c:v>47330</c:v>
              </c:pt>
              <c:pt idx="67">
                <c:v>47361</c:v>
              </c:pt>
              <c:pt idx="68">
                <c:v>47391</c:v>
              </c:pt>
              <c:pt idx="69">
                <c:v>47422</c:v>
              </c:pt>
              <c:pt idx="70">
                <c:v>47452</c:v>
              </c:pt>
              <c:pt idx="71">
                <c:v>47483</c:v>
              </c:pt>
              <c:pt idx="72">
                <c:v>47514</c:v>
              </c:pt>
              <c:pt idx="73">
                <c:v>47542</c:v>
              </c:pt>
              <c:pt idx="74">
                <c:v>47573</c:v>
              </c:pt>
              <c:pt idx="75">
                <c:v>47603</c:v>
              </c:pt>
              <c:pt idx="76">
                <c:v>47634</c:v>
              </c:pt>
              <c:pt idx="77">
                <c:v>47664</c:v>
              </c:pt>
              <c:pt idx="78">
                <c:v>47695</c:v>
              </c:pt>
              <c:pt idx="79">
                <c:v>47726</c:v>
              </c:pt>
              <c:pt idx="80">
                <c:v>47756</c:v>
              </c:pt>
              <c:pt idx="81">
                <c:v>47787</c:v>
              </c:pt>
              <c:pt idx="82">
                <c:v>47817</c:v>
              </c:pt>
              <c:pt idx="83">
                <c:v>47848</c:v>
              </c:pt>
            </c:numLit>
          </c:cat>
          <c:val>
            <c:numRef>
              <c:f>'Monthly Detail'!$AB$9:$AS$9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112500</c:v>
                </c:pt>
                <c:pt idx="2">
                  <c:v>112500</c:v>
                </c:pt>
                <c:pt idx="3">
                  <c:v>0</c:v>
                </c:pt>
                <c:pt idx="4">
                  <c:v>82459.320000000007</c:v>
                </c:pt>
                <c:pt idx="5">
                  <c:v>10928.64</c:v>
                </c:pt>
                <c:pt idx="6">
                  <c:v>700</c:v>
                </c:pt>
                <c:pt idx="7">
                  <c:v>45897</c:v>
                </c:pt>
                <c:pt idx="8">
                  <c:v>49010.3</c:v>
                </c:pt>
                <c:pt idx="9">
                  <c:v>115381.11</c:v>
                </c:pt>
                <c:pt idx="10">
                  <c:v>40916.666666666664</c:v>
                </c:pt>
                <c:pt idx="11">
                  <c:v>98100</c:v>
                </c:pt>
                <c:pt idx="12">
                  <c:v>29700</c:v>
                </c:pt>
                <c:pt idx="13">
                  <c:v>36000</c:v>
                </c:pt>
                <c:pt idx="14">
                  <c:v>24300</c:v>
                </c:pt>
                <c:pt idx="15">
                  <c:v>209700</c:v>
                </c:pt>
                <c:pt idx="16">
                  <c:v>261000</c:v>
                </c:pt>
                <c:pt idx="17">
                  <c:v>309300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7"/>
          <c:order val="1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B3CF-4C44-AC7D-220921683A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3CF-4C44-AC7D-220921683A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3CF-4C44-AC7D-220921683A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B3CF-4C44-AC7D-220921683A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B3CF-4C44-AC7D-220921683A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3CF-4C44-AC7D-220921683A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B3CF-4C44-AC7D-220921683A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B3CF-4C44-AC7D-220921683AF3}"/>
              </c:ext>
            </c:extLst>
          </c:dPt>
          <c:cat>
            <c:numLit>
              <c:formatCode>General</c:formatCode>
              <c:ptCount val="18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</c:numLit>
          </c:cat>
          <c:val>
            <c:numRef>
              <c:f>'Monthly Detail'!$AB$79:$AS$79</c:f>
              <c:numCache>
                <c:formatCode>_("$"* #,##0.00_);_("$"* \(#,##0.00\);_("$"* "-"??_);_(@_)</c:formatCode>
                <c:ptCount val="18"/>
                <c:pt idx="0">
                  <c:v>-67320.260000000009</c:v>
                </c:pt>
                <c:pt idx="1">
                  <c:v>92246.720000000001</c:v>
                </c:pt>
                <c:pt idx="2">
                  <c:v>5735.720000000003</c:v>
                </c:pt>
                <c:pt idx="3">
                  <c:v>-28857.11</c:v>
                </c:pt>
                <c:pt idx="4">
                  <c:v>53032.210000000006</c:v>
                </c:pt>
                <c:pt idx="5">
                  <c:v>-30499.549999999996</c:v>
                </c:pt>
                <c:pt idx="6">
                  <c:v>-5299.88</c:v>
                </c:pt>
                <c:pt idx="7">
                  <c:v>1880.1499999999996</c:v>
                </c:pt>
                <c:pt idx="8">
                  <c:v>10566.740000000005</c:v>
                </c:pt>
                <c:pt idx="9">
                  <c:v>60727.900950000003</c:v>
                </c:pt>
                <c:pt idx="10">
                  <c:v>17355.056666666667</c:v>
                </c:pt>
                <c:pt idx="11">
                  <c:v>85411.14</c:v>
                </c:pt>
                <c:pt idx="12">
                  <c:v>-32068.08336562074</c:v>
                </c:pt>
                <c:pt idx="13">
                  <c:v>-22910.006014035218</c:v>
                </c:pt>
                <c:pt idx="14">
                  <c:v>-55780.309387543879</c:v>
                </c:pt>
                <c:pt idx="15">
                  <c:v>146869.28405959316</c:v>
                </c:pt>
                <c:pt idx="16">
                  <c:v>112620.00829318321</c:v>
                </c:pt>
                <c:pt idx="17">
                  <c:v>89163.603933585095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CF-4C44-AC7D-22092168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 Overview (Accrual Basis)'!$B$38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Basis)'!$C$38:$N$38</c:f>
              <c:numCache>
                <c:formatCode>_("$"* #,##0.00_);_("$"* \(#,##0.00\);_("$"* "-"??_);_(@_)</c:formatCode>
                <c:ptCount val="12"/>
                <c:pt idx="0">
                  <c:v>335561.62857232022</c:v>
                </c:pt>
                <c:pt idx="1">
                  <c:v>314832.22931562545</c:v>
                </c:pt>
                <c:pt idx="2">
                  <c:v>242361.02336300298</c:v>
                </c:pt>
                <c:pt idx="3">
                  <c:v>547118.2103943401</c:v>
                </c:pt>
                <c:pt idx="4">
                  <c:v>845678.87634067261</c:v>
                </c:pt>
                <c:pt idx="5">
                  <c:v>1049418.3156140326</c:v>
                </c:pt>
                <c:pt idx="6">
                  <c:v>691330.3321276895</c:v>
                </c:pt>
                <c:pt idx="7">
                  <c:v>725985.22262644547</c:v>
                </c:pt>
                <c:pt idx="8">
                  <c:v>538807.03291127761</c:v>
                </c:pt>
                <c:pt idx="9">
                  <c:v>1164609.0743828993</c:v>
                </c:pt>
                <c:pt idx="10">
                  <c:v>1522671.891565352</c:v>
                </c:pt>
                <c:pt idx="11">
                  <c:v>1347696.6337711802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C-4415-AF3C-093A5708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'2025 Overview (Accrual Basis)'!$B$39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'2025 Overview (Accrual Basis)'!$C$39:$N$39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-17227.306949796599</c:v>
                      </c:pt>
                      <c:pt idx="1">
                        <c:v>-20729.39925669476</c:v>
                      </c:pt>
                      <c:pt idx="2">
                        <c:v>-72471.205952622462</c:v>
                      </c:pt>
                      <c:pt idx="3">
                        <c:v>304757.18703133718</c:v>
                      </c:pt>
                      <c:pt idx="4">
                        <c:v>298560.6659463325</c:v>
                      </c:pt>
                      <c:pt idx="5">
                        <c:v>203739.43927335995</c:v>
                      </c:pt>
                      <c:pt idx="6">
                        <c:v>-358087.98348634306</c:v>
                      </c:pt>
                      <c:pt idx="7">
                        <c:v>34654.890498756009</c:v>
                      </c:pt>
                      <c:pt idx="8">
                        <c:v>-187178.18971516786</c:v>
                      </c:pt>
                      <c:pt idx="9">
                        <c:v>625802.04147162172</c:v>
                      </c:pt>
                      <c:pt idx="10">
                        <c:v>358062.81718245271</c:v>
                      </c:pt>
                      <c:pt idx="11">
                        <c:v>-174975.25779417169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5BC-4415-AF3C-093A57085C96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'2025 Overview (Accrual Basis)'!$B$32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Basis)'!$C$32:$N$32</c:f>
              <c:numCache>
                <c:formatCode>_("$"* #,##0_);_("$"* \(#,##0\);_("$"* "-"??_);_(@_)</c:formatCode>
                <c:ptCount val="12"/>
                <c:pt idx="0">
                  <c:v>-26343.807512300307</c:v>
                </c:pt>
                <c:pt idx="1">
                  <c:v>-28134.197283984093</c:v>
                </c:pt>
                <c:pt idx="2">
                  <c:v>-17928.608663689862</c:v>
                </c:pt>
                <c:pt idx="3">
                  <c:v>-29928.425059171117</c:v>
                </c:pt>
                <c:pt idx="4">
                  <c:v>12916.409157917253</c:v>
                </c:pt>
                <c:pt idx="5">
                  <c:v>45322.527255800305</c:v>
                </c:pt>
                <c:pt idx="6">
                  <c:v>25436.608093580042</c:v>
                </c:pt>
                <c:pt idx="7">
                  <c:v>5246.390248333264</c:v>
                </c:pt>
                <c:pt idx="8">
                  <c:v>5680.8364865619806</c:v>
                </c:pt>
                <c:pt idx="9">
                  <c:v>26708.020902505014</c:v>
                </c:pt>
                <c:pt idx="10">
                  <c:v>93575.150585443669</c:v>
                </c:pt>
                <c:pt idx="11">
                  <c:v>168284.40943517932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4A91-8548-84508DF84E58}"/>
            </c:ext>
          </c:extLst>
        </c:ser>
        <c:ser>
          <c:idx val="3"/>
          <c:order val="3"/>
          <c:tx>
            <c:strRef>
              <c:f>'2025 Overview (Accrual Basis)'!$B$14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 (Accrual Basis)'!$C$14:$N$14</c:f>
              <c:numCache>
                <c:formatCode>_("$"* #,##0_);_("$"* \(#,##0\);_("$"* "-"??_);_(@_)</c:formatCode>
                <c:ptCount val="12"/>
                <c:pt idx="0">
                  <c:v>35424.275853320432</c:v>
                </c:pt>
                <c:pt idx="1">
                  <c:v>30775.808730051125</c:v>
                </c:pt>
                <c:pt idx="2">
                  <c:v>62151.700723854017</c:v>
                </c:pt>
                <c:pt idx="3">
                  <c:v>32902.290881235705</c:v>
                </c:pt>
                <c:pt idx="4">
                  <c:v>161296.40086473405</c:v>
                </c:pt>
                <c:pt idx="5">
                  <c:v>265458.92332221521</c:v>
                </c:pt>
                <c:pt idx="6">
                  <c:v>197696.7611635045</c:v>
                </c:pt>
                <c:pt idx="7">
                  <c:v>135986.29553566239</c:v>
                </c:pt>
                <c:pt idx="8">
                  <c:v>105504.74392671598</c:v>
                </c:pt>
                <c:pt idx="9">
                  <c:v>202689.73950918234</c:v>
                </c:pt>
                <c:pt idx="10">
                  <c:v>287697.18791151652</c:v>
                </c:pt>
                <c:pt idx="11">
                  <c:v>422431.53887035867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724-A3B8-A6941946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'2024 Overview (Accrual Basis)'!$B$37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Basis)'!$C$37:$N$37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20509.540000000015</c:v>
                </c:pt>
                <c:pt idx="8">
                  <c:v>33227.020000000019</c:v>
                </c:pt>
                <c:pt idx="9">
                  <c:v>169214.67718884727</c:v>
                </c:pt>
                <c:pt idx="10">
                  <c:v>190769.46533662349</c:v>
                </c:pt>
                <c:pt idx="11">
                  <c:v>352788.93552211684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  <c:extLst>
          <c:ext xmlns:c15="http://schemas.microsoft.com/office/drawing/2012/chart" uri="{02D57815-91ED-43cb-92C2-25804820EDAC}">
            <c15:filteredArea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'2024 Overview (Accrual Basis)'!$B$38</c15:sqref>
                        </c15:formulaRef>
                      </c:ext>
                    </c:extLst>
                    <c:strCache>
                      <c:ptCount val="1"/>
                      <c:pt idx="0">
                        <c:v>Cash Inflow (Outflow)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'2024 Overview (Accrual Basis)'!$C$38:$N$38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  <c:pt idx="0">
                        <c:v>-99451.290000000008</c:v>
                      </c:pt>
                      <c:pt idx="1">
                        <c:v>51523.990000000005</c:v>
                      </c:pt>
                      <c:pt idx="2">
                        <c:v>5833.6100000000024</c:v>
                      </c:pt>
                      <c:pt idx="3">
                        <c:v>-70137.240000000005</c:v>
                      </c:pt>
                      <c:pt idx="4">
                        <c:v>-28689.659999999989</c:v>
                      </c:pt>
                      <c:pt idx="5">
                        <c:v>-9189.0399999999936</c:v>
                      </c:pt>
                      <c:pt idx="6">
                        <c:v>-17239.63</c:v>
                      </c:pt>
                      <c:pt idx="7">
                        <c:v>-6790.4300000000021</c:v>
                      </c:pt>
                      <c:pt idx="8">
                        <c:v>12717.480000000007</c:v>
                      </c:pt>
                      <c:pt idx="9">
                        <c:v>135987.65718884725</c:v>
                      </c:pt>
                      <c:pt idx="10">
                        <c:v>21554.788147776213</c:v>
                      </c:pt>
                      <c:pt idx="11">
                        <c:v>162019.47018549335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5C6-40DE-BE19-308509CD8643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8"/>
          <c:order val="2"/>
          <c:tx>
            <c:strRef>
              <c:f>'2024 Overview (Accrual Basis)'!$B$33</c:f>
              <c:strCache>
                <c:ptCount val="1"/>
                <c:pt idx="0">
                  <c:v> Net Income 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'2024 Overview (Accrual Basis)'!$C$33:$N$33</c:f>
              <c:numCache>
                <c:formatCode>_("$"* #,##0_);_("$"* \(#,##0\);_("$"* "-"??_);_(@_)</c:formatCode>
                <c:ptCount val="12"/>
                <c:pt idx="0">
                  <c:v>-67320.260000000009</c:v>
                </c:pt>
                <c:pt idx="1">
                  <c:v>92246.720000000001</c:v>
                </c:pt>
                <c:pt idx="2">
                  <c:v>5735.720000000003</c:v>
                </c:pt>
                <c:pt idx="3">
                  <c:v>-28857.11</c:v>
                </c:pt>
                <c:pt idx="4">
                  <c:v>53032.210000000006</c:v>
                </c:pt>
                <c:pt idx="5">
                  <c:v>-30499.549999999996</c:v>
                </c:pt>
                <c:pt idx="6">
                  <c:v>-4999.88</c:v>
                </c:pt>
                <c:pt idx="7">
                  <c:v>1880.1499999999996</c:v>
                </c:pt>
                <c:pt idx="8">
                  <c:v>10866.740000000005</c:v>
                </c:pt>
                <c:pt idx="9">
                  <c:v>4427.9009500000029</c:v>
                </c:pt>
                <c:pt idx="10">
                  <c:v>-844.9433333333327</c:v>
                </c:pt>
                <c:pt idx="11">
                  <c:v>-2688.8600000000006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C6-40DE-BE19-308509CD8643}"/>
            </c:ext>
          </c:extLst>
        </c:ser>
        <c:ser>
          <c:idx val="3"/>
          <c:order val="3"/>
          <c:tx>
            <c:strRef>
              <c:f>'2024 Overview (Accrual Basis)'!$B$14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'2025 Overview (Accrual Basis)'!$C$10:$N$10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(Accrual Basis)'!$C$14:$N$14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112500</c:v>
                </c:pt>
                <c:pt idx="2">
                  <c:v>112500</c:v>
                </c:pt>
                <c:pt idx="3">
                  <c:v>0</c:v>
                </c:pt>
                <c:pt idx="4">
                  <c:v>82459.320000000007</c:v>
                </c:pt>
                <c:pt idx="5">
                  <c:v>10928.64</c:v>
                </c:pt>
                <c:pt idx="6">
                  <c:v>700</c:v>
                </c:pt>
                <c:pt idx="7">
                  <c:v>45897</c:v>
                </c:pt>
                <c:pt idx="8">
                  <c:v>49010.3</c:v>
                </c:pt>
                <c:pt idx="9">
                  <c:v>59081.11</c:v>
                </c:pt>
                <c:pt idx="10">
                  <c:v>22716.666666666664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C6-40DE-BE19-308509CD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(Cash Basis)'!$B$35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9.2332780427195425E-3"/>
                  <c:y val="-7.9784472810787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A8-4DEB-BD61-DC3343BA0C81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DF-4068-A055-309D82F8B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(Cash Basis)'!$C$35:$N$35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20509.540000000015</c:v>
                </c:pt>
                <c:pt idx="8">
                  <c:v>33227.020000000019</c:v>
                </c:pt>
                <c:pt idx="9">
                  <c:v>169214.67718884727</c:v>
                </c:pt>
                <c:pt idx="10">
                  <c:v>190769.46533662349</c:v>
                </c:pt>
                <c:pt idx="11">
                  <c:v>352788.93552211684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(Cash Basis)'!$B$36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(Cash Basis)'!$C$36:$N$36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-6790.4300000000021</c:v>
                </c:pt>
                <c:pt idx="8">
                  <c:v>12717.480000000007</c:v>
                </c:pt>
                <c:pt idx="9">
                  <c:v>135987.65718884725</c:v>
                </c:pt>
                <c:pt idx="10">
                  <c:v>21554.788147776213</c:v>
                </c:pt>
                <c:pt idx="11">
                  <c:v>162019.47018549335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F-4068-A055-309D82F8B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Overview (Rolling)'!$B$38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0690168201799681E-3"/>
                  <c:y val="-6.2987080404100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2-4F7E-8F52-2623870B8E65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2-4F7E-8F52-2623870B8E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 (Rolling)'!$C$38:$N$38</c:f>
              <c:numCache>
                <c:formatCode>_("$"* #,##0.00_);_("$"* \(#,##0.00\);_("$"* "-"??_);_(@_)</c:formatCode>
                <c:ptCount val="12"/>
                <c:pt idx="0">
                  <c:v>95197.939999999973</c:v>
                </c:pt>
                <c:pt idx="1">
                  <c:v>146721.93</c:v>
                </c:pt>
                <c:pt idx="2">
                  <c:v>152555.54</c:v>
                </c:pt>
                <c:pt idx="3">
                  <c:v>82418.3</c:v>
                </c:pt>
                <c:pt idx="4">
                  <c:v>53728.640000000014</c:v>
                </c:pt>
                <c:pt idx="5">
                  <c:v>44539.60000000002</c:v>
                </c:pt>
                <c:pt idx="6">
                  <c:v>27299.970000000019</c:v>
                </c:pt>
                <c:pt idx="7">
                  <c:v>20509.540000000015</c:v>
                </c:pt>
                <c:pt idx="8">
                  <c:v>33227.020000000019</c:v>
                </c:pt>
                <c:pt idx="9">
                  <c:v>169214.67718884727</c:v>
                </c:pt>
                <c:pt idx="10">
                  <c:v>190769.46533662349</c:v>
                </c:pt>
                <c:pt idx="11">
                  <c:v>352788.93552211684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Overview (Rolling)'!$B$39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Overview (Rolling)'!$C$39:$N$39</c:f>
              <c:numCache>
                <c:formatCode>_("$"* #,##0.00_);_("$"* \(#,##0.00\);_("$"* "-"??_);_(@_)</c:formatCode>
                <c:ptCount val="12"/>
                <c:pt idx="0">
                  <c:v>-99451.290000000008</c:v>
                </c:pt>
                <c:pt idx="1">
                  <c:v>51523.990000000005</c:v>
                </c:pt>
                <c:pt idx="2">
                  <c:v>5833.6100000000024</c:v>
                </c:pt>
                <c:pt idx="3">
                  <c:v>-70137.240000000005</c:v>
                </c:pt>
                <c:pt idx="4">
                  <c:v>-28689.659999999989</c:v>
                </c:pt>
                <c:pt idx="5">
                  <c:v>-9189.0399999999936</c:v>
                </c:pt>
                <c:pt idx="6">
                  <c:v>-17239.63</c:v>
                </c:pt>
                <c:pt idx="7">
                  <c:v>-6790.4300000000021</c:v>
                </c:pt>
                <c:pt idx="8">
                  <c:v>12717.480000000007</c:v>
                </c:pt>
                <c:pt idx="9">
                  <c:v>135987.65718884725</c:v>
                </c:pt>
                <c:pt idx="10">
                  <c:v>21554.788147776213</c:v>
                </c:pt>
                <c:pt idx="11">
                  <c:v>162019.47018549335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2-4F7E-8F52-2623870B8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 AOP'!$B$30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4.2760672807200294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2F-44A8-899B-C46B10C35ACC}"/>
                </c:ext>
              </c:extLst>
            </c:dLbl>
            <c:dLbl>
              <c:idx val="11"/>
              <c:layout>
                <c:manualLayout>
                  <c:x val="2.1380336403600147E-3"/>
                  <c:y val="-6.718692447224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2F-44A8-899B-C46B10C35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AOP'!$C$30:$N$30</c:f>
              <c:numCache>
                <c:formatCode>_("$"* #,##0.00_);_("$"* \(#,##0.00\);_("$"* "-"??_);_(@_)</c:formatCode>
                <c:ptCount val="12"/>
                <c:pt idx="0">
                  <c:v>583.93523734582402</c:v>
                </c:pt>
                <c:pt idx="1">
                  <c:v>3316.6412282455376</c:v>
                </c:pt>
                <c:pt idx="2">
                  <c:v>5497.8005183445657</c:v>
                </c:pt>
                <c:pt idx="3">
                  <c:v>3302.7836486269971</c:v>
                </c:pt>
                <c:pt idx="4">
                  <c:v>8871.8882385311808</c:v>
                </c:pt>
                <c:pt idx="5">
                  <c:v>13456.513174061729</c:v>
                </c:pt>
                <c:pt idx="6">
                  <c:v>18493.088487745135</c:v>
                </c:pt>
                <c:pt idx="7">
                  <c:v>19751.221462811165</c:v>
                </c:pt>
                <c:pt idx="8">
                  <c:v>23942.748287661394</c:v>
                </c:pt>
                <c:pt idx="9">
                  <c:v>24840.367955744099</c:v>
                </c:pt>
                <c:pt idx="10">
                  <c:v>26127.425582637512</c:v>
                </c:pt>
                <c:pt idx="11">
                  <c:v>27707.064622903279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'2024 AOP'!$B$31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'2024 AOP'!$C$31:$N$31</c:f>
              <c:numCache>
                <c:formatCode>_("$"* #,##0.00_);_("$"* \(#,##0.00\);_("$"* "-"??_);_(@_)</c:formatCode>
                <c:ptCount val="12"/>
                <c:pt idx="0">
                  <c:v>-413.08476265417585</c:v>
                </c:pt>
                <c:pt idx="1">
                  <c:v>2732.7059908997135</c:v>
                </c:pt>
                <c:pt idx="2">
                  <c:v>2181.1592900990277</c:v>
                </c:pt>
                <c:pt idx="3">
                  <c:v>-2195.0168697175686</c:v>
                </c:pt>
                <c:pt idx="4">
                  <c:v>5569.1045899041828</c:v>
                </c:pt>
                <c:pt idx="5">
                  <c:v>4584.6249355305481</c:v>
                </c:pt>
                <c:pt idx="6">
                  <c:v>5036.5753136834055</c:v>
                </c:pt>
                <c:pt idx="7">
                  <c:v>1258.1329750660307</c:v>
                </c:pt>
                <c:pt idx="8">
                  <c:v>4191.5268248502307</c:v>
                </c:pt>
                <c:pt idx="9">
                  <c:v>897.61966808270699</c:v>
                </c:pt>
                <c:pt idx="10">
                  <c:v>1287.0576268934128</c:v>
                </c:pt>
                <c:pt idx="11">
                  <c:v>1579.6390402657671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F-44A8-899B-C46B10C35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7924107028169"/>
          <c:y val="0.10736659038484334"/>
          <c:w val="0.84636868942359689"/>
          <c:h val="0.79457312570089622"/>
        </c:manualLayout>
      </c:layout>
      <c:barChart>
        <c:barDir val="col"/>
        <c:grouping val="stacked"/>
        <c:varyColors val="0"/>
        <c:ser>
          <c:idx val="0"/>
          <c:order val="0"/>
          <c:tx>
            <c:v>Rolling Forecast Net Operating Income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('Quarterly Overview'!$C$30,'Quarterly Overview'!$D$30,'Quarterly Overview'!$F$30,'Quarterly Overview'!$H$30)</c:f>
              <c:numCache>
                <c:formatCode>_("$"* #,##0_);_("$"* \(#,##0\);_("$"* "-"??_);_(@_)</c:formatCode>
                <c:ptCount val="4"/>
                <c:pt idx="0">
                  <c:v>30662.179999999978</c:v>
                </c:pt>
                <c:pt idx="1">
                  <c:v>-6324.4500000000007</c:v>
                </c:pt>
                <c:pt idx="2">
                  <c:v>7147.0100000000039</c:v>
                </c:pt>
                <c:pt idx="3">
                  <c:v>894.09761666668237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77B-4561-A637-A591BE703A2E}"/>
            </c:ext>
          </c:extLst>
        </c:ser>
        <c:ser>
          <c:idx val="2"/>
          <c:order val="1"/>
          <c:tx>
            <c:v>Rolling Forecast Gross Earnings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77B-4561-A637-A591BE703A2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77B-4561-A637-A591BE703A2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7B-4561-A637-A591BE703A2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7B-4561-A637-A591BE703A2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77B-4561-A637-A591BE703A2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77B-4561-A637-A591BE703A2E}"/>
              </c:ext>
            </c:extLst>
          </c:dPt>
          <c:cat>
            <c:strRef>
              <c:f>('Quarterly Overview'!$C$42,'Quarterly Overview'!$D$42,'Quarterly Overview'!$F$42,'Quarterly Overview'!$H$42)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Overview'!$C$22,'Quarterly Overview'!$D$22,'Quarterly Overview'!$F$22,'Quarterly Overview'!$H$22)</c:f>
              <c:numCache>
                <c:formatCode>_("$"* #,##0_);_("$"* \(#,##0\);_("$"* "-"??_);_(@_)</c:formatCode>
                <c:ptCount val="4"/>
                <c:pt idx="0">
                  <c:v>40534.789999999979</c:v>
                </c:pt>
                <c:pt idx="1">
                  <c:v>9298.8099999999977</c:v>
                </c:pt>
                <c:pt idx="2">
                  <c:v>17208.630000000005</c:v>
                </c:pt>
                <c:pt idx="3">
                  <c:v>13310.677616666682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93967"/>
        <c:axId val="493786287"/>
      </c:barChart>
      <c:lineChart>
        <c:grouping val="standard"/>
        <c:varyColors val="0"/>
        <c:ser>
          <c:idx val="7"/>
          <c:order val="2"/>
          <c:tx>
            <c:v>Rolling Forecast # of Bookings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77B-4561-A637-A591BE703A2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E77B-4561-A637-A591BE703A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7B-4561-A637-A591BE70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39</xdr:row>
      <xdr:rowOff>64770</xdr:rowOff>
    </xdr:from>
    <xdr:to>
      <xdr:col>14</xdr:col>
      <xdr:colOff>15240</xdr:colOff>
      <xdr:row>56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195943</xdr:colOff>
      <xdr:row>8</xdr:row>
      <xdr:rowOff>173874</xdr:rowOff>
    </xdr:from>
    <xdr:to>
      <xdr:col>21</xdr:col>
      <xdr:colOff>522514</xdr:colOff>
      <xdr:row>38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39477BC-5472-4623-98A7-FBCD133B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31297</xdr:colOff>
      <xdr:row>38</xdr:row>
      <xdr:rowOff>39904</xdr:rowOff>
    </xdr:from>
    <xdr:to>
      <xdr:col>21</xdr:col>
      <xdr:colOff>576944</xdr:colOff>
      <xdr:row>60</xdr:row>
      <xdr:rowOff>163285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C03399C4-7FFC-4FD7-BF8D-90E21854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65316</xdr:colOff>
      <xdr:row>3</xdr:row>
      <xdr:rowOff>10886</xdr:rowOff>
    </xdr:from>
    <xdr:to>
      <xdr:col>10</xdr:col>
      <xdr:colOff>696687</xdr:colOff>
      <xdr:row>8</xdr:row>
      <xdr:rowOff>66481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8F8B99-7642-4CC6-A74F-123956A3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7745" y="587829"/>
          <a:ext cx="2569028" cy="21021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2057400</xdr:colOff>
      <xdr:row>2</xdr:row>
      <xdr:rowOff>15240</xdr:rowOff>
    </xdr:from>
    <xdr:to>
      <xdr:col>2</xdr:col>
      <xdr:colOff>1527190</xdr:colOff>
      <xdr:row>8</xdr:row>
      <xdr:rowOff>179941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524797-4CA5-92F7-DB72-F597C010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381000"/>
          <a:ext cx="1633870" cy="12619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150496</xdr:colOff>
      <xdr:row>0</xdr:row>
      <xdr:rowOff>0</xdr:rowOff>
    </xdr:from>
    <xdr:to>
      <xdr:col>7</xdr:col>
      <xdr:colOff>670560</xdr:colOff>
      <xdr:row>6</xdr:row>
      <xdr:rowOff>130584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1386A-6343-41EF-B545-42E1F7B0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736" y="0"/>
          <a:ext cx="1312544" cy="1227864"/>
        </a:xfrm>
        <a:prstGeom prst="rect">
          <a:avLst/>
        </a:prstGeom>
      </xdr:spPr>
    </xdr:pic>
    <xdr:clientData/>
  </xdr:twoCellAnchor>
  <xdr:twoCellAnchor>
    <xdr:from>
      <xdr:col>0</xdr:col>
      <xdr:colOff>594360</xdr:colOff>
      <xdr:row>30</xdr:row>
      <xdr:rowOff>167640</xdr:rowOff>
    </xdr:from>
    <xdr:to>
      <xdr:col>14</xdr:col>
      <xdr:colOff>15735</xdr:colOff>
      <xdr:row>47</xdr:row>
      <xdr:rowOff>83078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A7A23-4236-4D55-94DE-E86D62B1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133350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0821EC92-FB64-D219-129D-24A83165B29B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133350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9FED39CD-029F-4DD4-C08D-2EA8F85B2E07}"/>
            </a:ext>
          </a:extLst>
        </xdr:cNvPr>
        <xdr:cNvSpPr>
          <a:spLocks noChangeAspect="1" noChangeArrowheads="1"/>
        </xdr:cNvSpPr>
      </xdr:nvSpPr>
      <xdr:spPr bwMode="auto">
        <a:xfrm>
          <a:off x="528066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133350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CC1C8F43-8FC0-5038-4614-3B2D3B804F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133350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5E74586C-8C2F-B6A0-AA45-E16884514E9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133350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BF53F71B-3658-DEE8-3355-4AF99872A7E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133350</xdr:rowOff>
    </xdr:to>
    <xdr:sp macro="" textlink="">
      <xdr:nvSpPr>
        <xdr:cNvPr id="11284" name="AutoShape 20">
          <a:extLst>
            <a:ext uri="{FF2B5EF4-FFF2-40B4-BE49-F238E27FC236}">
              <a16:creationId xmlns:a16="http://schemas.microsoft.com/office/drawing/2014/main" id="{4A9C1C57-E6C6-BA9F-EBBB-B41154C992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184296</xdr:colOff>
      <xdr:row>2</xdr:row>
      <xdr:rowOff>132626</xdr:rowOff>
    </xdr:from>
    <xdr:to>
      <xdr:col>2</xdr:col>
      <xdr:colOff>1134765</xdr:colOff>
      <xdr:row>9</xdr:row>
      <xdr:rowOff>54217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9CA60D-F747-069D-6428-C14F5753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14" y="524832"/>
          <a:ext cx="1555586" cy="1266297"/>
        </a:xfrm>
        <a:prstGeom prst="rect">
          <a:avLst/>
        </a:prstGeom>
      </xdr:spPr>
    </xdr:pic>
    <xdr:clientData/>
  </xdr:twoCellAnchor>
  <xdr:twoCellAnchor>
    <xdr:from>
      <xdr:col>13</xdr:col>
      <xdr:colOff>78441</xdr:colOff>
      <xdr:row>10</xdr:row>
      <xdr:rowOff>33618</xdr:rowOff>
    </xdr:from>
    <xdr:to>
      <xdr:col>24</xdr:col>
      <xdr:colOff>560295</xdr:colOff>
      <xdr:row>45</xdr:row>
      <xdr:rowOff>123266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3EF6-B9FD-4967-8EF3-7AD5E289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41</xdr:row>
      <xdr:rowOff>54427</xdr:rowOff>
    </xdr:from>
    <xdr:to>
      <xdr:col>15</xdr:col>
      <xdr:colOff>925286</xdr:colOff>
      <xdr:row>58</xdr:row>
      <xdr:rowOff>2694214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40FE-3261-4AA6-A634-C6B6D364C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1093196</xdr:colOff>
      <xdr:row>0</xdr:row>
      <xdr:rowOff>0</xdr:rowOff>
    </xdr:from>
    <xdr:to>
      <xdr:col>8</xdr:col>
      <xdr:colOff>73465</xdr:colOff>
      <xdr:row>6</xdr:row>
      <xdr:rowOff>182608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AFF12-A811-4A25-AD30-0FEE4B9FF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5839" y="0"/>
          <a:ext cx="1538412" cy="1325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</xdr:colOff>
      <xdr:row>40</xdr:row>
      <xdr:rowOff>87085</xdr:rowOff>
    </xdr:from>
    <xdr:to>
      <xdr:col>15</xdr:col>
      <xdr:colOff>870859</xdr:colOff>
      <xdr:row>57</xdr:row>
      <xdr:rowOff>2547256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0E64-2317-4D8E-9F42-7EDF8EEDA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592608</xdr:colOff>
      <xdr:row>0</xdr:row>
      <xdr:rowOff>34608</xdr:rowOff>
    </xdr:from>
    <xdr:to>
      <xdr:col>7</xdr:col>
      <xdr:colOff>923250</xdr:colOff>
      <xdr:row>7</xdr:row>
      <xdr:rowOff>17191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391E1-3101-49D2-A5F9-219281144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042" y="34608"/>
          <a:ext cx="1577662" cy="129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36</xdr:row>
      <xdr:rowOff>121920</xdr:rowOff>
    </xdr:from>
    <xdr:to>
      <xdr:col>15</xdr:col>
      <xdr:colOff>236715</xdr:colOff>
      <xdr:row>53</xdr:row>
      <xdr:rowOff>37358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38388-5275-46B2-B1DB-16D32F242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571500</xdr:colOff>
      <xdr:row>0</xdr:row>
      <xdr:rowOff>22860</xdr:rowOff>
    </xdr:from>
    <xdr:to>
      <xdr:col>7</xdr:col>
      <xdr:colOff>497466</xdr:colOff>
      <xdr:row>7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881EE-D273-40C8-86CC-09D691038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3760" y="22860"/>
          <a:ext cx="1632846" cy="12627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121920</xdr:rowOff>
    </xdr:from>
    <xdr:to>
      <xdr:col>14</xdr:col>
      <xdr:colOff>30975</xdr:colOff>
      <xdr:row>56</xdr:row>
      <xdr:rowOff>37358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026F9-39AC-4358-ABF9-DF86A8EA2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40B40-B191-4B32-9170-AACCCB7A0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0</xdr:row>
      <xdr:rowOff>76201</xdr:rowOff>
    </xdr:from>
    <xdr:to>
      <xdr:col>7</xdr:col>
      <xdr:colOff>190500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6A424-79DE-4C68-8EDF-B6CE634E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736" y="76201"/>
          <a:ext cx="1594484" cy="149161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31</xdr:row>
      <xdr:rowOff>144780</xdr:rowOff>
    </xdr:from>
    <xdr:to>
      <xdr:col>14</xdr:col>
      <xdr:colOff>69075</xdr:colOff>
      <xdr:row>48</xdr:row>
      <xdr:rowOff>60218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D4C0E-BF01-41EE-A154-B191349E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1" dT="2022-12-01T04:02:35.34" personId="{1EAB70DF-57F2-4E03-B78C-7A4DE89F3DCA}" id="{735C9239-FB8A-4B36-9D20-C68BC4D2B976}">
    <text>Tax Advice JMM Group LLC</text>
  </threadedComment>
  <threadedComment ref="T41" dT="2022-12-01T04:02:35.34" personId="{1EAB70DF-57F2-4E03-B78C-7A4DE89F3DCA}" id="{701A54C3-1B46-4893-BC62-B2EFF266C055}">
    <text>Offboarding JMM Group LLC</text>
  </threadedComment>
  <threadedComment ref="AD157" dT="2024-02-03T19:01:21.33" personId="{1EAB70DF-57F2-4E03-B78C-7A4DE89F3DCA}" id="{652DF29B-C80F-474D-9452-32A45BAD392F}">
    <text>Maximum $800 Distribution</text>
  </threadedComment>
  <threadedComment ref="AE157" dT="2024-01-11T04:17:29.88" personId="{1EAB70DF-57F2-4E03-B78C-7A4DE89F3DCA}" id="{973B5C3F-CC1C-478B-AAEB-95C45A193E9C}">
    <text>Estimated 2023 Tax Payment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21" t="str">
        <f>TEXT('Monthly Detail'!O3,"mmmm")</f>
        <v>December</v>
      </c>
      <c r="O10" s="51"/>
      <c r="P10" s="52" t="s">
        <v>0</v>
      </c>
    </row>
    <row r="11" spans="2:16" ht="1.5" customHeight="1" x14ac:dyDescent="0.3">
      <c r="B11" s="7"/>
      <c r="C11" s="72">
        <v>44592</v>
      </c>
      <c r="D11" s="72">
        <v>44620</v>
      </c>
      <c r="E11" s="72">
        <v>44651</v>
      </c>
      <c r="F11" s="72">
        <v>44681</v>
      </c>
      <c r="G11" s="72">
        <v>44712</v>
      </c>
      <c r="H11" s="72">
        <v>44742</v>
      </c>
      <c r="I11" s="72">
        <v>44773</v>
      </c>
      <c r="J11" s="72">
        <v>44804</v>
      </c>
      <c r="K11" s="72">
        <v>44834</v>
      </c>
      <c r="L11" s="72">
        <v>44865</v>
      </c>
      <c r="M11" s="72">
        <v>44895</v>
      </c>
      <c r="N11" s="122">
        <v>44926</v>
      </c>
    </row>
    <row r="12" spans="2:16" x14ac:dyDescent="0.3">
      <c r="B12" s="53" t="s">
        <v>51</v>
      </c>
      <c r="C12" s="54">
        <f>SUMIF('Monthly Detail'!$3:$3, '2022 Overview'!C$11, 'Monthly Detail'!8:8)</f>
        <v>0</v>
      </c>
      <c r="D12" s="54">
        <f>SUMIF('Monthly Detail'!$3:$3, '2022 Overview'!D$11, 'Monthly Detail'!8:8)</f>
        <v>0</v>
      </c>
      <c r="E12" s="54">
        <f>SUMIF('Monthly Detail'!$3:$3, '2022 Overview'!E$11, 'Monthly Detail'!8:8)</f>
        <v>0</v>
      </c>
      <c r="F12" s="54">
        <f>SUMIF('Monthly Detail'!$3:$3, '2022 Overview'!F$11, 'Monthly Detail'!8:8)</f>
        <v>0</v>
      </c>
      <c r="G12" s="54">
        <f>SUMIF('Monthly Detail'!$3:$3, '2022 Overview'!G$11, 'Monthly Detail'!8:8)</f>
        <v>0</v>
      </c>
      <c r="H12" s="54">
        <f>SUMIF('Monthly Detail'!$3:$3, '2022 Overview'!H$11, 'Monthly Detail'!8:8)</f>
        <v>0</v>
      </c>
      <c r="I12" s="54">
        <f>SUMIF('Monthly Detail'!$3:$3, '2022 Overview'!I$11, 'Monthly Detail'!8:8)</f>
        <v>0</v>
      </c>
      <c r="J12" s="54">
        <f>SUMIF('Monthly Detail'!$3:$3, '2022 Overview'!J$11, 'Monthly Detail'!8:8)</f>
        <v>0</v>
      </c>
      <c r="K12" s="54">
        <f>SUMIF('Monthly Detail'!$3:$3, '2022 Overview'!K$11, 'Monthly Detail'!8:8)</f>
        <v>0</v>
      </c>
      <c r="L12" s="54">
        <f>SUMIF('Monthly Detail'!$3:$3, '2022 Overview'!L$11, 'Monthly Detail'!8:8)</f>
        <v>0</v>
      </c>
      <c r="M12" s="54">
        <f>SUMIF('Monthly Detail'!$3:$3, '2022 Overview'!M$11, 'Monthly Detail'!8:8)</f>
        <v>0</v>
      </c>
      <c r="N12" s="123">
        <f>SUMIF('Monthly Detail'!$3:$3, '2022 Overview'!N$11, 'Monthly Detail'!8:8)</f>
        <v>0</v>
      </c>
      <c r="O12" s="54"/>
      <c r="P12" s="54">
        <f>SUM(C12:O12)</f>
        <v>0</v>
      </c>
    </row>
    <row r="13" spans="2:16" x14ac:dyDescent="0.3">
      <c r="B13" s="53" t="s">
        <v>158</v>
      </c>
      <c r="C13" s="54" t="e">
        <f>SUMIF('Monthly Detail'!$3:$3, '2022 Overview'!C$11, 'Monthly Detail'!#REF!)</f>
        <v>#REF!</v>
      </c>
      <c r="D13" s="54" t="e">
        <f>SUMIF('Monthly Detail'!$3:$3, '2022 Overview'!D$11, 'Monthly Detail'!#REF!)</f>
        <v>#REF!</v>
      </c>
      <c r="E13" s="54" t="e">
        <f>SUMIF('Monthly Detail'!$3:$3, '2022 Overview'!E$11, 'Monthly Detail'!#REF!)</f>
        <v>#REF!</v>
      </c>
      <c r="F13" s="54" t="e">
        <f>SUMIF('Monthly Detail'!$3:$3, '2022 Overview'!F$11, 'Monthly Detail'!#REF!)</f>
        <v>#REF!</v>
      </c>
      <c r="G13" s="54" t="e">
        <f>SUMIF('Monthly Detail'!$3:$3, '2022 Overview'!G$11, 'Monthly Detail'!#REF!)</f>
        <v>#REF!</v>
      </c>
      <c r="H13" s="54" t="e">
        <f>SUMIF('Monthly Detail'!$3:$3, '2022 Overview'!H$11, 'Monthly Detail'!#REF!)</f>
        <v>#REF!</v>
      </c>
      <c r="I13" s="54" t="e">
        <f>SUMIF('Monthly Detail'!$3:$3, '2022 Overview'!I$11, 'Monthly Detail'!#REF!)</f>
        <v>#REF!</v>
      </c>
      <c r="J13" s="54" t="e">
        <f>SUMIF('Monthly Detail'!$3:$3, '2022 Overview'!J$11, 'Monthly Detail'!#REF!)</f>
        <v>#REF!</v>
      </c>
      <c r="K13" s="54" t="e">
        <f>SUMIF('Monthly Detail'!$3:$3, '2022 Overview'!K$11, 'Monthly Detail'!#REF!)</f>
        <v>#REF!</v>
      </c>
      <c r="L13" s="54" t="e">
        <f>SUMIF('Monthly Detail'!$3:$3, '2022 Overview'!L$11, 'Monthly Detail'!#REF!)</f>
        <v>#REF!</v>
      </c>
      <c r="M13" s="109" t="e">
        <f>SUMIF('Monthly Detail'!$3:$3, '2022 Overview'!M$11, 'Monthly Detail'!#REF!)</f>
        <v>#REF!</v>
      </c>
      <c r="N13" s="123" t="e">
        <f>SUMIF('Monthly Detail'!$3:$3, '2022 Overview'!N$11, 'Monthly Detail'!#REF!)</f>
        <v>#REF!</v>
      </c>
      <c r="O13" s="54"/>
      <c r="P13" s="54"/>
    </row>
    <row r="14" spans="2:16" x14ac:dyDescent="0.3">
      <c r="B14" s="55" t="s">
        <v>3</v>
      </c>
      <c r="C14" s="55">
        <v>0.1</v>
      </c>
      <c r="D14" s="55">
        <v>0.1</v>
      </c>
      <c r="E14" s="55">
        <v>0.1</v>
      </c>
      <c r="F14" s="55">
        <v>0.1</v>
      </c>
      <c r="G14" s="55">
        <v>0.1</v>
      </c>
      <c r="H14" s="55">
        <v>0.1</v>
      </c>
      <c r="I14" s="55">
        <v>0.1</v>
      </c>
      <c r="J14" s="55" t="e">
        <f>SUM(J12:J13)</f>
        <v>#REF!</v>
      </c>
      <c r="K14" s="55" t="e">
        <f>SUM(K12:K13)</f>
        <v>#REF!</v>
      </c>
      <c r="L14" s="55" t="e">
        <f>SUM(L12:L13)</f>
        <v>#REF!</v>
      </c>
      <c r="M14" s="55" t="e">
        <f>SUM(M12:M13)</f>
        <v>#REF!</v>
      </c>
      <c r="N14" s="124" t="e">
        <f>SUM(N12:N13)</f>
        <v>#REF!</v>
      </c>
      <c r="O14" s="56"/>
      <c r="P14" s="55">
        <f>SUM(P12:P12)</f>
        <v>0</v>
      </c>
    </row>
    <row r="15" spans="2:16" x14ac:dyDescent="0.3">
      <c r="B15" s="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125"/>
      <c r="P15" s="57"/>
    </row>
    <row r="16" spans="2:16" ht="15.6" x14ac:dyDescent="0.3">
      <c r="B16" s="68" t="s">
        <v>149</v>
      </c>
      <c r="C16" s="69">
        <f>C14</f>
        <v>0.1</v>
      </c>
      <c r="D16" s="69">
        <f t="shared" ref="D16:N16" si="0">D14</f>
        <v>0.1</v>
      </c>
      <c r="E16" s="69">
        <f t="shared" si="0"/>
        <v>0.1</v>
      </c>
      <c r="F16" s="69">
        <f t="shared" si="0"/>
        <v>0.1</v>
      </c>
      <c r="G16" s="69">
        <f t="shared" si="0"/>
        <v>0.1</v>
      </c>
      <c r="H16" s="69">
        <f t="shared" si="0"/>
        <v>0.1</v>
      </c>
      <c r="I16" s="69">
        <f t="shared" si="0"/>
        <v>0.1</v>
      </c>
      <c r="J16" s="69" t="e">
        <f t="shared" si="0"/>
        <v>#REF!</v>
      </c>
      <c r="K16" s="69" t="e">
        <f t="shared" si="0"/>
        <v>#REF!</v>
      </c>
      <c r="L16" s="69" t="e">
        <f t="shared" si="0"/>
        <v>#REF!</v>
      </c>
      <c r="M16" s="69" t="e">
        <f t="shared" si="0"/>
        <v>#REF!</v>
      </c>
      <c r="N16" s="126" t="e">
        <f t="shared" si="0"/>
        <v>#REF!</v>
      </c>
      <c r="O16" s="58"/>
      <c r="P16" s="69">
        <f>P14</f>
        <v>0</v>
      </c>
    </row>
    <row r="17" spans="2:20" x14ac:dyDescent="0.3">
      <c r="B17" s="70" t="s">
        <v>150</v>
      </c>
      <c r="C17" s="71">
        <f t="shared" ref="C17:N17" si="1">C16/C14</f>
        <v>1</v>
      </c>
      <c r="D17" s="71">
        <f t="shared" si="1"/>
        <v>1</v>
      </c>
      <c r="E17" s="71">
        <f t="shared" si="1"/>
        <v>1</v>
      </c>
      <c r="F17" s="71">
        <f t="shared" si="1"/>
        <v>1</v>
      </c>
      <c r="G17" s="71">
        <f t="shared" si="1"/>
        <v>1</v>
      </c>
      <c r="H17" s="71">
        <f t="shared" si="1"/>
        <v>1</v>
      </c>
      <c r="I17" s="71">
        <f t="shared" si="1"/>
        <v>1</v>
      </c>
      <c r="J17" s="71" t="e">
        <f t="shared" si="1"/>
        <v>#REF!</v>
      </c>
      <c r="K17" s="71" t="e">
        <f t="shared" si="1"/>
        <v>#REF!</v>
      </c>
      <c r="L17" s="71" t="e">
        <f t="shared" si="1"/>
        <v>#REF!</v>
      </c>
      <c r="M17" s="71" t="e">
        <f t="shared" si="1"/>
        <v>#REF!</v>
      </c>
      <c r="N17" s="127" t="e">
        <f t="shared" si="1"/>
        <v>#REF!</v>
      </c>
      <c r="O17" s="7"/>
      <c r="P17" s="71" t="e">
        <f>P16/P14</f>
        <v>#DIV/0!</v>
      </c>
    </row>
    <row r="18" spans="2:20" x14ac:dyDescent="0.3">
      <c r="B18" s="7"/>
      <c r="N18" s="92"/>
    </row>
    <row r="19" spans="2:20" x14ac:dyDescent="0.3">
      <c r="B19" s="7" t="s">
        <v>186</v>
      </c>
      <c r="C19" s="54">
        <f>SUMIF('Monthly Detail'!$3:$3, '2023 Overview'!C$11, 'Monthly Detail'!$76:$76)</f>
        <v>1759.16</v>
      </c>
      <c r="D19" s="54">
        <f>SUMIF('Monthly Detail'!$3:$3, '2023 Overview'!D$11, 'Monthly Detail'!$76:$76)</f>
        <v>467.18</v>
      </c>
      <c r="E19" s="54">
        <f>SUMIF('Monthly Detail'!$3:$3, '2023 Overview'!E$11, 'Monthly Detail'!$76:$76)</f>
        <v>1525.78</v>
      </c>
      <c r="F19" s="54">
        <f>SUMIF('Monthly Detail'!$3:$3, '2023 Overview'!F$11, 'Monthly Detail'!$76:$76)</f>
        <v>598.99</v>
      </c>
      <c r="G19" s="54">
        <f>SUMIF('Monthly Detail'!$3:$3, '2023 Overview'!G$11, 'Monthly Detail'!$76:$76)</f>
        <v>2060.8900000000003</v>
      </c>
      <c r="H19" s="54">
        <f>SUMIF('Monthly Detail'!$3:$3, '2023 Overview'!H$11, 'Monthly Detail'!$76:$76)</f>
        <v>452.88</v>
      </c>
      <c r="I19" s="54">
        <f>SUMIF('Monthly Detail'!$3:$3, '2023 Overview'!I$11, 'Monthly Detail'!$76:$76)</f>
        <v>1445.7200000000003</v>
      </c>
      <c r="J19" s="54">
        <f>SUMIF('Monthly Detail'!$3:$3, '2023 Overview'!J$11, 'Monthly Detail'!$76:$76)</f>
        <v>1487.22</v>
      </c>
      <c r="K19" s="54">
        <f>SUMIF('Monthly Detail'!$3:$3, '2023 Overview'!K$11, 'Monthly Detail'!$76:$76)</f>
        <v>2209.94</v>
      </c>
      <c r="L19" s="54">
        <f>SUMIF('Monthly Detail'!$3:$3, '2023 Overview'!L$11, 'Monthly Detail'!$76:$76)</f>
        <v>630.27</v>
      </c>
      <c r="M19" s="54">
        <f>SUMIF('Monthly Detail'!$3:$3, '2023 Overview'!M$11, 'Monthly Detail'!$76:$76)</f>
        <v>2877.72</v>
      </c>
      <c r="N19" s="123">
        <f>SUMIF('Monthly Detail'!$3:$3, '2023 Overview'!N$11, 'Monthly Detail'!$76:$76)</f>
        <v>2283.2299999999996</v>
      </c>
      <c r="P19" s="54">
        <f>SUM(C19:O19)</f>
        <v>17798.98</v>
      </c>
      <c r="T19" s="1"/>
    </row>
    <row r="20" spans="2:20" x14ac:dyDescent="0.3">
      <c r="B20" s="7" t="s">
        <v>185</v>
      </c>
      <c r="C20" s="54">
        <f>SUMIF('Monthly Detail'!$3:$3, '2022 Overview'!C$11, 'Monthly Detail'!13:13)</f>
        <v>0</v>
      </c>
      <c r="D20" s="54">
        <f>SUMIF('Monthly Detail'!$3:$3, '2022 Overview'!D$11, 'Monthly Detail'!13:13)</f>
        <v>0</v>
      </c>
      <c r="E20" s="54">
        <f>SUMIF('Monthly Detail'!$3:$3, '2022 Overview'!E$11, 'Monthly Detail'!13:13)</f>
        <v>0</v>
      </c>
      <c r="F20" s="54">
        <f>SUMIF('Monthly Detail'!$3:$3, '2022 Overview'!F$11, 'Monthly Detail'!13:13)</f>
        <v>0</v>
      </c>
      <c r="G20" s="54">
        <f>SUMIF('Monthly Detail'!$3:$3, '2022 Overview'!G$11, 'Monthly Detail'!13:13)</f>
        <v>0</v>
      </c>
      <c r="H20" s="54">
        <f>SUMIF('Monthly Detail'!$3:$3, '2022 Overview'!H$11, 'Monthly Detail'!13:13)</f>
        <v>0</v>
      </c>
      <c r="I20" s="54">
        <f>SUMIF('Monthly Detail'!$3:$3, '2022 Overview'!I$11, 'Monthly Detail'!13:13)</f>
        <v>0</v>
      </c>
      <c r="J20" s="54">
        <f>SUMIF('Monthly Detail'!$3:$3, '2022 Overview'!J$11, 'Monthly Detail'!13:13)</f>
        <v>0</v>
      </c>
      <c r="K20" s="54">
        <f>SUMIF('Monthly Detail'!$3:$3, '2022 Overview'!K$11, 'Monthly Detail'!13:13)</f>
        <v>0</v>
      </c>
      <c r="L20" s="54">
        <f>SUMIF('Monthly Detail'!$3:$3, '2022 Overview'!L$11, 'Monthly Detail'!13:13)</f>
        <v>0</v>
      </c>
      <c r="M20" s="54">
        <f>SUMIF('Monthly Detail'!$3:$3, '2022 Overview'!M$11, 'Monthly Detail'!13:13)</f>
        <v>0</v>
      </c>
      <c r="N20" s="123">
        <f>SUMIF('Monthly Detail'!$3:$3, '2022 Overview'!N$11, 'Monthly Detail'!13:13)</f>
        <v>0</v>
      </c>
      <c r="P20" s="54">
        <f>SUM(C20:O20)</f>
        <v>0</v>
      </c>
      <c r="T20" s="1"/>
    </row>
    <row r="21" spans="2:20" x14ac:dyDescent="0.3">
      <c r="B21" s="59" t="s">
        <v>151</v>
      </c>
      <c r="C21" s="60">
        <f>SUM(C19:C20)</f>
        <v>1759.16</v>
      </c>
      <c r="D21" s="60">
        <f t="shared" ref="D21:N21" si="2">SUM(D19:D20)</f>
        <v>467.18</v>
      </c>
      <c r="E21" s="60">
        <f t="shared" si="2"/>
        <v>1525.78</v>
      </c>
      <c r="F21" s="60">
        <f t="shared" si="2"/>
        <v>598.99</v>
      </c>
      <c r="G21" s="60">
        <f t="shared" si="2"/>
        <v>2060.8900000000003</v>
      </c>
      <c r="H21" s="60">
        <f t="shared" si="2"/>
        <v>452.88</v>
      </c>
      <c r="I21" s="60">
        <f t="shared" si="2"/>
        <v>1445.7200000000003</v>
      </c>
      <c r="J21" s="60">
        <f t="shared" si="2"/>
        <v>1487.22</v>
      </c>
      <c r="K21" s="60">
        <f t="shared" si="2"/>
        <v>2209.94</v>
      </c>
      <c r="L21" s="60">
        <f t="shared" si="2"/>
        <v>630.27</v>
      </c>
      <c r="M21" s="60">
        <f t="shared" si="2"/>
        <v>2877.72</v>
      </c>
      <c r="N21" s="128">
        <f t="shared" si="2"/>
        <v>2283.2299999999996</v>
      </c>
      <c r="O21" s="61"/>
      <c r="P21" s="60">
        <f>SUM(P19:P20)</f>
        <v>17798.98</v>
      </c>
    </row>
    <row r="22" spans="2:20" ht="3" customHeight="1" x14ac:dyDescent="0.3">
      <c r="B22" s="7"/>
      <c r="N22" s="92"/>
    </row>
    <row r="23" spans="2:20" ht="15.6" x14ac:dyDescent="0.3">
      <c r="B23" s="68" t="s">
        <v>152</v>
      </c>
      <c r="C23" s="69">
        <f t="shared" ref="C23:N23" si="3">C16-C21</f>
        <v>-1759.0600000000002</v>
      </c>
      <c r="D23" s="69">
        <f t="shared" si="3"/>
        <v>-467.08</v>
      </c>
      <c r="E23" s="69">
        <f t="shared" si="3"/>
        <v>-1525.68</v>
      </c>
      <c r="F23" s="69">
        <f t="shared" si="3"/>
        <v>-598.89</v>
      </c>
      <c r="G23" s="69">
        <f t="shared" si="3"/>
        <v>-2060.7900000000004</v>
      </c>
      <c r="H23" s="69">
        <f t="shared" si="3"/>
        <v>-452.78</v>
      </c>
      <c r="I23" s="69">
        <f t="shared" si="3"/>
        <v>-1445.6200000000003</v>
      </c>
      <c r="J23" s="69" t="e">
        <f t="shared" si="3"/>
        <v>#REF!</v>
      </c>
      <c r="K23" s="69" t="e">
        <f t="shared" si="3"/>
        <v>#REF!</v>
      </c>
      <c r="L23" s="69" t="e">
        <f t="shared" si="3"/>
        <v>#REF!</v>
      </c>
      <c r="M23" s="69" t="e">
        <f t="shared" si="3"/>
        <v>#REF!</v>
      </c>
      <c r="N23" s="126" t="e">
        <f t="shared" si="3"/>
        <v>#REF!</v>
      </c>
      <c r="O23" s="58"/>
      <c r="P23" s="69">
        <f>P16-P21</f>
        <v>-17798.98</v>
      </c>
    </row>
    <row r="24" spans="2:20" x14ac:dyDescent="0.3">
      <c r="B24" s="70" t="s">
        <v>153</v>
      </c>
      <c r="C24" s="71">
        <f>C23/C14</f>
        <v>-17590.600000000002</v>
      </c>
      <c r="D24" s="71">
        <f t="shared" ref="D24:N24" si="4">D23/D14</f>
        <v>-4670.7999999999993</v>
      </c>
      <c r="E24" s="71">
        <f t="shared" si="4"/>
        <v>-15256.8</v>
      </c>
      <c r="F24" s="71">
        <f t="shared" si="4"/>
        <v>-5988.9</v>
      </c>
      <c r="G24" s="71">
        <f t="shared" si="4"/>
        <v>-20607.900000000001</v>
      </c>
      <c r="H24" s="71">
        <f t="shared" si="4"/>
        <v>-4527.7999999999993</v>
      </c>
      <c r="I24" s="71">
        <f t="shared" si="4"/>
        <v>-14456.200000000003</v>
      </c>
      <c r="J24" s="71" t="e">
        <f t="shared" si="4"/>
        <v>#REF!</v>
      </c>
      <c r="K24" s="71" t="e">
        <f t="shared" si="4"/>
        <v>#REF!</v>
      </c>
      <c r="L24" s="71" t="e">
        <f t="shared" si="4"/>
        <v>#REF!</v>
      </c>
      <c r="M24" s="71" t="e">
        <f t="shared" si="4"/>
        <v>#REF!</v>
      </c>
      <c r="N24" s="127" t="e">
        <f t="shared" si="4"/>
        <v>#REF!</v>
      </c>
      <c r="O24" s="7"/>
      <c r="P24" s="71" t="e">
        <f>P23/P14</f>
        <v>#DIV/0!</v>
      </c>
    </row>
    <row r="25" spans="2:20" ht="8.25" customHeight="1" x14ac:dyDescent="0.3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129"/>
      <c r="P25" s="63"/>
    </row>
    <row r="26" spans="2:20" x14ac:dyDescent="0.3">
      <c r="B26" s="7" t="s">
        <v>154</v>
      </c>
      <c r="C26" s="54">
        <f>SUMIF('Monthly Detail'!$3:$3, '2022 Overview'!C$11, 'Monthly Detail'!41:41)</f>
        <v>0</v>
      </c>
      <c r="D26" s="54">
        <f>SUMIF('Monthly Detail'!$3:$3, '2022 Overview'!D$11, 'Monthly Detail'!41:41)</f>
        <v>0</v>
      </c>
      <c r="E26" s="54">
        <f>SUMIF('Monthly Detail'!$3:$3, '2022 Overview'!E$11, 'Monthly Detail'!41:41)</f>
        <v>0</v>
      </c>
      <c r="F26" s="54">
        <f>SUMIF('Monthly Detail'!$3:$3, '2022 Overview'!F$11, 'Monthly Detail'!41:41)</f>
        <v>0</v>
      </c>
      <c r="G26" s="54">
        <f>SUMIF('Monthly Detail'!$3:$3, '2022 Overview'!G$11, 'Monthly Detail'!41:41)</f>
        <v>0</v>
      </c>
      <c r="H26" s="54">
        <f>SUMIF('Monthly Detail'!$3:$3, '2022 Overview'!H$11, 'Monthly Detail'!41:41)</f>
        <v>0</v>
      </c>
      <c r="I26" s="54">
        <f>SUMIF('Monthly Detail'!$3:$3, '2022 Overview'!I$11, 'Monthly Detail'!41:41)</f>
        <v>0</v>
      </c>
      <c r="J26" s="54">
        <f>SUMIF('Monthly Detail'!$3:$3, '2022 Overview'!J$11, 'Monthly Detail'!41:41)</f>
        <v>0</v>
      </c>
      <c r="K26" s="54">
        <f>SUMIF('Monthly Detail'!$3:$3, '2022 Overview'!K$11, 'Monthly Detail'!41:41)</f>
        <v>650</v>
      </c>
      <c r="L26" s="105">
        <f>SUMIF('Monthly Detail'!$3:$3, '2022 Overview'!L$11, 'Monthly Detail'!41:41)</f>
        <v>0</v>
      </c>
      <c r="M26" s="108">
        <f>SUMIF('Monthly Detail'!$3:$3, '2022 Overview'!M$11, 'Monthly Detail'!41:41)</f>
        <v>0</v>
      </c>
      <c r="N26" s="130">
        <f>SUMIF('Monthly Detail'!$3:$3, '2022 Overview'!N$11, 'Monthly Detail'!41:41)</f>
        <v>0</v>
      </c>
      <c r="O26" s="54"/>
      <c r="P26" s="105">
        <f>SUM(C26:O26)</f>
        <v>650</v>
      </c>
    </row>
    <row r="27" spans="2:20" ht="15.6" x14ac:dyDescent="0.3">
      <c r="B27" s="68" t="s">
        <v>12</v>
      </c>
      <c r="C27" s="69">
        <f t="shared" ref="C27:N27" si="5">C23+SUM(C26:C26)</f>
        <v>-1759.0600000000002</v>
      </c>
      <c r="D27" s="69">
        <f t="shared" si="5"/>
        <v>-467.08</v>
      </c>
      <c r="E27" s="69">
        <f t="shared" si="5"/>
        <v>-1525.68</v>
      </c>
      <c r="F27" s="69">
        <f t="shared" si="5"/>
        <v>-598.89</v>
      </c>
      <c r="G27" s="69">
        <f t="shared" si="5"/>
        <v>-2060.7900000000004</v>
      </c>
      <c r="H27" s="69">
        <f t="shared" si="5"/>
        <v>-452.78</v>
      </c>
      <c r="I27" s="69">
        <f t="shared" si="5"/>
        <v>-1445.6200000000003</v>
      </c>
      <c r="J27" s="69" t="e">
        <f t="shared" si="5"/>
        <v>#REF!</v>
      </c>
      <c r="K27" s="69" t="e">
        <f t="shared" si="5"/>
        <v>#REF!</v>
      </c>
      <c r="L27" s="69" t="e">
        <f t="shared" si="5"/>
        <v>#REF!</v>
      </c>
      <c r="M27" s="69" t="e">
        <f t="shared" si="5"/>
        <v>#REF!</v>
      </c>
      <c r="N27" s="126" t="e">
        <f t="shared" si="5"/>
        <v>#REF!</v>
      </c>
      <c r="O27" s="58"/>
      <c r="P27" s="69">
        <f>P23+SUM(P26:P26)</f>
        <v>-17148.98</v>
      </c>
    </row>
    <row r="28" spans="2:20" x14ac:dyDescent="0.3">
      <c r="B28" s="70" t="s">
        <v>155</v>
      </c>
      <c r="C28" s="71">
        <f t="shared" ref="C28:N28" si="6">C27/C14</f>
        <v>-17590.600000000002</v>
      </c>
      <c r="D28" s="71">
        <f t="shared" si="6"/>
        <v>-4670.7999999999993</v>
      </c>
      <c r="E28" s="71">
        <f t="shared" si="6"/>
        <v>-15256.8</v>
      </c>
      <c r="F28" s="71">
        <f t="shared" si="6"/>
        <v>-5988.9</v>
      </c>
      <c r="G28" s="71">
        <f t="shared" si="6"/>
        <v>-20607.900000000001</v>
      </c>
      <c r="H28" s="71">
        <f t="shared" si="6"/>
        <v>-4527.7999999999993</v>
      </c>
      <c r="I28" s="71">
        <f t="shared" si="6"/>
        <v>-14456.200000000003</v>
      </c>
      <c r="J28" s="71" t="e">
        <f t="shared" si="6"/>
        <v>#REF!</v>
      </c>
      <c r="K28" s="71" t="e">
        <f t="shared" si="6"/>
        <v>#REF!</v>
      </c>
      <c r="L28" s="71" t="e">
        <f t="shared" si="6"/>
        <v>#REF!</v>
      </c>
      <c r="M28" s="71" t="e">
        <f t="shared" si="6"/>
        <v>#REF!</v>
      </c>
      <c r="N28" s="127" t="e">
        <f t="shared" si="6"/>
        <v>#REF!</v>
      </c>
      <c r="O28" s="7"/>
      <c r="P28" s="71" t="e">
        <f>P27/P14</f>
        <v>#DIV/0!</v>
      </c>
    </row>
    <row r="29" spans="2:20" ht="15" thickBot="1" x14ac:dyDescent="0.35">
      <c r="B29" s="7"/>
      <c r="M29" s="88"/>
      <c r="N29" s="92"/>
    </row>
    <row r="30" spans="2:20" x14ac:dyDescent="0.3">
      <c r="B30" s="64" t="s">
        <v>156</v>
      </c>
      <c r="C30" s="65">
        <f>SUMIF('Monthly Detail'!$3:$3, '2022 Overview'!C$11, 'Monthly Detail'!179:179)</f>
        <v>0</v>
      </c>
      <c r="D30" s="65">
        <f>SUMIF('Monthly Detail'!$3:$3, '2022 Overview'!D$11, 'Monthly Detail'!179:179)</f>
        <v>0</v>
      </c>
      <c r="E30" s="65">
        <f>SUMIF('Monthly Detail'!$3:$3, '2022 Overview'!E$11, 'Monthly Detail'!179:179)</f>
        <v>0</v>
      </c>
      <c r="F30" s="65">
        <f>SUMIF('Monthly Detail'!$3:$3, '2022 Overview'!F$11, 'Monthly Detail'!179:179)</f>
        <v>99.999999999999986</v>
      </c>
      <c r="G30" s="65">
        <f>SUMIF('Monthly Detail'!$3:$3, '2022 Overview'!G$11, 'Monthly Detail'!179:179)</f>
        <v>99.999999999999986</v>
      </c>
      <c r="H30" s="65">
        <f>SUMIF('Monthly Detail'!$3:$3, '2022 Overview'!H$11, 'Monthly Detail'!179:179)</f>
        <v>99.999999999999986</v>
      </c>
      <c r="I30" s="65">
        <f>SUMIF('Monthly Detail'!$3:$3, '2022 Overview'!I$11, 'Monthly Detail'!179:179)</f>
        <v>1600</v>
      </c>
      <c r="J30" s="65">
        <f>SUMIF('Monthly Detail'!$3:$3, '2022 Overview'!J$11, 'Monthly Detail'!179:179)</f>
        <v>1399</v>
      </c>
      <c r="K30" s="65">
        <f>SUMIF('Monthly Detail'!$3:$3, '2022 Overview'!K$11, 'Monthly Detail'!179:179)</f>
        <v>280.5</v>
      </c>
      <c r="L30" s="65">
        <f>SUMIF('Monthly Detail'!$3:$3, '2022 Overview'!L$11, 'Monthly Detail'!179:179)</f>
        <v>329.2</v>
      </c>
      <c r="M30" s="65">
        <f>SUMIF('Monthly Detail'!$3:$3, '2022 Overview'!M$11, 'Monthly Detail'!179:179)</f>
        <v>118.19999999999999</v>
      </c>
      <c r="N30" s="131">
        <f>SUMIF('Monthly Detail'!$3:$3, '2022 Overview'!N$11, 'Monthly Detail'!179:179)</f>
        <v>307.81000000000012</v>
      </c>
    </row>
    <row r="31" spans="2:20" ht="15" thickBot="1" x14ac:dyDescent="0.35">
      <c r="B31" s="66" t="s">
        <v>157</v>
      </c>
      <c r="C31" s="67">
        <f>SUMIF('Monthly Detail'!$3:$3, '2022 Overview'!C$11, 'Monthly Detail'!164:164)</f>
        <v>0</v>
      </c>
      <c r="D31" s="67">
        <f>D30-C30</f>
        <v>0</v>
      </c>
      <c r="E31" s="67">
        <f t="shared" ref="E31:N31" si="7">E30-D30</f>
        <v>0</v>
      </c>
      <c r="F31" s="67">
        <f t="shared" si="7"/>
        <v>99.999999999999986</v>
      </c>
      <c r="G31" s="67">
        <f t="shared" si="7"/>
        <v>0</v>
      </c>
      <c r="H31" s="67">
        <f t="shared" si="7"/>
        <v>0</v>
      </c>
      <c r="I31" s="67">
        <f t="shared" si="7"/>
        <v>1500</v>
      </c>
      <c r="J31" s="67">
        <f t="shared" si="7"/>
        <v>-201</v>
      </c>
      <c r="K31" s="67">
        <f t="shared" si="7"/>
        <v>-1118.5</v>
      </c>
      <c r="L31" s="67">
        <f t="shared" si="7"/>
        <v>48.699999999999989</v>
      </c>
      <c r="M31" s="67">
        <f t="shared" si="7"/>
        <v>-211</v>
      </c>
      <c r="N31" s="132">
        <f t="shared" si="7"/>
        <v>189.61000000000013</v>
      </c>
    </row>
  </sheetData>
  <pageMargins left="0.7" right="0.7" top="0.75" bottom="0.75" header="0.3" footer="0.3"/>
  <pageSetup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E5DE-E402-4DAF-9028-8BF81CE628FE}">
  <sheetPr>
    <tabColor theme="1"/>
  </sheetPr>
  <dimension ref="A1:NG60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J5" sqref="J5"/>
    </sheetView>
  </sheetViews>
  <sheetFormatPr defaultRowHeight="14.4" outlineLevelCol="1" x14ac:dyDescent="0.3"/>
  <cols>
    <col min="1" max="1" width="37.33203125" bestFit="1" customWidth="1"/>
    <col min="2" max="2" width="35.33203125" bestFit="1" customWidth="1"/>
    <col min="3" max="3" width="7.33203125" customWidth="1"/>
    <col min="4" max="5" width="11.109375" hidden="1" customWidth="1" outlineLevel="1"/>
    <col min="6" max="8" width="9.6640625" hidden="1" customWidth="1" outlineLevel="1"/>
    <col min="9" max="9" width="10.5546875" hidden="1" customWidth="1" outlineLevel="1"/>
    <col min="10" max="10" width="10.5546875" bestFit="1" customWidth="1" collapsed="1"/>
    <col min="11" max="11" width="11.6640625" bestFit="1" customWidth="1"/>
    <col min="12" max="12" width="9.6640625" bestFit="1" customWidth="1"/>
    <col min="13" max="27" width="11.109375" bestFit="1" customWidth="1"/>
    <col min="28" max="34" width="10.6640625" bestFit="1" customWidth="1"/>
    <col min="35" max="35" width="11.109375" bestFit="1" customWidth="1"/>
    <col min="36" max="225" width="10.6640625" bestFit="1" customWidth="1"/>
    <col min="226" max="227" width="10.5546875" bestFit="1" customWidth="1"/>
    <col min="228" max="236" width="9.6640625" bestFit="1" customWidth="1"/>
    <col min="237" max="239" width="10.5546875" bestFit="1" customWidth="1"/>
    <col min="240" max="248" width="9.6640625" bestFit="1" customWidth="1"/>
    <col min="249" max="251" width="10.5546875" bestFit="1" customWidth="1"/>
    <col min="252" max="260" width="9.6640625" bestFit="1" customWidth="1"/>
    <col min="261" max="263" width="10.5546875" bestFit="1" customWidth="1"/>
    <col min="264" max="272" width="9.6640625" bestFit="1" customWidth="1"/>
    <col min="273" max="275" width="10.5546875" bestFit="1" customWidth="1"/>
    <col min="276" max="284" width="9.6640625" bestFit="1" customWidth="1"/>
    <col min="285" max="287" width="10.5546875" bestFit="1" customWidth="1"/>
    <col min="288" max="296" width="9.6640625" bestFit="1" customWidth="1"/>
    <col min="297" max="299" width="10.5546875" bestFit="1" customWidth="1"/>
    <col min="300" max="308" width="9.6640625" bestFit="1" customWidth="1"/>
    <col min="309" max="311" width="10.5546875" bestFit="1" customWidth="1"/>
    <col min="312" max="320" width="9.6640625" bestFit="1" customWidth="1"/>
    <col min="321" max="323" width="10.5546875" bestFit="1" customWidth="1"/>
    <col min="324" max="332" width="9.6640625" bestFit="1" customWidth="1"/>
    <col min="333" max="335" width="10.5546875" bestFit="1" customWidth="1"/>
    <col min="336" max="344" width="9.6640625" bestFit="1" customWidth="1"/>
    <col min="345" max="347" width="10.5546875" bestFit="1" customWidth="1"/>
    <col min="348" max="356" width="9.6640625" bestFit="1" customWidth="1"/>
    <col min="357" max="359" width="10.5546875" bestFit="1" customWidth="1"/>
    <col min="360" max="368" width="9.6640625" bestFit="1" customWidth="1"/>
    <col min="369" max="370" width="10.5546875" bestFit="1" customWidth="1"/>
    <col min="371" max="371" width="11.109375" bestFit="1" customWidth="1"/>
  </cols>
  <sheetData>
    <row r="1" spans="1:371" x14ac:dyDescent="0.3">
      <c r="D1" s="392">
        <f>YEAR(D2)</f>
        <v>2022</v>
      </c>
      <c r="E1" s="392">
        <f>YEAR(E2)</f>
        <v>2022</v>
      </c>
      <c r="F1" s="392">
        <f t="shared" ref="F1:BQ1" si="0">YEAR(F2)</f>
        <v>2022</v>
      </c>
      <c r="G1" s="392">
        <f t="shared" si="0"/>
        <v>2022</v>
      </c>
      <c r="H1" s="392">
        <f t="shared" si="0"/>
        <v>2022</v>
      </c>
      <c r="I1" s="392">
        <f t="shared" si="0"/>
        <v>2022</v>
      </c>
      <c r="J1" s="392">
        <f t="shared" si="0"/>
        <v>2022</v>
      </c>
      <c r="K1" s="392">
        <f t="shared" si="0"/>
        <v>2022</v>
      </c>
      <c r="L1" s="392">
        <f t="shared" si="0"/>
        <v>2023</v>
      </c>
      <c r="M1" s="392">
        <f t="shared" si="0"/>
        <v>2023</v>
      </c>
      <c r="N1" s="392">
        <f t="shared" si="0"/>
        <v>2023</v>
      </c>
      <c r="O1" s="392">
        <f t="shared" si="0"/>
        <v>2023</v>
      </c>
      <c r="P1" s="392">
        <f t="shared" si="0"/>
        <v>2023</v>
      </c>
      <c r="Q1" s="392">
        <f t="shared" si="0"/>
        <v>2023</v>
      </c>
      <c r="R1" s="392">
        <f t="shared" si="0"/>
        <v>2023</v>
      </c>
      <c r="S1" s="392">
        <f t="shared" si="0"/>
        <v>2023</v>
      </c>
      <c r="T1" s="392">
        <f t="shared" si="0"/>
        <v>2023</v>
      </c>
      <c r="U1" s="392">
        <f t="shared" si="0"/>
        <v>2023</v>
      </c>
      <c r="V1" s="392">
        <f t="shared" si="0"/>
        <v>2023</v>
      </c>
      <c r="W1" s="392">
        <f t="shared" si="0"/>
        <v>2023</v>
      </c>
      <c r="X1" s="392">
        <f t="shared" si="0"/>
        <v>2024</v>
      </c>
      <c r="Y1" s="392">
        <f t="shared" si="0"/>
        <v>2024</v>
      </c>
      <c r="Z1" s="392">
        <f t="shared" si="0"/>
        <v>2024</v>
      </c>
      <c r="AA1" s="392">
        <f t="shared" si="0"/>
        <v>2024</v>
      </c>
      <c r="AB1" s="392">
        <f t="shared" si="0"/>
        <v>2024</v>
      </c>
      <c r="AC1" s="392">
        <f t="shared" si="0"/>
        <v>2024</v>
      </c>
      <c r="AD1" s="392">
        <f t="shared" si="0"/>
        <v>2024</v>
      </c>
      <c r="AE1" s="392">
        <f t="shared" si="0"/>
        <v>2024</v>
      </c>
      <c r="AF1" s="392">
        <f t="shared" si="0"/>
        <v>2024</v>
      </c>
      <c r="AG1" s="392">
        <f t="shared" si="0"/>
        <v>2024</v>
      </c>
      <c r="AH1" s="392">
        <f t="shared" si="0"/>
        <v>2024</v>
      </c>
      <c r="AI1" s="392">
        <f t="shared" si="0"/>
        <v>2024</v>
      </c>
      <c r="AJ1" s="392">
        <f t="shared" si="0"/>
        <v>2025</v>
      </c>
      <c r="AK1" s="392">
        <f t="shared" si="0"/>
        <v>2025</v>
      </c>
      <c r="AL1" s="392">
        <f t="shared" si="0"/>
        <v>2025</v>
      </c>
      <c r="AM1" s="392">
        <f t="shared" si="0"/>
        <v>2025</v>
      </c>
      <c r="AN1" s="392">
        <f t="shared" si="0"/>
        <v>2025</v>
      </c>
      <c r="AO1" s="392">
        <f t="shared" si="0"/>
        <v>2025</v>
      </c>
      <c r="AP1" s="392">
        <f t="shared" si="0"/>
        <v>2025</v>
      </c>
      <c r="AQ1" s="392">
        <f t="shared" si="0"/>
        <v>2025</v>
      </c>
      <c r="AR1" s="392">
        <f t="shared" si="0"/>
        <v>2025</v>
      </c>
      <c r="AS1" s="392">
        <f t="shared" si="0"/>
        <v>2025</v>
      </c>
      <c r="AT1" s="392">
        <f t="shared" si="0"/>
        <v>2025</v>
      </c>
      <c r="AU1" s="392">
        <f t="shared" si="0"/>
        <v>2025</v>
      </c>
      <c r="AV1" s="392">
        <f t="shared" si="0"/>
        <v>2026</v>
      </c>
      <c r="AW1" s="392">
        <f t="shared" si="0"/>
        <v>2026</v>
      </c>
      <c r="AX1" s="392">
        <f t="shared" si="0"/>
        <v>2026</v>
      </c>
      <c r="AY1" s="392">
        <f t="shared" si="0"/>
        <v>2026</v>
      </c>
      <c r="AZ1" s="392">
        <f t="shared" si="0"/>
        <v>2026</v>
      </c>
      <c r="BA1" s="392">
        <f t="shared" si="0"/>
        <v>2026</v>
      </c>
      <c r="BB1" s="392">
        <f t="shared" si="0"/>
        <v>2026</v>
      </c>
      <c r="BC1" s="392">
        <f t="shared" si="0"/>
        <v>2026</v>
      </c>
      <c r="BD1" s="392">
        <f t="shared" si="0"/>
        <v>2026</v>
      </c>
      <c r="BE1" s="392">
        <f t="shared" si="0"/>
        <v>2026</v>
      </c>
      <c r="BF1" s="392">
        <f t="shared" si="0"/>
        <v>2026</v>
      </c>
      <c r="BG1" s="392">
        <f t="shared" si="0"/>
        <v>2026</v>
      </c>
      <c r="BH1" s="392">
        <f t="shared" si="0"/>
        <v>2027</v>
      </c>
      <c r="BI1" s="392">
        <f t="shared" si="0"/>
        <v>2027</v>
      </c>
      <c r="BJ1" s="392">
        <f t="shared" si="0"/>
        <v>2027</v>
      </c>
      <c r="BK1" s="392">
        <f t="shared" si="0"/>
        <v>2027</v>
      </c>
      <c r="BL1" s="392">
        <f t="shared" si="0"/>
        <v>2027</v>
      </c>
      <c r="BM1" s="392">
        <f t="shared" si="0"/>
        <v>2027</v>
      </c>
      <c r="BN1" s="392">
        <f t="shared" si="0"/>
        <v>2027</v>
      </c>
      <c r="BO1" s="392">
        <f t="shared" si="0"/>
        <v>2027</v>
      </c>
      <c r="BP1" s="392">
        <f t="shared" si="0"/>
        <v>2027</v>
      </c>
      <c r="BQ1" s="392">
        <f t="shared" si="0"/>
        <v>2027</v>
      </c>
      <c r="BR1" s="392">
        <f t="shared" ref="BR1:EC1" si="1">YEAR(BR2)</f>
        <v>2027</v>
      </c>
      <c r="BS1" s="392">
        <f t="shared" si="1"/>
        <v>2027</v>
      </c>
      <c r="BT1" s="392">
        <f t="shared" si="1"/>
        <v>2028</v>
      </c>
      <c r="BU1" s="392">
        <f t="shared" si="1"/>
        <v>2028</v>
      </c>
      <c r="BV1" s="392">
        <f t="shared" si="1"/>
        <v>2028</v>
      </c>
      <c r="BW1" s="392">
        <f t="shared" si="1"/>
        <v>2028</v>
      </c>
      <c r="BX1" s="392">
        <f t="shared" si="1"/>
        <v>2028</v>
      </c>
      <c r="BY1" s="392">
        <f t="shared" si="1"/>
        <v>2028</v>
      </c>
      <c r="BZ1" s="392">
        <f t="shared" si="1"/>
        <v>2028</v>
      </c>
      <c r="CA1" s="392">
        <f t="shared" si="1"/>
        <v>2028</v>
      </c>
      <c r="CB1" s="392">
        <f t="shared" si="1"/>
        <v>2028</v>
      </c>
      <c r="CC1" s="392">
        <f t="shared" si="1"/>
        <v>2028</v>
      </c>
      <c r="CD1" s="392">
        <f t="shared" si="1"/>
        <v>2028</v>
      </c>
      <c r="CE1" s="392">
        <f t="shared" si="1"/>
        <v>2028</v>
      </c>
      <c r="CF1" s="392">
        <f t="shared" si="1"/>
        <v>2029</v>
      </c>
      <c r="CG1" s="392">
        <f t="shared" si="1"/>
        <v>2029</v>
      </c>
      <c r="CH1" s="392">
        <f t="shared" si="1"/>
        <v>2029</v>
      </c>
      <c r="CI1" s="392">
        <f t="shared" si="1"/>
        <v>2029</v>
      </c>
      <c r="CJ1" s="392">
        <f t="shared" si="1"/>
        <v>2029</v>
      </c>
      <c r="CK1" s="392">
        <f t="shared" si="1"/>
        <v>2029</v>
      </c>
      <c r="CL1" s="392">
        <f t="shared" si="1"/>
        <v>2029</v>
      </c>
      <c r="CM1" s="392">
        <f t="shared" si="1"/>
        <v>2029</v>
      </c>
      <c r="CN1" s="392">
        <f t="shared" si="1"/>
        <v>2029</v>
      </c>
      <c r="CO1" s="392">
        <f t="shared" si="1"/>
        <v>2029</v>
      </c>
      <c r="CP1" s="392">
        <f t="shared" si="1"/>
        <v>2029</v>
      </c>
      <c r="CQ1" s="392">
        <f t="shared" si="1"/>
        <v>2029</v>
      </c>
      <c r="CR1" s="392">
        <f t="shared" si="1"/>
        <v>2030</v>
      </c>
      <c r="CS1" s="392">
        <f t="shared" si="1"/>
        <v>2030</v>
      </c>
      <c r="CT1" s="392">
        <f t="shared" si="1"/>
        <v>2030</v>
      </c>
      <c r="CU1" s="392">
        <f t="shared" si="1"/>
        <v>2030</v>
      </c>
      <c r="CV1" s="392">
        <f t="shared" si="1"/>
        <v>2030</v>
      </c>
      <c r="CW1" s="392">
        <f t="shared" si="1"/>
        <v>2030</v>
      </c>
      <c r="CX1" s="392">
        <f t="shared" si="1"/>
        <v>2030</v>
      </c>
      <c r="CY1" s="392">
        <f t="shared" si="1"/>
        <v>2030</v>
      </c>
      <c r="CZ1" s="392">
        <f t="shared" si="1"/>
        <v>2030</v>
      </c>
      <c r="DA1" s="392">
        <f t="shared" si="1"/>
        <v>2030</v>
      </c>
      <c r="DB1" s="392">
        <f t="shared" si="1"/>
        <v>2030</v>
      </c>
      <c r="DC1" s="392">
        <f t="shared" si="1"/>
        <v>2030</v>
      </c>
      <c r="DD1" s="392">
        <f t="shared" si="1"/>
        <v>2031</v>
      </c>
      <c r="DE1" s="392">
        <f t="shared" si="1"/>
        <v>2031</v>
      </c>
      <c r="DF1" s="392">
        <f t="shared" si="1"/>
        <v>2031</v>
      </c>
      <c r="DG1" s="392">
        <f t="shared" si="1"/>
        <v>2031</v>
      </c>
      <c r="DH1" s="392">
        <f t="shared" si="1"/>
        <v>2031</v>
      </c>
      <c r="DI1" s="392">
        <f t="shared" si="1"/>
        <v>2031</v>
      </c>
      <c r="DJ1" s="392">
        <f t="shared" si="1"/>
        <v>2031</v>
      </c>
      <c r="DK1" s="392">
        <f t="shared" si="1"/>
        <v>2031</v>
      </c>
      <c r="DL1" s="392">
        <f t="shared" si="1"/>
        <v>2031</v>
      </c>
      <c r="DM1" s="392">
        <f t="shared" si="1"/>
        <v>2031</v>
      </c>
      <c r="DN1" s="392">
        <f t="shared" si="1"/>
        <v>2031</v>
      </c>
      <c r="DO1" s="392">
        <f t="shared" si="1"/>
        <v>2031</v>
      </c>
      <c r="DP1" s="392">
        <f t="shared" si="1"/>
        <v>2032</v>
      </c>
      <c r="DQ1" s="392">
        <f t="shared" si="1"/>
        <v>2032</v>
      </c>
      <c r="DR1" s="392">
        <f t="shared" si="1"/>
        <v>2032</v>
      </c>
      <c r="DS1" s="392">
        <f t="shared" si="1"/>
        <v>2032</v>
      </c>
      <c r="DT1" s="392">
        <f t="shared" si="1"/>
        <v>2032</v>
      </c>
      <c r="DU1" s="392">
        <f t="shared" si="1"/>
        <v>2032</v>
      </c>
      <c r="DV1" s="392">
        <f t="shared" si="1"/>
        <v>2032</v>
      </c>
      <c r="DW1" s="392">
        <f t="shared" si="1"/>
        <v>2032</v>
      </c>
      <c r="DX1" s="392">
        <f t="shared" si="1"/>
        <v>2032</v>
      </c>
      <c r="DY1" s="392">
        <f t="shared" si="1"/>
        <v>2032</v>
      </c>
      <c r="DZ1" s="392">
        <f t="shared" si="1"/>
        <v>2032</v>
      </c>
      <c r="EA1" s="392">
        <f t="shared" si="1"/>
        <v>2032</v>
      </c>
      <c r="EB1" s="392">
        <f t="shared" si="1"/>
        <v>2033</v>
      </c>
      <c r="EC1" s="392">
        <f t="shared" si="1"/>
        <v>2033</v>
      </c>
      <c r="ED1" s="392">
        <f t="shared" ref="ED1:GO1" si="2">YEAR(ED2)</f>
        <v>2033</v>
      </c>
      <c r="EE1" s="392">
        <f t="shared" si="2"/>
        <v>2033</v>
      </c>
      <c r="EF1" s="392">
        <f t="shared" si="2"/>
        <v>2033</v>
      </c>
      <c r="EG1" s="392">
        <f t="shared" si="2"/>
        <v>2033</v>
      </c>
      <c r="EH1" s="392">
        <f t="shared" si="2"/>
        <v>2033</v>
      </c>
      <c r="EI1" s="392">
        <f t="shared" si="2"/>
        <v>2033</v>
      </c>
      <c r="EJ1" s="392">
        <f t="shared" si="2"/>
        <v>2033</v>
      </c>
      <c r="EK1" s="392">
        <f t="shared" si="2"/>
        <v>2033</v>
      </c>
      <c r="EL1" s="392">
        <f t="shared" si="2"/>
        <v>2033</v>
      </c>
      <c r="EM1" s="392">
        <f t="shared" si="2"/>
        <v>2033</v>
      </c>
      <c r="EN1" s="392">
        <f t="shared" si="2"/>
        <v>2034</v>
      </c>
      <c r="EO1" s="392">
        <f t="shared" si="2"/>
        <v>2034</v>
      </c>
      <c r="EP1" s="392">
        <f t="shared" si="2"/>
        <v>2034</v>
      </c>
      <c r="EQ1" s="392">
        <f t="shared" si="2"/>
        <v>2034</v>
      </c>
      <c r="ER1" s="392">
        <f t="shared" si="2"/>
        <v>2034</v>
      </c>
      <c r="ES1" s="392">
        <f t="shared" si="2"/>
        <v>2034</v>
      </c>
      <c r="ET1" s="392">
        <f t="shared" si="2"/>
        <v>2034</v>
      </c>
      <c r="EU1" s="392">
        <f t="shared" si="2"/>
        <v>2034</v>
      </c>
      <c r="EV1" s="392">
        <f t="shared" si="2"/>
        <v>2034</v>
      </c>
      <c r="EW1" s="392">
        <f t="shared" si="2"/>
        <v>2034</v>
      </c>
      <c r="EX1" s="392">
        <f t="shared" si="2"/>
        <v>2034</v>
      </c>
      <c r="EY1" s="392">
        <f t="shared" si="2"/>
        <v>2034</v>
      </c>
      <c r="EZ1" s="392">
        <f t="shared" si="2"/>
        <v>2035</v>
      </c>
      <c r="FA1" s="392">
        <f t="shared" si="2"/>
        <v>2035</v>
      </c>
      <c r="FB1" s="392">
        <f t="shared" si="2"/>
        <v>2035</v>
      </c>
      <c r="FC1" s="392">
        <f t="shared" si="2"/>
        <v>2035</v>
      </c>
      <c r="FD1" s="392">
        <f t="shared" si="2"/>
        <v>2035</v>
      </c>
      <c r="FE1" s="392">
        <f t="shared" si="2"/>
        <v>2035</v>
      </c>
      <c r="FF1" s="392">
        <f t="shared" si="2"/>
        <v>2035</v>
      </c>
      <c r="FG1" s="392">
        <f t="shared" si="2"/>
        <v>2035</v>
      </c>
      <c r="FH1" s="392">
        <f t="shared" si="2"/>
        <v>2035</v>
      </c>
      <c r="FI1" s="392">
        <f t="shared" si="2"/>
        <v>2035</v>
      </c>
      <c r="FJ1" s="392">
        <f t="shared" si="2"/>
        <v>2035</v>
      </c>
      <c r="FK1" s="392">
        <f t="shared" si="2"/>
        <v>2035</v>
      </c>
      <c r="FL1" s="392">
        <f t="shared" si="2"/>
        <v>2036</v>
      </c>
      <c r="FM1" s="392">
        <f t="shared" si="2"/>
        <v>2036</v>
      </c>
      <c r="FN1" s="392">
        <f t="shared" si="2"/>
        <v>2036</v>
      </c>
      <c r="FO1" s="392">
        <f t="shared" si="2"/>
        <v>2036</v>
      </c>
      <c r="FP1" s="392">
        <f t="shared" si="2"/>
        <v>2036</v>
      </c>
      <c r="FQ1" s="392">
        <f t="shared" si="2"/>
        <v>2036</v>
      </c>
      <c r="FR1" s="392">
        <f t="shared" si="2"/>
        <v>2036</v>
      </c>
      <c r="FS1" s="392">
        <f t="shared" si="2"/>
        <v>2036</v>
      </c>
      <c r="FT1" s="392">
        <f t="shared" si="2"/>
        <v>2036</v>
      </c>
      <c r="FU1" s="392">
        <f t="shared" si="2"/>
        <v>2036</v>
      </c>
      <c r="FV1" s="392">
        <f t="shared" si="2"/>
        <v>2036</v>
      </c>
      <c r="FW1" s="392">
        <f t="shared" si="2"/>
        <v>2036</v>
      </c>
      <c r="FX1" s="392">
        <f t="shared" si="2"/>
        <v>2037</v>
      </c>
      <c r="FY1" s="392">
        <f t="shared" si="2"/>
        <v>2037</v>
      </c>
      <c r="FZ1" s="392">
        <f t="shared" si="2"/>
        <v>2037</v>
      </c>
      <c r="GA1" s="392">
        <f t="shared" si="2"/>
        <v>2037</v>
      </c>
      <c r="GB1" s="392">
        <f t="shared" si="2"/>
        <v>2037</v>
      </c>
      <c r="GC1" s="392">
        <f t="shared" si="2"/>
        <v>2037</v>
      </c>
      <c r="GD1" s="392">
        <f t="shared" si="2"/>
        <v>2037</v>
      </c>
      <c r="GE1" s="392">
        <f t="shared" si="2"/>
        <v>2037</v>
      </c>
      <c r="GF1" s="392">
        <f t="shared" si="2"/>
        <v>2037</v>
      </c>
      <c r="GG1" s="392">
        <f t="shared" si="2"/>
        <v>2037</v>
      </c>
      <c r="GH1" s="392">
        <f t="shared" si="2"/>
        <v>2037</v>
      </c>
      <c r="GI1" s="392">
        <f t="shared" si="2"/>
        <v>2037</v>
      </c>
      <c r="GJ1" s="392">
        <f t="shared" si="2"/>
        <v>2038</v>
      </c>
      <c r="GK1" s="392">
        <f t="shared" si="2"/>
        <v>2038</v>
      </c>
      <c r="GL1" s="392">
        <f t="shared" si="2"/>
        <v>2038</v>
      </c>
      <c r="GM1" s="392">
        <f t="shared" si="2"/>
        <v>2038</v>
      </c>
      <c r="GN1" s="392">
        <f t="shared" si="2"/>
        <v>2038</v>
      </c>
      <c r="GO1" s="392">
        <f t="shared" si="2"/>
        <v>2038</v>
      </c>
      <c r="GP1" s="392">
        <f t="shared" ref="GP1:JA1" si="3">YEAR(GP2)</f>
        <v>2038</v>
      </c>
      <c r="GQ1" s="392">
        <f t="shared" si="3"/>
        <v>2038</v>
      </c>
      <c r="GR1" s="392">
        <f t="shared" si="3"/>
        <v>2038</v>
      </c>
      <c r="GS1" s="392">
        <f t="shared" si="3"/>
        <v>2038</v>
      </c>
      <c r="GT1" s="392">
        <f t="shared" si="3"/>
        <v>2038</v>
      </c>
      <c r="GU1" s="392">
        <f t="shared" si="3"/>
        <v>2038</v>
      </c>
      <c r="GV1" s="392">
        <f t="shared" si="3"/>
        <v>2039</v>
      </c>
      <c r="GW1" s="392">
        <f t="shared" si="3"/>
        <v>2039</v>
      </c>
      <c r="GX1" s="392">
        <f t="shared" si="3"/>
        <v>2039</v>
      </c>
      <c r="GY1" s="392">
        <f t="shared" si="3"/>
        <v>2039</v>
      </c>
      <c r="GZ1" s="392">
        <f t="shared" si="3"/>
        <v>2039</v>
      </c>
      <c r="HA1" s="392">
        <f t="shared" si="3"/>
        <v>2039</v>
      </c>
      <c r="HB1" s="392">
        <f t="shared" si="3"/>
        <v>2039</v>
      </c>
      <c r="HC1" s="392">
        <f t="shared" si="3"/>
        <v>2039</v>
      </c>
      <c r="HD1" s="392">
        <f t="shared" si="3"/>
        <v>2039</v>
      </c>
      <c r="HE1" s="392">
        <f t="shared" si="3"/>
        <v>2039</v>
      </c>
      <c r="HF1" s="392">
        <f t="shared" si="3"/>
        <v>2039</v>
      </c>
      <c r="HG1" s="392">
        <f t="shared" si="3"/>
        <v>2039</v>
      </c>
      <c r="HH1" s="392">
        <f t="shared" si="3"/>
        <v>2040</v>
      </c>
      <c r="HI1" s="392">
        <f t="shared" si="3"/>
        <v>2040</v>
      </c>
      <c r="HJ1" s="392">
        <f t="shared" si="3"/>
        <v>2040</v>
      </c>
      <c r="HK1" s="392">
        <f t="shared" si="3"/>
        <v>2040</v>
      </c>
      <c r="HL1" s="392">
        <f t="shared" si="3"/>
        <v>2040</v>
      </c>
      <c r="HM1" s="392">
        <f t="shared" si="3"/>
        <v>2040</v>
      </c>
      <c r="HN1" s="392">
        <f t="shared" si="3"/>
        <v>2040</v>
      </c>
      <c r="HO1" s="392">
        <f t="shared" si="3"/>
        <v>2040</v>
      </c>
      <c r="HP1" s="392">
        <f t="shared" si="3"/>
        <v>2040</v>
      </c>
      <c r="HQ1" s="392">
        <f t="shared" si="3"/>
        <v>2040</v>
      </c>
      <c r="HR1" s="392">
        <f t="shared" si="3"/>
        <v>2040</v>
      </c>
      <c r="HS1" s="392">
        <f t="shared" si="3"/>
        <v>2040</v>
      </c>
      <c r="HT1" s="392">
        <f t="shared" si="3"/>
        <v>2041</v>
      </c>
      <c r="HU1" s="392">
        <f t="shared" si="3"/>
        <v>2041</v>
      </c>
      <c r="HV1" s="392">
        <f t="shared" si="3"/>
        <v>2041</v>
      </c>
      <c r="HW1" s="392">
        <f t="shared" si="3"/>
        <v>2041</v>
      </c>
      <c r="HX1" s="392">
        <f t="shared" si="3"/>
        <v>2041</v>
      </c>
      <c r="HY1" s="392">
        <f t="shared" si="3"/>
        <v>2041</v>
      </c>
      <c r="HZ1" s="392">
        <f t="shared" si="3"/>
        <v>2041</v>
      </c>
      <c r="IA1" s="392">
        <f t="shared" si="3"/>
        <v>2041</v>
      </c>
      <c r="IB1" s="392">
        <f t="shared" si="3"/>
        <v>2041</v>
      </c>
      <c r="IC1" s="392">
        <f t="shared" si="3"/>
        <v>2041</v>
      </c>
      <c r="ID1" s="392">
        <f t="shared" si="3"/>
        <v>2041</v>
      </c>
      <c r="IE1" s="392">
        <f t="shared" si="3"/>
        <v>2041</v>
      </c>
      <c r="IF1" s="392">
        <f t="shared" si="3"/>
        <v>2042</v>
      </c>
      <c r="IG1" s="392">
        <f t="shared" si="3"/>
        <v>2042</v>
      </c>
      <c r="IH1" s="392">
        <f t="shared" si="3"/>
        <v>2042</v>
      </c>
      <c r="II1" s="392">
        <f t="shared" si="3"/>
        <v>2042</v>
      </c>
      <c r="IJ1" s="392">
        <f t="shared" si="3"/>
        <v>2042</v>
      </c>
      <c r="IK1" s="392">
        <f t="shared" si="3"/>
        <v>2042</v>
      </c>
      <c r="IL1" s="392">
        <f t="shared" si="3"/>
        <v>2042</v>
      </c>
      <c r="IM1" s="392">
        <f t="shared" si="3"/>
        <v>2042</v>
      </c>
      <c r="IN1" s="392">
        <f t="shared" si="3"/>
        <v>2042</v>
      </c>
      <c r="IO1" s="392">
        <f t="shared" si="3"/>
        <v>2042</v>
      </c>
      <c r="IP1" s="392">
        <f t="shared" si="3"/>
        <v>2042</v>
      </c>
      <c r="IQ1" s="392">
        <f t="shared" si="3"/>
        <v>2042</v>
      </c>
      <c r="IR1" s="392">
        <f t="shared" si="3"/>
        <v>2043</v>
      </c>
      <c r="IS1" s="392">
        <f t="shared" si="3"/>
        <v>2043</v>
      </c>
      <c r="IT1" s="392">
        <f t="shared" si="3"/>
        <v>2043</v>
      </c>
      <c r="IU1" s="392">
        <f t="shared" si="3"/>
        <v>2043</v>
      </c>
      <c r="IV1" s="392">
        <f t="shared" si="3"/>
        <v>2043</v>
      </c>
      <c r="IW1" s="392">
        <f t="shared" si="3"/>
        <v>2043</v>
      </c>
      <c r="IX1" s="392">
        <f t="shared" si="3"/>
        <v>2043</v>
      </c>
      <c r="IY1" s="392">
        <f t="shared" si="3"/>
        <v>2043</v>
      </c>
      <c r="IZ1" s="392">
        <f t="shared" si="3"/>
        <v>2043</v>
      </c>
      <c r="JA1" s="392">
        <f t="shared" si="3"/>
        <v>2043</v>
      </c>
      <c r="JB1" s="392">
        <f t="shared" ref="JB1:LM1" si="4">YEAR(JB2)</f>
        <v>2043</v>
      </c>
      <c r="JC1" s="392">
        <f t="shared" si="4"/>
        <v>2043</v>
      </c>
      <c r="JD1" s="392">
        <f t="shared" si="4"/>
        <v>2044</v>
      </c>
      <c r="JE1" s="392">
        <f t="shared" si="4"/>
        <v>2044</v>
      </c>
      <c r="JF1" s="392">
        <f t="shared" si="4"/>
        <v>2044</v>
      </c>
      <c r="JG1" s="392">
        <f t="shared" si="4"/>
        <v>2044</v>
      </c>
      <c r="JH1" s="392">
        <f t="shared" si="4"/>
        <v>2044</v>
      </c>
      <c r="JI1" s="392">
        <f t="shared" si="4"/>
        <v>2044</v>
      </c>
      <c r="JJ1" s="392">
        <f t="shared" si="4"/>
        <v>2044</v>
      </c>
      <c r="JK1" s="392">
        <f t="shared" si="4"/>
        <v>2044</v>
      </c>
      <c r="JL1" s="392">
        <f t="shared" si="4"/>
        <v>2044</v>
      </c>
      <c r="JM1" s="392">
        <f t="shared" si="4"/>
        <v>2044</v>
      </c>
      <c r="JN1" s="392">
        <f t="shared" si="4"/>
        <v>2044</v>
      </c>
      <c r="JO1" s="392">
        <f t="shared" si="4"/>
        <v>2044</v>
      </c>
      <c r="JP1" s="392">
        <f t="shared" si="4"/>
        <v>2045</v>
      </c>
      <c r="JQ1" s="392">
        <f t="shared" si="4"/>
        <v>2045</v>
      </c>
      <c r="JR1" s="392">
        <f t="shared" si="4"/>
        <v>2045</v>
      </c>
      <c r="JS1" s="392">
        <f t="shared" si="4"/>
        <v>2045</v>
      </c>
      <c r="JT1" s="392">
        <f t="shared" si="4"/>
        <v>2045</v>
      </c>
      <c r="JU1" s="392">
        <f t="shared" si="4"/>
        <v>2045</v>
      </c>
      <c r="JV1" s="392">
        <f t="shared" si="4"/>
        <v>2045</v>
      </c>
      <c r="JW1" s="392">
        <f t="shared" si="4"/>
        <v>2045</v>
      </c>
      <c r="JX1" s="392">
        <f t="shared" si="4"/>
        <v>2045</v>
      </c>
      <c r="JY1" s="392">
        <f t="shared" si="4"/>
        <v>2045</v>
      </c>
      <c r="JZ1" s="392">
        <f t="shared" si="4"/>
        <v>2045</v>
      </c>
      <c r="KA1" s="392">
        <f t="shared" si="4"/>
        <v>2045</v>
      </c>
      <c r="KB1" s="392">
        <f t="shared" si="4"/>
        <v>2046</v>
      </c>
      <c r="KC1" s="392">
        <f t="shared" si="4"/>
        <v>2046</v>
      </c>
      <c r="KD1" s="392">
        <f t="shared" si="4"/>
        <v>2046</v>
      </c>
      <c r="KE1" s="392">
        <f t="shared" si="4"/>
        <v>2046</v>
      </c>
      <c r="KF1" s="392">
        <f t="shared" si="4"/>
        <v>2046</v>
      </c>
      <c r="KG1" s="392">
        <f t="shared" si="4"/>
        <v>2046</v>
      </c>
      <c r="KH1" s="392">
        <f t="shared" si="4"/>
        <v>2046</v>
      </c>
      <c r="KI1" s="392">
        <f t="shared" si="4"/>
        <v>2046</v>
      </c>
      <c r="KJ1" s="392">
        <f t="shared" si="4"/>
        <v>2046</v>
      </c>
      <c r="KK1" s="392">
        <f t="shared" si="4"/>
        <v>2046</v>
      </c>
      <c r="KL1" s="392">
        <f t="shared" si="4"/>
        <v>2046</v>
      </c>
      <c r="KM1" s="392">
        <f t="shared" si="4"/>
        <v>2046</v>
      </c>
      <c r="KN1" s="392">
        <f t="shared" si="4"/>
        <v>2047</v>
      </c>
      <c r="KO1" s="392">
        <f t="shared" si="4"/>
        <v>2047</v>
      </c>
      <c r="KP1" s="392">
        <f t="shared" si="4"/>
        <v>2047</v>
      </c>
      <c r="KQ1" s="392">
        <f t="shared" si="4"/>
        <v>2047</v>
      </c>
      <c r="KR1" s="392">
        <f t="shared" si="4"/>
        <v>2047</v>
      </c>
      <c r="KS1" s="392">
        <f t="shared" si="4"/>
        <v>2047</v>
      </c>
      <c r="KT1" s="392">
        <f t="shared" si="4"/>
        <v>2047</v>
      </c>
      <c r="KU1" s="392">
        <f t="shared" si="4"/>
        <v>2047</v>
      </c>
      <c r="KV1" s="392">
        <f t="shared" si="4"/>
        <v>2047</v>
      </c>
      <c r="KW1" s="392">
        <f t="shared" si="4"/>
        <v>2047</v>
      </c>
      <c r="KX1" s="392">
        <f t="shared" si="4"/>
        <v>2047</v>
      </c>
      <c r="KY1" s="392">
        <f t="shared" si="4"/>
        <v>2047</v>
      </c>
      <c r="KZ1" s="392">
        <f t="shared" si="4"/>
        <v>2048</v>
      </c>
      <c r="LA1" s="392">
        <f t="shared" si="4"/>
        <v>2048</v>
      </c>
      <c r="LB1" s="392">
        <f t="shared" si="4"/>
        <v>2048</v>
      </c>
      <c r="LC1" s="392">
        <f t="shared" si="4"/>
        <v>2048</v>
      </c>
      <c r="LD1" s="392">
        <f t="shared" si="4"/>
        <v>2048</v>
      </c>
      <c r="LE1" s="392">
        <f t="shared" si="4"/>
        <v>2048</v>
      </c>
      <c r="LF1" s="392">
        <f t="shared" si="4"/>
        <v>2048</v>
      </c>
      <c r="LG1" s="392">
        <f t="shared" si="4"/>
        <v>2048</v>
      </c>
      <c r="LH1" s="392">
        <f t="shared" si="4"/>
        <v>2048</v>
      </c>
      <c r="LI1" s="392">
        <f t="shared" si="4"/>
        <v>2048</v>
      </c>
      <c r="LJ1" s="392">
        <f t="shared" si="4"/>
        <v>2048</v>
      </c>
      <c r="LK1" s="392">
        <f t="shared" si="4"/>
        <v>2048</v>
      </c>
      <c r="LL1" s="392">
        <f t="shared" si="4"/>
        <v>2049</v>
      </c>
      <c r="LM1" s="392">
        <f t="shared" si="4"/>
        <v>2049</v>
      </c>
      <c r="LN1" s="392">
        <f t="shared" ref="LN1:NG1" si="5">YEAR(LN2)</f>
        <v>2049</v>
      </c>
      <c r="LO1" s="392">
        <f t="shared" si="5"/>
        <v>2049</v>
      </c>
      <c r="LP1" s="392">
        <f t="shared" si="5"/>
        <v>2049</v>
      </c>
      <c r="LQ1" s="392">
        <f t="shared" si="5"/>
        <v>2049</v>
      </c>
      <c r="LR1" s="392">
        <f t="shared" si="5"/>
        <v>2049</v>
      </c>
      <c r="LS1" s="392">
        <f t="shared" si="5"/>
        <v>2049</v>
      </c>
      <c r="LT1" s="392">
        <f t="shared" si="5"/>
        <v>2049</v>
      </c>
      <c r="LU1" s="392">
        <f t="shared" si="5"/>
        <v>2049</v>
      </c>
      <c r="LV1" s="392">
        <f t="shared" si="5"/>
        <v>2049</v>
      </c>
      <c r="LW1" s="392">
        <f t="shared" si="5"/>
        <v>2049</v>
      </c>
      <c r="LX1" s="392">
        <f t="shared" si="5"/>
        <v>2050</v>
      </c>
      <c r="LY1" s="392">
        <f t="shared" si="5"/>
        <v>2050</v>
      </c>
      <c r="LZ1" s="392">
        <f t="shared" si="5"/>
        <v>2050</v>
      </c>
      <c r="MA1" s="392">
        <f t="shared" si="5"/>
        <v>2050</v>
      </c>
      <c r="MB1" s="392">
        <f t="shared" si="5"/>
        <v>2050</v>
      </c>
      <c r="MC1" s="392">
        <f t="shared" si="5"/>
        <v>2050</v>
      </c>
      <c r="MD1" s="392">
        <f t="shared" si="5"/>
        <v>2050</v>
      </c>
      <c r="ME1" s="392">
        <f t="shared" si="5"/>
        <v>2050</v>
      </c>
      <c r="MF1" s="392">
        <f t="shared" si="5"/>
        <v>2050</v>
      </c>
      <c r="MG1" s="392">
        <f t="shared" si="5"/>
        <v>2050</v>
      </c>
      <c r="MH1" s="392">
        <f t="shared" si="5"/>
        <v>2050</v>
      </c>
      <c r="MI1" s="392">
        <f t="shared" si="5"/>
        <v>2050</v>
      </c>
      <c r="MJ1" s="392">
        <f t="shared" si="5"/>
        <v>2051</v>
      </c>
      <c r="MK1" s="392">
        <f t="shared" si="5"/>
        <v>2051</v>
      </c>
      <c r="ML1" s="392">
        <f t="shared" si="5"/>
        <v>2051</v>
      </c>
      <c r="MM1" s="392">
        <f t="shared" si="5"/>
        <v>2051</v>
      </c>
      <c r="MN1" s="392">
        <f t="shared" si="5"/>
        <v>2051</v>
      </c>
      <c r="MO1" s="392">
        <f t="shared" si="5"/>
        <v>2051</v>
      </c>
      <c r="MP1" s="392">
        <f t="shared" si="5"/>
        <v>2051</v>
      </c>
      <c r="MQ1" s="392">
        <f t="shared" si="5"/>
        <v>2051</v>
      </c>
      <c r="MR1" s="392">
        <f t="shared" si="5"/>
        <v>2051</v>
      </c>
      <c r="MS1" s="392">
        <f t="shared" si="5"/>
        <v>2051</v>
      </c>
      <c r="MT1" s="392">
        <f t="shared" si="5"/>
        <v>2051</v>
      </c>
      <c r="MU1" s="392">
        <f t="shared" si="5"/>
        <v>2051</v>
      </c>
      <c r="MV1" s="392">
        <f t="shared" si="5"/>
        <v>2052</v>
      </c>
      <c r="MW1" s="392">
        <f t="shared" si="5"/>
        <v>2052</v>
      </c>
      <c r="MX1" s="392">
        <f t="shared" si="5"/>
        <v>2052</v>
      </c>
      <c r="MY1" s="392">
        <f t="shared" si="5"/>
        <v>2052</v>
      </c>
      <c r="MZ1" s="392">
        <f t="shared" si="5"/>
        <v>2052</v>
      </c>
      <c r="NA1" s="392">
        <f t="shared" si="5"/>
        <v>2052</v>
      </c>
      <c r="NB1" s="392">
        <f t="shared" si="5"/>
        <v>2052</v>
      </c>
      <c r="NC1" s="392">
        <f t="shared" si="5"/>
        <v>2052</v>
      </c>
      <c r="ND1" s="392">
        <f t="shared" si="5"/>
        <v>2052</v>
      </c>
      <c r="NE1" s="392">
        <f t="shared" si="5"/>
        <v>2052</v>
      </c>
      <c r="NF1" s="392">
        <f t="shared" si="5"/>
        <v>2052</v>
      </c>
      <c r="NG1" s="392">
        <f t="shared" si="5"/>
        <v>2052</v>
      </c>
    </row>
    <row r="2" spans="1:371" x14ac:dyDescent="0.3">
      <c r="D2" s="393">
        <v>44712</v>
      </c>
      <c r="E2" s="393">
        <v>44742</v>
      </c>
      <c r="F2" s="393">
        <v>44773</v>
      </c>
      <c r="G2" s="393">
        <v>44804</v>
      </c>
      <c r="H2" s="393">
        <v>44834</v>
      </c>
      <c r="I2" s="393">
        <v>44865</v>
      </c>
      <c r="J2" s="393">
        <v>44895</v>
      </c>
      <c r="K2" s="393">
        <v>44926</v>
      </c>
      <c r="L2" s="393">
        <v>44957</v>
      </c>
      <c r="M2" s="393">
        <v>44985</v>
      </c>
      <c r="N2" s="393">
        <v>45016</v>
      </c>
      <c r="O2" s="393">
        <v>45046</v>
      </c>
      <c r="P2" s="393">
        <v>45077</v>
      </c>
      <c r="Q2" s="393">
        <v>45107</v>
      </c>
      <c r="R2" s="393">
        <v>45138</v>
      </c>
      <c r="S2" s="393">
        <v>45169</v>
      </c>
      <c r="T2" s="393">
        <v>45199</v>
      </c>
      <c r="U2" s="393">
        <v>45230</v>
      </c>
      <c r="V2" s="393">
        <v>45260</v>
      </c>
      <c r="W2" s="393">
        <v>45291</v>
      </c>
      <c r="X2" s="393">
        <v>45322</v>
      </c>
      <c r="Y2" s="393">
        <v>45351</v>
      </c>
      <c r="Z2" s="393">
        <v>45382</v>
      </c>
      <c r="AA2" s="393">
        <v>45412</v>
      </c>
      <c r="AB2" s="393">
        <v>45443</v>
      </c>
      <c r="AC2" s="393">
        <v>45473</v>
      </c>
      <c r="AD2" s="393">
        <v>45504</v>
      </c>
      <c r="AE2" s="393">
        <v>45535</v>
      </c>
      <c r="AF2" s="393">
        <v>45565</v>
      </c>
      <c r="AG2" s="393">
        <v>45596</v>
      </c>
      <c r="AH2" s="393">
        <v>45626</v>
      </c>
      <c r="AI2" s="393">
        <v>45657</v>
      </c>
      <c r="AJ2" s="393">
        <v>45688</v>
      </c>
      <c r="AK2" s="393">
        <v>45716</v>
      </c>
      <c r="AL2" s="393">
        <v>45747</v>
      </c>
      <c r="AM2" s="393">
        <v>45777</v>
      </c>
      <c r="AN2" s="393">
        <v>45808</v>
      </c>
      <c r="AO2" s="393">
        <v>45838</v>
      </c>
      <c r="AP2" s="393">
        <v>45869</v>
      </c>
      <c r="AQ2" s="393">
        <v>45900</v>
      </c>
      <c r="AR2" s="393">
        <v>45930</v>
      </c>
      <c r="AS2" s="393">
        <v>45961</v>
      </c>
      <c r="AT2" s="393">
        <v>45991</v>
      </c>
      <c r="AU2" s="393">
        <v>46022</v>
      </c>
      <c r="AV2" s="393">
        <v>46053</v>
      </c>
      <c r="AW2" s="393">
        <v>46081</v>
      </c>
      <c r="AX2" s="393">
        <v>46112</v>
      </c>
      <c r="AY2" s="393">
        <v>46142</v>
      </c>
      <c r="AZ2" s="393">
        <v>46173</v>
      </c>
      <c r="BA2" s="393">
        <v>46203</v>
      </c>
      <c r="BB2" s="393">
        <v>46234</v>
      </c>
      <c r="BC2" s="393">
        <v>46265</v>
      </c>
      <c r="BD2" s="393">
        <v>46295</v>
      </c>
      <c r="BE2" s="393">
        <v>46326</v>
      </c>
      <c r="BF2" s="393">
        <v>46356</v>
      </c>
      <c r="BG2" s="393">
        <v>46387</v>
      </c>
      <c r="BH2" s="393">
        <v>46418</v>
      </c>
      <c r="BI2" s="393">
        <v>46446</v>
      </c>
      <c r="BJ2" s="393">
        <v>46477</v>
      </c>
      <c r="BK2" s="393">
        <v>46507</v>
      </c>
      <c r="BL2" s="393">
        <v>46538</v>
      </c>
      <c r="BM2" s="393">
        <v>46568</v>
      </c>
      <c r="BN2" s="393">
        <v>46599</v>
      </c>
      <c r="BO2" s="393">
        <v>46630</v>
      </c>
      <c r="BP2" s="393">
        <v>46660</v>
      </c>
      <c r="BQ2" s="393">
        <v>46691</v>
      </c>
      <c r="BR2" s="393">
        <v>46721</v>
      </c>
      <c r="BS2" s="393">
        <v>46752</v>
      </c>
      <c r="BT2" s="393">
        <v>46783</v>
      </c>
      <c r="BU2" s="393">
        <v>46812</v>
      </c>
      <c r="BV2" s="393">
        <v>46843</v>
      </c>
      <c r="BW2" s="393">
        <v>46873</v>
      </c>
      <c r="BX2" s="393">
        <v>46904</v>
      </c>
      <c r="BY2" s="393">
        <v>46934</v>
      </c>
      <c r="BZ2" s="393">
        <v>46965</v>
      </c>
      <c r="CA2" s="393">
        <v>46996</v>
      </c>
      <c r="CB2" s="393">
        <v>47026</v>
      </c>
      <c r="CC2" s="393">
        <v>47057</v>
      </c>
      <c r="CD2" s="393">
        <v>47087</v>
      </c>
      <c r="CE2" s="393">
        <v>47118</v>
      </c>
      <c r="CF2" s="393">
        <v>47149</v>
      </c>
      <c r="CG2" s="393">
        <v>47177</v>
      </c>
      <c r="CH2" s="393">
        <v>47208</v>
      </c>
      <c r="CI2" s="393">
        <v>47238</v>
      </c>
      <c r="CJ2" s="393">
        <v>47269</v>
      </c>
      <c r="CK2" s="393">
        <v>47299</v>
      </c>
      <c r="CL2" s="393">
        <v>47330</v>
      </c>
      <c r="CM2" s="393">
        <v>47361</v>
      </c>
      <c r="CN2" s="393">
        <v>47391</v>
      </c>
      <c r="CO2" s="393">
        <v>47422</v>
      </c>
      <c r="CP2" s="393">
        <v>47452</v>
      </c>
      <c r="CQ2" s="393">
        <v>47483</v>
      </c>
      <c r="CR2" s="393">
        <v>47514</v>
      </c>
      <c r="CS2" s="393">
        <v>47542</v>
      </c>
      <c r="CT2" s="393">
        <v>47573</v>
      </c>
      <c r="CU2" s="393">
        <v>47603</v>
      </c>
      <c r="CV2" s="393">
        <v>47634</v>
      </c>
      <c r="CW2" s="393">
        <v>47664</v>
      </c>
      <c r="CX2" s="393">
        <v>47695</v>
      </c>
      <c r="CY2" s="393">
        <v>47726</v>
      </c>
      <c r="CZ2" s="393">
        <v>47756</v>
      </c>
      <c r="DA2" s="393">
        <v>47787</v>
      </c>
      <c r="DB2" s="393">
        <v>47817</v>
      </c>
      <c r="DC2" s="393">
        <v>47848</v>
      </c>
      <c r="DD2" s="393">
        <v>47879</v>
      </c>
      <c r="DE2" s="393">
        <v>47907</v>
      </c>
      <c r="DF2" s="393">
        <v>47938</v>
      </c>
      <c r="DG2" s="393">
        <v>47968</v>
      </c>
      <c r="DH2" s="393">
        <v>47999</v>
      </c>
      <c r="DI2" s="393">
        <v>48029</v>
      </c>
      <c r="DJ2" s="393">
        <v>48060</v>
      </c>
      <c r="DK2" s="393">
        <v>48091</v>
      </c>
      <c r="DL2" s="393">
        <v>48121</v>
      </c>
      <c r="DM2" s="393">
        <v>48152</v>
      </c>
      <c r="DN2" s="393">
        <v>48182</v>
      </c>
      <c r="DO2" s="393">
        <v>48213</v>
      </c>
      <c r="DP2" s="393">
        <v>48244</v>
      </c>
      <c r="DQ2" s="393">
        <v>48273</v>
      </c>
      <c r="DR2" s="393">
        <v>48304</v>
      </c>
      <c r="DS2" s="393">
        <v>48334</v>
      </c>
      <c r="DT2" s="393">
        <v>48365</v>
      </c>
      <c r="DU2" s="393">
        <v>48395</v>
      </c>
      <c r="DV2" s="393">
        <v>48426</v>
      </c>
      <c r="DW2" s="393">
        <v>48457</v>
      </c>
      <c r="DX2" s="393">
        <v>48487</v>
      </c>
      <c r="DY2" s="393">
        <v>48518</v>
      </c>
      <c r="DZ2" s="393">
        <v>48548</v>
      </c>
      <c r="EA2" s="393">
        <v>48579</v>
      </c>
      <c r="EB2" s="393">
        <v>48610</v>
      </c>
      <c r="EC2" s="393">
        <v>48638</v>
      </c>
      <c r="ED2" s="393">
        <v>48669</v>
      </c>
      <c r="EE2" s="393">
        <v>48699</v>
      </c>
      <c r="EF2" s="393">
        <v>48730</v>
      </c>
      <c r="EG2" s="393">
        <v>48760</v>
      </c>
      <c r="EH2" s="393">
        <v>48791</v>
      </c>
      <c r="EI2" s="393">
        <v>48822</v>
      </c>
      <c r="EJ2" s="393">
        <v>48852</v>
      </c>
      <c r="EK2" s="393">
        <v>48883</v>
      </c>
      <c r="EL2" s="393">
        <v>48913</v>
      </c>
      <c r="EM2" s="393">
        <v>48944</v>
      </c>
      <c r="EN2" s="393">
        <v>48975</v>
      </c>
      <c r="EO2" s="393">
        <v>49003</v>
      </c>
      <c r="EP2" s="393">
        <v>49034</v>
      </c>
      <c r="EQ2" s="393">
        <v>49064</v>
      </c>
      <c r="ER2" s="393">
        <v>49095</v>
      </c>
      <c r="ES2" s="393">
        <v>49125</v>
      </c>
      <c r="ET2" s="393">
        <v>49156</v>
      </c>
      <c r="EU2" s="393">
        <v>49187</v>
      </c>
      <c r="EV2" s="393">
        <v>49217</v>
      </c>
      <c r="EW2" s="393">
        <v>49248</v>
      </c>
      <c r="EX2" s="393">
        <v>49278</v>
      </c>
      <c r="EY2" s="393">
        <v>49309</v>
      </c>
      <c r="EZ2" s="393">
        <v>49340</v>
      </c>
      <c r="FA2" s="393">
        <v>49368</v>
      </c>
      <c r="FB2" s="393">
        <v>49399</v>
      </c>
      <c r="FC2" s="393">
        <v>49429</v>
      </c>
      <c r="FD2" s="393">
        <v>49460</v>
      </c>
      <c r="FE2" s="393">
        <v>49490</v>
      </c>
      <c r="FF2" s="393">
        <v>49521</v>
      </c>
      <c r="FG2" s="393">
        <v>49552</v>
      </c>
      <c r="FH2" s="393">
        <v>49582</v>
      </c>
      <c r="FI2" s="393">
        <v>49613</v>
      </c>
      <c r="FJ2" s="393">
        <v>49643</v>
      </c>
      <c r="FK2" s="393">
        <v>49674</v>
      </c>
      <c r="FL2" s="393">
        <v>49705</v>
      </c>
      <c r="FM2" s="393">
        <v>49734</v>
      </c>
      <c r="FN2" s="393">
        <v>49765</v>
      </c>
      <c r="FO2" s="393">
        <v>49795</v>
      </c>
      <c r="FP2" s="393">
        <v>49826</v>
      </c>
      <c r="FQ2" s="393">
        <v>49856</v>
      </c>
      <c r="FR2" s="393">
        <v>49887</v>
      </c>
      <c r="FS2" s="393">
        <v>49918</v>
      </c>
      <c r="FT2" s="393">
        <v>49948</v>
      </c>
      <c r="FU2" s="393">
        <v>49979</v>
      </c>
      <c r="FV2" s="393">
        <v>50009</v>
      </c>
      <c r="FW2" s="393">
        <v>50040</v>
      </c>
      <c r="FX2" s="393">
        <v>50071</v>
      </c>
      <c r="FY2" s="393">
        <v>50099</v>
      </c>
      <c r="FZ2" s="393">
        <v>50130</v>
      </c>
      <c r="GA2" s="393">
        <v>50160</v>
      </c>
      <c r="GB2" s="393">
        <v>50191</v>
      </c>
      <c r="GC2" s="393">
        <v>50221</v>
      </c>
      <c r="GD2" s="393">
        <v>50252</v>
      </c>
      <c r="GE2" s="393">
        <v>50283</v>
      </c>
      <c r="GF2" s="393">
        <v>50313</v>
      </c>
      <c r="GG2" s="393">
        <v>50344</v>
      </c>
      <c r="GH2" s="393">
        <v>50374</v>
      </c>
      <c r="GI2" s="393">
        <v>50405</v>
      </c>
      <c r="GJ2" s="393">
        <v>50436</v>
      </c>
      <c r="GK2" s="393">
        <v>50464</v>
      </c>
      <c r="GL2" s="393">
        <v>50495</v>
      </c>
      <c r="GM2" s="393">
        <v>50525</v>
      </c>
      <c r="GN2" s="393">
        <v>50556</v>
      </c>
      <c r="GO2" s="393">
        <v>50586</v>
      </c>
      <c r="GP2" s="393">
        <v>50617</v>
      </c>
      <c r="GQ2" s="393">
        <v>50648</v>
      </c>
      <c r="GR2" s="393">
        <v>50678</v>
      </c>
      <c r="GS2" s="393">
        <v>50709</v>
      </c>
      <c r="GT2" s="393">
        <v>50739</v>
      </c>
      <c r="GU2" s="393">
        <v>50770</v>
      </c>
      <c r="GV2" s="393">
        <v>50801</v>
      </c>
      <c r="GW2" s="393">
        <v>50829</v>
      </c>
      <c r="GX2" s="393">
        <v>50860</v>
      </c>
      <c r="GY2" s="393">
        <v>50890</v>
      </c>
      <c r="GZ2" s="393">
        <v>50921</v>
      </c>
      <c r="HA2" s="393">
        <v>50951</v>
      </c>
      <c r="HB2" s="393">
        <v>50982</v>
      </c>
      <c r="HC2" s="393">
        <v>51013</v>
      </c>
      <c r="HD2" s="393">
        <v>51043</v>
      </c>
      <c r="HE2" s="393">
        <v>51074</v>
      </c>
      <c r="HF2" s="393">
        <v>51104</v>
      </c>
      <c r="HG2" s="393">
        <v>51135</v>
      </c>
      <c r="HH2" s="393">
        <v>51166</v>
      </c>
      <c r="HI2" s="393">
        <v>51195</v>
      </c>
      <c r="HJ2" s="393">
        <v>51226</v>
      </c>
      <c r="HK2" s="393">
        <v>51256</v>
      </c>
      <c r="HL2" s="393">
        <v>51287</v>
      </c>
      <c r="HM2" s="393">
        <v>51317</v>
      </c>
      <c r="HN2" s="393">
        <v>51348</v>
      </c>
      <c r="HO2" s="393">
        <v>51379</v>
      </c>
      <c r="HP2" s="393">
        <v>51409</v>
      </c>
      <c r="HQ2" s="393">
        <v>51440</v>
      </c>
      <c r="HR2" s="393">
        <v>51470</v>
      </c>
      <c r="HS2" s="393">
        <v>51501</v>
      </c>
      <c r="HT2" s="393">
        <v>51532</v>
      </c>
      <c r="HU2" s="393">
        <v>51560</v>
      </c>
      <c r="HV2" s="393">
        <v>51591</v>
      </c>
      <c r="HW2" s="393">
        <v>51621</v>
      </c>
      <c r="HX2" s="393">
        <v>51652</v>
      </c>
      <c r="HY2" s="393">
        <v>51682</v>
      </c>
      <c r="HZ2" s="393">
        <v>51713</v>
      </c>
      <c r="IA2" s="393">
        <v>51744</v>
      </c>
      <c r="IB2" s="393">
        <v>51774</v>
      </c>
      <c r="IC2" s="393">
        <v>51805</v>
      </c>
      <c r="ID2" s="393">
        <v>51835</v>
      </c>
      <c r="IE2" s="393">
        <v>51866</v>
      </c>
      <c r="IF2" s="393">
        <v>51897</v>
      </c>
      <c r="IG2" s="393">
        <v>51925</v>
      </c>
      <c r="IH2" s="393">
        <v>51956</v>
      </c>
      <c r="II2" s="393">
        <v>51986</v>
      </c>
      <c r="IJ2" s="393">
        <v>52017</v>
      </c>
      <c r="IK2" s="393">
        <v>52047</v>
      </c>
      <c r="IL2" s="393">
        <v>52078</v>
      </c>
      <c r="IM2" s="393">
        <v>52109</v>
      </c>
      <c r="IN2" s="393">
        <v>52139</v>
      </c>
      <c r="IO2" s="393">
        <v>52170</v>
      </c>
      <c r="IP2" s="393">
        <v>52200</v>
      </c>
      <c r="IQ2" s="393">
        <v>52231</v>
      </c>
      <c r="IR2" s="393">
        <v>52262</v>
      </c>
      <c r="IS2" s="393">
        <v>52290</v>
      </c>
      <c r="IT2" s="393">
        <v>52321</v>
      </c>
      <c r="IU2" s="393">
        <v>52351</v>
      </c>
      <c r="IV2" s="393">
        <v>52382</v>
      </c>
      <c r="IW2" s="393">
        <v>52412</v>
      </c>
      <c r="IX2" s="393">
        <v>52443</v>
      </c>
      <c r="IY2" s="393">
        <v>52474</v>
      </c>
      <c r="IZ2" s="393">
        <v>52504</v>
      </c>
      <c r="JA2" s="393">
        <v>52535</v>
      </c>
      <c r="JB2" s="393">
        <v>52565</v>
      </c>
      <c r="JC2" s="393">
        <v>52596</v>
      </c>
      <c r="JD2" s="393">
        <v>52627</v>
      </c>
      <c r="JE2" s="393">
        <v>52656</v>
      </c>
      <c r="JF2" s="393">
        <v>52687</v>
      </c>
      <c r="JG2" s="393">
        <v>52717</v>
      </c>
      <c r="JH2" s="393">
        <v>52748</v>
      </c>
      <c r="JI2" s="393">
        <v>52778</v>
      </c>
      <c r="JJ2" s="393">
        <v>52809</v>
      </c>
      <c r="JK2" s="393">
        <v>52840</v>
      </c>
      <c r="JL2" s="393">
        <v>52870</v>
      </c>
      <c r="JM2" s="393">
        <v>52901</v>
      </c>
      <c r="JN2" s="393">
        <v>52931</v>
      </c>
      <c r="JO2" s="393">
        <v>52962</v>
      </c>
      <c r="JP2" s="393">
        <v>52993</v>
      </c>
      <c r="JQ2" s="393">
        <v>53021</v>
      </c>
      <c r="JR2" s="393">
        <v>53052</v>
      </c>
      <c r="JS2" s="393">
        <v>53082</v>
      </c>
      <c r="JT2" s="393">
        <v>53113</v>
      </c>
      <c r="JU2" s="393">
        <v>53143</v>
      </c>
      <c r="JV2" s="393">
        <v>53174</v>
      </c>
      <c r="JW2" s="393">
        <v>53205</v>
      </c>
      <c r="JX2" s="393">
        <v>53235</v>
      </c>
      <c r="JY2" s="393">
        <v>53266</v>
      </c>
      <c r="JZ2" s="393">
        <v>53296</v>
      </c>
      <c r="KA2" s="393">
        <v>53327</v>
      </c>
      <c r="KB2" s="393">
        <v>53358</v>
      </c>
      <c r="KC2" s="393">
        <v>53386</v>
      </c>
      <c r="KD2" s="393">
        <v>53417</v>
      </c>
      <c r="KE2" s="393">
        <v>53447</v>
      </c>
      <c r="KF2" s="393">
        <v>53478</v>
      </c>
      <c r="KG2" s="393">
        <v>53508</v>
      </c>
      <c r="KH2" s="393">
        <v>53539</v>
      </c>
      <c r="KI2" s="393">
        <v>53570</v>
      </c>
      <c r="KJ2" s="393">
        <v>53600</v>
      </c>
      <c r="KK2" s="393">
        <v>53631</v>
      </c>
      <c r="KL2" s="393">
        <v>53661</v>
      </c>
      <c r="KM2" s="393">
        <v>53692</v>
      </c>
      <c r="KN2" s="393">
        <v>53723</v>
      </c>
      <c r="KO2" s="393">
        <v>53751</v>
      </c>
      <c r="KP2" s="393">
        <v>53782</v>
      </c>
      <c r="KQ2" s="393">
        <v>53812</v>
      </c>
      <c r="KR2" s="393">
        <v>53843</v>
      </c>
      <c r="KS2" s="393">
        <v>53873</v>
      </c>
      <c r="KT2" s="393">
        <v>53904</v>
      </c>
      <c r="KU2" s="393">
        <v>53935</v>
      </c>
      <c r="KV2" s="393">
        <v>53965</v>
      </c>
      <c r="KW2" s="393">
        <v>53996</v>
      </c>
      <c r="KX2" s="393">
        <v>54026</v>
      </c>
      <c r="KY2" s="393">
        <v>54057</v>
      </c>
      <c r="KZ2" s="393">
        <v>54088</v>
      </c>
      <c r="LA2" s="393">
        <v>54117</v>
      </c>
      <c r="LB2" s="393">
        <v>54148</v>
      </c>
      <c r="LC2" s="393">
        <v>54178</v>
      </c>
      <c r="LD2" s="393">
        <v>54209</v>
      </c>
      <c r="LE2" s="393">
        <v>54239</v>
      </c>
      <c r="LF2" s="393">
        <v>54270</v>
      </c>
      <c r="LG2" s="393">
        <v>54301</v>
      </c>
      <c r="LH2" s="393">
        <v>54331</v>
      </c>
      <c r="LI2" s="393">
        <v>54362</v>
      </c>
      <c r="LJ2" s="393">
        <v>54392</v>
      </c>
      <c r="LK2" s="393">
        <v>54423</v>
      </c>
      <c r="LL2" s="393">
        <v>54454</v>
      </c>
      <c r="LM2" s="393">
        <v>54482</v>
      </c>
      <c r="LN2" s="393">
        <v>54513</v>
      </c>
      <c r="LO2" s="393">
        <v>54543</v>
      </c>
      <c r="LP2" s="393">
        <v>54574</v>
      </c>
      <c r="LQ2" s="393">
        <v>54604</v>
      </c>
      <c r="LR2" s="393">
        <v>54635</v>
      </c>
      <c r="LS2" s="393">
        <v>54666</v>
      </c>
      <c r="LT2" s="393">
        <v>54696</v>
      </c>
      <c r="LU2" s="393">
        <v>54727</v>
      </c>
      <c r="LV2" s="393">
        <v>54757</v>
      </c>
      <c r="LW2" s="393">
        <v>54788</v>
      </c>
      <c r="LX2" s="393">
        <v>54819</v>
      </c>
      <c r="LY2" s="393">
        <v>54847</v>
      </c>
      <c r="LZ2" s="393">
        <v>54878</v>
      </c>
      <c r="MA2" s="393">
        <v>54908</v>
      </c>
      <c r="MB2" s="393">
        <v>54939</v>
      </c>
      <c r="MC2" s="393">
        <v>54969</v>
      </c>
      <c r="MD2" s="393">
        <v>55000</v>
      </c>
      <c r="ME2" s="393">
        <v>55031</v>
      </c>
      <c r="MF2" s="393">
        <v>55061</v>
      </c>
      <c r="MG2" s="393">
        <v>55092</v>
      </c>
      <c r="MH2" s="393">
        <v>55122</v>
      </c>
      <c r="MI2" s="393">
        <v>55153</v>
      </c>
      <c r="MJ2" s="393">
        <v>55184</v>
      </c>
      <c r="MK2" s="393">
        <v>55212</v>
      </c>
      <c r="ML2" s="393">
        <v>55243</v>
      </c>
      <c r="MM2" s="393">
        <v>55273</v>
      </c>
      <c r="MN2" s="393">
        <v>55304</v>
      </c>
      <c r="MO2" s="393">
        <v>55334</v>
      </c>
      <c r="MP2" s="393">
        <v>55365</v>
      </c>
      <c r="MQ2" s="393">
        <v>55396</v>
      </c>
      <c r="MR2" s="393">
        <v>55426</v>
      </c>
      <c r="MS2" s="393">
        <v>55457</v>
      </c>
      <c r="MT2" s="393">
        <v>55487</v>
      </c>
      <c r="MU2" s="393">
        <v>55518</v>
      </c>
      <c r="MV2" s="393">
        <v>55549</v>
      </c>
      <c r="MW2" s="393">
        <v>55578</v>
      </c>
      <c r="MX2" s="393">
        <v>55609</v>
      </c>
      <c r="MY2" s="393">
        <v>55639</v>
      </c>
      <c r="MZ2" s="393">
        <v>55670</v>
      </c>
      <c r="NA2" s="393">
        <v>55700</v>
      </c>
      <c r="NB2" s="393">
        <v>55731</v>
      </c>
      <c r="NC2" s="393">
        <v>55762</v>
      </c>
      <c r="ND2" s="393">
        <v>55792</v>
      </c>
      <c r="NE2" s="393">
        <v>55823</v>
      </c>
      <c r="NF2" s="393">
        <v>55853</v>
      </c>
      <c r="NG2" s="393">
        <v>55884</v>
      </c>
    </row>
    <row r="3" spans="1:371" x14ac:dyDescent="0.3">
      <c r="A3" s="394" t="s">
        <v>1</v>
      </c>
    </row>
    <row r="4" spans="1:371" x14ac:dyDescent="0.3">
      <c r="A4" s="394"/>
    </row>
    <row r="5" spans="1:371" x14ac:dyDescent="0.3">
      <c r="A5" s="394" t="s">
        <v>404</v>
      </c>
      <c r="D5" s="90" t="e">
        <v>#VALUE!</v>
      </c>
      <c r="E5" s="90" t="e">
        <v>#VALUE!</v>
      </c>
      <c r="F5" s="90" t="e">
        <v>#VALUE!</v>
      </c>
      <c r="G5" s="90" t="e">
        <v>#VALUE!</v>
      </c>
      <c r="H5" s="90" t="e">
        <v>#VALUE!</v>
      </c>
      <c r="I5" s="90" t="e">
        <v>#VALUE!</v>
      </c>
      <c r="J5" s="90" t="e">
        <v>#VALUE!</v>
      </c>
      <c r="K5" s="90" t="e">
        <v>#VALUE!</v>
      </c>
      <c r="L5" s="90" t="e">
        <v>#VALUE!</v>
      </c>
      <c r="M5" s="90" t="e">
        <v>#VALUE!</v>
      </c>
      <c r="N5" s="90" t="e">
        <v>#VALUE!</v>
      </c>
      <c r="O5" s="90" t="e">
        <v>#VALUE!</v>
      </c>
      <c r="P5" s="90" t="e">
        <v>#VALUE!</v>
      </c>
      <c r="Q5" s="90" t="e">
        <v>#VALUE!</v>
      </c>
      <c r="R5" s="90" t="e">
        <v>#VALUE!</v>
      </c>
      <c r="S5" s="90" t="e">
        <v>#VALUE!</v>
      </c>
      <c r="T5" s="90" t="e">
        <v>#VALUE!</v>
      </c>
      <c r="U5" s="90" t="e">
        <v>#VALUE!</v>
      </c>
      <c r="V5" s="90" t="e">
        <v>#VALUE!</v>
      </c>
      <c r="W5" s="90" t="e">
        <v>#VALUE!</v>
      </c>
      <c r="X5" s="90" t="e">
        <v>#VALUE!</v>
      </c>
      <c r="Y5" s="90" t="e">
        <v>#VALUE!</v>
      </c>
      <c r="Z5" s="90" t="e">
        <v>#VALUE!</v>
      </c>
      <c r="AA5" s="90" t="e">
        <v>#VALUE!</v>
      </c>
      <c r="AB5" s="90" t="e">
        <v>#VALUE!</v>
      </c>
      <c r="AC5" s="90" t="e">
        <v>#VALUE!</v>
      </c>
      <c r="AD5" s="90" t="e">
        <v>#VALUE!</v>
      </c>
      <c r="AE5" s="90" t="e">
        <v>#VALUE!</v>
      </c>
      <c r="AF5" s="90" t="e">
        <v>#VALUE!</v>
      </c>
      <c r="AG5" s="90" t="e">
        <v>#VALUE!</v>
      </c>
      <c r="AH5" s="90" t="e">
        <v>#VALUE!</v>
      </c>
      <c r="AI5" s="90" t="e">
        <v>#VALUE!</v>
      </c>
      <c r="AJ5" s="90" t="e">
        <v>#VALUE!</v>
      </c>
      <c r="AK5" s="90" t="e">
        <v>#VALUE!</v>
      </c>
      <c r="AL5" s="90" t="e">
        <v>#VALUE!</v>
      </c>
      <c r="AM5" s="90" t="e">
        <v>#VALUE!</v>
      </c>
      <c r="AN5" s="90" t="e">
        <v>#VALUE!</v>
      </c>
      <c r="AO5" s="90" t="e">
        <v>#VALUE!</v>
      </c>
      <c r="AP5" s="90" t="e">
        <v>#VALUE!</v>
      </c>
      <c r="AQ5" s="90" t="e">
        <v>#VALUE!</v>
      </c>
      <c r="AR5" s="90" t="e">
        <v>#VALUE!</v>
      </c>
      <c r="AS5" s="90" t="e">
        <v>#VALUE!</v>
      </c>
      <c r="AT5" s="90" t="e">
        <v>#VALUE!</v>
      </c>
      <c r="AU5" s="90" t="e">
        <v>#VALUE!</v>
      </c>
      <c r="AV5" s="90" t="e">
        <v>#VALUE!</v>
      </c>
      <c r="AW5" s="90" t="e">
        <v>#VALUE!</v>
      </c>
      <c r="AX5" s="90" t="e">
        <v>#VALUE!</v>
      </c>
      <c r="AY5" s="90" t="e">
        <v>#VALUE!</v>
      </c>
      <c r="AZ5" s="90" t="e">
        <v>#VALUE!</v>
      </c>
      <c r="BA5" s="90" t="e">
        <v>#VALUE!</v>
      </c>
      <c r="BB5" s="90" t="e">
        <v>#VALUE!</v>
      </c>
      <c r="BC5" s="90" t="e">
        <v>#VALUE!</v>
      </c>
      <c r="BD5" s="90" t="e">
        <v>#VALUE!</v>
      </c>
      <c r="BE5" s="90" t="e">
        <v>#VALUE!</v>
      </c>
      <c r="BF5" s="90" t="e">
        <v>#VALUE!</v>
      </c>
      <c r="BG5" s="90" t="e">
        <v>#VALUE!</v>
      </c>
      <c r="BH5" s="90" t="e">
        <v>#VALUE!</v>
      </c>
      <c r="BI5" s="90" t="e">
        <v>#VALUE!</v>
      </c>
      <c r="BJ5" s="90" t="e">
        <v>#VALUE!</v>
      </c>
      <c r="BK5" s="90" t="e">
        <v>#VALUE!</v>
      </c>
      <c r="BL5" s="90" t="e">
        <v>#VALUE!</v>
      </c>
      <c r="BM5" s="90" t="e">
        <v>#VALUE!</v>
      </c>
      <c r="BN5" s="90" t="e">
        <v>#VALUE!</v>
      </c>
      <c r="BO5" s="90" t="e">
        <v>#VALUE!</v>
      </c>
      <c r="BP5" s="90" t="e">
        <v>#VALUE!</v>
      </c>
      <c r="BQ5" s="90" t="e">
        <v>#VALUE!</v>
      </c>
      <c r="BR5" s="90" t="e">
        <v>#VALUE!</v>
      </c>
      <c r="BS5" s="90" t="e">
        <v>#VALUE!</v>
      </c>
      <c r="BT5" s="90" t="e">
        <v>#VALUE!</v>
      </c>
      <c r="BU5" s="90" t="e">
        <v>#VALUE!</v>
      </c>
      <c r="BV5" s="90" t="e">
        <v>#VALUE!</v>
      </c>
      <c r="BW5" s="90" t="e">
        <v>#VALUE!</v>
      </c>
      <c r="BX5" s="90" t="e">
        <v>#VALUE!</v>
      </c>
      <c r="BY5" s="90" t="e">
        <v>#VALUE!</v>
      </c>
      <c r="BZ5" s="90" t="e">
        <v>#VALUE!</v>
      </c>
      <c r="CA5" s="90" t="e">
        <v>#VALUE!</v>
      </c>
      <c r="CB5" s="90" t="e">
        <v>#VALUE!</v>
      </c>
      <c r="CC5" s="90" t="e">
        <v>#VALUE!</v>
      </c>
      <c r="CD5" s="90" t="e">
        <v>#VALUE!</v>
      </c>
      <c r="CE5" s="90" t="e">
        <v>#VALUE!</v>
      </c>
      <c r="CF5" s="90" t="e">
        <v>#VALUE!</v>
      </c>
      <c r="CG5" s="90" t="e">
        <v>#VALUE!</v>
      </c>
      <c r="CH5" s="90" t="e">
        <v>#VALUE!</v>
      </c>
      <c r="CI5" s="90" t="e">
        <v>#VALUE!</v>
      </c>
      <c r="CJ5" s="90" t="e">
        <v>#VALUE!</v>
      </c>
      <c r="CK5" s="90" t="e">
        <v>#VALUE!</v>
      </c>
      <c r="CL5" s="90" t="e">
        <v>#VALUE!</v>
      </c>
      <c r="CM5" s="90" t="e">
        <v>#VALUE!</v>
      </c>
      <c r="CN5" s="90" t="e">
        <v>#VALUE!</v>
      </c>
      <c r="CO5" s="90" t="e">
        <v>#VALUE!</v>
      </c>
      <c r="CP5" s="90" t="e">
        <v>#VALUE!</v>
      </c>
      <c r="CQ5" s="90" t="e">
        <v>#VALUE!</v>
      </c>
      <c r="CR5" s="90" t="e">
        <v>#VALUE!</v>
      </c>
      <c r="CS5" s="90" t="e">
        <v>#VALUE!</v>
      </c>
      <c r="CT5" s="90" t="e">
        <v>#VALUE!</v>
      </c>
      <c r="CU5" s="90" t="e">
        <v>#VALUE!</v>
      </c>
      <c r="CV5" s="90" t="e">
        <v>#VALUE!</v>
      </c>
      <c r="CW5" s="90" t="e">
        <v>#VALUE!</v>
      </c>
      <c r="CX5" s="90" t="e">
        <v>#VALUE!</v>
      </c>
      <c r="CY5" s="90" t="e">
        <v>#VALUE!</v>
      </c>
      <c r="CZ5" s="90" t="e">
        <v>#VALUE!</v>
      </c>
      <c r="DA5" s="90" t="e">
        <v>#VALUE!</v>
      </c>
      <c r="DB5" s="90" t="e">
        <v>#VALUE!</v>
      </c>
      <c r="DC5" s="90" t="e">
        <v>#VALUE!</v>
      </c>
      <c r="DD5" s="90" t="e">
        <v>#VALUE!</v>
      </c>
      <c r="DE5" s="90" t="e">
        <v>#VALUE!</v>
      </c>
      <c r="DF5" s="90" t="e">
        <v>#VALUE!</v>
      </c>
      <c r="DG5" s="90" t="e">
        <v>#VALUE!</v>
      </c>
      <c r="DH5" s="90" t="e">
        <v>#VALUE!</v>
      </c>
      <c r="DI5" s="90" t="e">
        <v>#VALUE!</v>
      </c>
      <c r="DJ5" s="90" t="e">
        <v>#VALUE!</v>
      </c>
      <c r="DK5" s="90" t="e">
        <v>#VALUE!</v>
      </c>
      <c r="DL5" s="90" t="e">
        <v>#VALUE!</v>
      </c>
      <c r="DM5" s="90" t="e">
        <v>#VALUE!</v>
      </c>
      <c r="DN5" s="90" t="e">
        <v>#VALUE!</v>
      </c>
      <c r="DO5" s="90" t="e">
        <v>#VALUE!</v>
      </c>
      <c r="DP5" s="90" t="e">
        <v>#VALUE!</v>
      </c>
      <c r="DQ5" s="90" t="e">
        <v>#VALUE!</v>
      </c>
      <c r="DR5" s="90" t="e">
        <v>#VALUE!</v>
      </c>
      <c r="DS5" s="90" t="e">
        <v>#VALUE!</v>
      </c>
      <c r="DT5" s="90" t="e">
        <v>#VALUE!</v>
      </c>
      <c r="DU5" s="90" t="e">
        <v>#VALUE!</v>
      </c>
      <c r="DV5" s="90" t="e">
        <v>#VALUE!</v>
      </c>
      <c r="DW5" s="90" t="e">
        <v>#VALUE!</v>
      </c>
      <c r="DX5" s="90" t="e">
        <v>#VALUE!</v>
      </c>
      <c r="DY5" s="90" t="e">
        <v>#VALUE!</v>
      </c>
      <c r="DZ5" s="90" t="e">
        <v>#VALUE!</v>
      </c>
      <c r="EA5" s="90" t="e">
        <v>#VALUE!</v>
      </c>
      <c r="EB5" s="90" t="e">
        <v>#VALUE!</v>
      </c>
      <c r="EC5" s="90" t="e">
        <v>#VALUE!</v>
      </c>
      <c r="ED5" s="90" t="e">
        <v>#VALUE!</v>
      </c>
      <c r="EE5" s="90" t="e">
        <v>#VALUE!</v>
      </c>
      <c r="EF5" s="90" t="e">
        <v>#VALUE!</v>
      </c>
      <c r="EG5" s="90" t="e">
        <v>#VALUE!</v>
      </c>
      <c r="EH5" s="90" t="e">
        <v>#VALUE!</v>
      </c>
      <c r="EI5" s="90" t="e">
        <v>#VALUE!</v>
      </c>
      <c r="EJ5" s="90" t="e">
        <v>#VALUE!</v>
      </c>
      <c r="EK5" s="90" t="e">
        <v>#VALUE!</v>
      </c>
      <c r="EL5" s="90" t="e">
        <v>#VALUE!</v>
      </c>
      <c r="EM5" s="90" t="e">
        <v>#VALUE!</v>
      </c>
      <c r="EN5" s="90" t="e">
        <v>#VALUE!</v>
      </c>
      <c r="EO5" s="90" t="e">
        <v>#VALUE!</v>
      </c>
      <c r="EP5" s="90" t="e">
        <v>#VALUE!</v>
      </c>
      <c r="EQ5" s="90" t="e">
        <v>#VALUE!</v>
      </c>
      <c r="ER5" s="90" t="e">
        <v>#VALUE!</v>
      </c>
      <c r="ES5" s="90" t="e">
        <v>#VALUE!</v>
      </c>
      <c r="ET5" s="90" t="e">
        <v>#VALUE!</v>
      </c>
      <c r="EU5" s="90" t="e">
        <v>#VALUE!</v>
      </c>
      <c r="EV5" s="90" t="e">
        <v>#VALUE!</v>
      </c>
      <c r="EW5" s="90" t="e">
        <v>#VALUE!</v>
      </c>
      <c r="EX5" s="90" t="e">
        <v>#VALUE!</v>
      </c>
      <c r="EY5" s="90" t="e">
        <v>#VALUE!</v>
      </c>
      <c r="EZ5" s="90" t="e">
        <v>#VALUE!</v>
      </c>
      <c r="FA5" s="90" t="e">
        <v>#VALUE!</v>
      </c>
      <c r="FB5" s="90" t="e">
        <v>#VALUE!</v>
      </c>
      <c r="FC5" s="90" t="e">
        <v>#VALUE!</v>
      </c>
      <c r="FD5" s="90" t="e">
        <v>#VALUE!</v>
      </c>
      <c r="FE5" s="90" t="e">
        <v>#VALUE!</v>
      </c>
      <c r="FF5" s="90" t="e">
        <v>#VALUE!</v>
      </c>
      <c r="FG5" s="90" t="e">
        <v>#VALUE!</v>
      </c>
      <c r="FH5" s="90" t="e">
        <v>#VALUE!</v>
      </c>
      <c r="FI5" s="90" t="e">
        <v>#VALUE!</v>
      </c>
      <c r="FJ5" s="90" t="e">
        <v>#VALUE!</v>
      </c>
      <c r="FK5" s="90" t="e">
        <v>#VALUE!</v>
      </c>
      <c r="FL5" s="90" t="e">
        <v>#VALUE!</v>
      </c>
      <c r="FM5" s="90" t="e">
        <v>#VALUE!</v>
      </c>
      <c r="FN5" s="90" t="e">
        <v>#VALUE!</v>
      </c>
      <c r="FO5" s="90" t="e">
        <v>#VALUE!</v>
      </c>
      <c r="FP5" s="90" t="e">
        <v>#VALUE!</v>
      </c>
      <c r="FQ5" s="90" t="e">
        <v>#VALUE!</v>
      </c>
      <c r="FR5" s="90" t="e">
        <v>#VALUE!</v>
      </c>
      <c r="FS5" s="90" t="e">
        <v>#VALUE!</v>
      </c>
      <c r="FT5" s="90" t="e">
        <v>#VALUE!</v>
      </c>
      <c r="FU5" s="90" t="e">
        <v>#VALUE!</v>
      </c>
      <c r="FV5" s="90" t="e">
        <v>#VALUE!</v>
      </c>
      <c r="FW5" s="90" t="e">
        <v>#VALUE!</v>
      </c>
      <c r="FX5" s="90" t="e">
        <v>#VALUE!</v>
      </c>
      <c r="FY5" s="90" t="e">
        <v>#VALUE!</v>
      </c>
      <c r="FZ5" s="90" t="e">
        <v>#VALUE!</v>
      </c>
      <c r="GA5" s="90" t="e">
        <v>#VALUE!</v>
      </c>
      <c r="GB5" s="90" t="e">
        <v>#VALUE!</v>
      </c>
      <c r="GC5" s="90" t="e">
        <v>#VALUE!</v>
      </c>
      <c r="GD5" s="90" t="e">
        <v>#VALUE!</v>
      </c>
      <c r="GE5" s="90" t="e">
        <v>#VALUE!</v>
      </c>
      <c r="GF5" s="90" t="e">
        <v>#VALUE!</v>
      </c>
      <c r="GG5" s="90" t="e">
        <v>#VALUE!</v>
      </c>
      <c r="GH5" s="90" t="e">
        <v>#VALUE!</v>
      </c>
      <c r="GI5" s="90" t="e">
        <v>#VALUE!</v>
      </c>
      <c r="GJ5" s="90" t="e">
        <v>#VALUE!</v>
      </c>
      <c r="GK5" s="90" t="e">
        <v>#VALUE!</v>
      </c>
      <c r="GL5" s="90" t="e">
        <v>#VALUE!</v>
      </c>
      <c r="GM5" s="90" t="e">
        <v>#VALUE!</v>
      </c>
      <c r="GN5" s="90" t="e">
        <v>#VALUE!</v>
      </c>
      <c r="GO5" s="90" t="e">
        <v>#VALUE!</v>
      </c>
      <c r="GP5" s="90" t="e">
        <v>#VALUE!</v>
      </c>
      <c r="GQ5" s="90" t="e">
        <v>#VALUE!</v>
      </c>
      <c r="GR5" s="90" t="e">
        <v>#VALUE!</v>
      </c>
      <c r="GS5" s="90" t="e">
        <v>#VALUE!</v>
      </c>
      <c r="GT5" s="90" t="e">
        <v>#VALUE!</v>
      </c>
      <c r="GU5" s="90" t="e">
        <v>#VALUE!</v>
      </c>
      <c r="GV5" s="90" t="e">
        <v>#VALUE!</v>
      </c>
      <c r="GW5" s="90" t="e">
        <v>#VALUE!</v>
      </c>
      <c r="GX5" s="90" t="e">
        <v>#VALUE!</v>
      </c>
      <c r="GY5" s="90" t="e">
        <v>#VALUE!</v>
      </c>
      <c r="GZ5" s="90" t="e">
        <v>#VALUE!</v>
      </c>
      <c r="HA5" s="90" t="e">
        <v>#VALUE!</v>
      </c>
      <c r="HB5" s="90" t="e">
        <v>#VALUE!</v>
      </c>
      <c r="HC5" s="90" t="e">
        <v>#VALUE!</v>
      </c>
      <c r="HD5" s="90" t="e">
        <v>#VALUE!</v>
      </c>
      <c r="HE5" s="90" t="e">
        <v>#VALUE!</v>
      </c>
      <c r="HF5" s="90" t="e">
        <v>#VALUE!</v>
      </c>
      <c r="HG5" s="90" t="e">
        <v>#VALUE!</v>
      </c>
      <c r="HH5" s="90" t="e">
        <v>#VALUE!</v>
      </c>
      <c r="HI5" s="90" t="e">
        <v>#VALUE!</v>
      </c>
      <c r="HJ5" s="90" t="e">
        <v>#VALUE!</v>
      </c>
      <c r="HK5" s="90" t="e">
        <v>#VALUE!</v>
      </c>
      <c r="HL5" s="90" t="e">
        <v>#VALUE!</v>
      </c>
      <c r="HM5" s="90" t="e">
        <v>#VALUE!</v>
      </c>
      <c r="HN5" s="90" t="e">
        <v>#VALUE!</v>
      </c>
      <c r="HO5" s="90" t="e">
        <v>#VALUE!</v>
      </c>
      <c r="HP5" s="90" t="e">
        <v>#VALUE!</v>
      </c>
      <c r="HQ5" s="90" t="e">
        <v>#VALUE!</v>
      </c>
      <c r="HR5" s="90" t="e">
        <v>#VALUE!</v>
      </c>
      <c r="HS5" s="90" t="e">
        <v>#VALUE!</v>
      </c>
      <c r="HT5" s="90" t="e">
        <v>#VALUE!</v>
      </c>
      <c r="HU5" s="90" t="e">
        <v>#VALUE!</v>
      </c>
      <c r="HV5" s="90" t="e">
        <v>#VALUE!</v>
      </c>
      <c r="HW5" s="90" t="e">
        <v>#VALUE!</v>
      </c>
      <c r="HX5" s="90" t="e">
        <v>#VALUE!</v>
      </c>
      <c r="HY5" s="90" t="e">
        <v>#VALUE!</v>
      </c>
      <c r="HZ5" s="90" t="e">
        <v>#VALUE!</v>
      </c>
      <c r="IA5" s="90" t="e">
        <v>#VALUE!</v>
      </c>
      <c r="IB5" s="90" t="e">
        <v>#VALUE!</v>
      </c>
      <c r="IC5" s="90" t="e">
        <v>#VALUE!</v>
      </c>
      <c r="ID5" s="90" t="e">
        <v>#VALUE!</v>
      </c>
      <c r="IE5" s="90" t="e">
        <v>#VALUE!</v>
      </c>
      <c r="IF5" s="90" t="e">
        <v>#VALUE!</v>
      </c>
      <c r="IG5" s="90" t="e">
        <v>#VALUE!</v>
      </c>
      <c r="IH5" s="90" t="e">
        <v>#VALUE!</v>
      </c>
      <c r="II5" s="90" t="e">
        <v>#VALUE!</v>
      </c>
      <c r="IJ5" s="90" t="e">
        <v>#VALUE!</v>
      </c>
      <c r="IK5" s="90" t="e">
        <v>#VALUE!</v>
      </c>
      <c r="IL5" s="90" t="e">
        <v>#VALUE!</v>
      </c>
      <c r="IM5" s="90" t="e">
        <v>#VALUE!</v>
      </c>
      <c r="IN5" s="90" t="e">
        <v>#VALUE!</v>
      </c>
      <c r="IO5" s="90" t="e">
        <v>#VALUE!</v>
      </c>
      <c r="IP5" s="90" t="e">
        <v>#VALUE!</v>
      </c>
      <c r="IQ5" s="90" t="e">
        <v>#VALUE!</v>
      </c>
      <c r="IR5" s="90" t="e">
        <v>#VALUE!</v>
      </c>
      <c r="IS5" s="90" t="e">
        <v>#VALUE!</v>
      </c>
      <c r="IT5" s="90" t="e">
        <v>#VALUE!</v>
      </c>
      <c r="IU5" s="90" t="e">
        <v>#VALUE!</v>
      </c>
      <c r="IV5" s="90" t="e">
        <v>#VALUE!</v>
      </c>
      <c r="IW5" s="90" t="e">
        <v>#VALUE!</v>
      </c>
      <c r="IX5" s="90" t="e">
        <v>#VALUE!</v>
      </c>
      <c r="IY5" s="90" t="e">
        <v>#VALUE!</v>
      </c>
      <c r="IZ5" s="90" t="e">
        <v>#VALUE!</v>
      </c>
      <c r="JA5" s="90" t="e">
        <v>#VALUE!</v>
      </c>
      <c r="JB5" s="90" t="e">
        <v>#VALUE!</v>
      </c>
      <c r="JC5" s="90" t="e">
        <v>#VALUE!</v>
      </c>
      <c r="JD5" s="90" t="e">
        <v>#VALUE!</v>
      </c>
      <c r="JE5" s="90" t="e">
        <v>#VALUE!</v>
      </c>
      <c r="JF5" s="90" t="e">
        <v>#VALUE!</v>
      </c>
      <c r="JG5" s="90" t="e">
        <v>#VALUE!</v>
      </c>
      <c r="JH5" s="90" t="e">
        <v>#VALUE!</v>
      </c>
      <c r="JI5" s="90" t="e">
        <v>#VALUE!</v>
      </c>
      <c r="JJ5" s="90" t="e">
        <v>#VALUE!</v>
      </c>
      <c r="JK5" s="90" t="e">
        <v>#VALUE!</v>
      </c>
      <c r="JL5" s="90" t="e">
        <v>#VALUE!</v>
      </c>
      <c r="JM5" s="90" t="e">
        <v>#VALUE!</v>
      </c>
      <c r="JN5" s="90" t="e">
        <v>#VALUE!</v>
      </c>
      <c r="JO5" s="90" t="e">
        <v>#VALUE!</v>
      </c>
      <c r="JP5" s="90" t="e">
        <v>#VALUE!</v>
      </c>
      <c r="JQ5" s="90" t="e">
        <v>#VALUE!</v>
      </c>
      <c r="JR5" s="90" t="e">
        <v>#VALUE!</v>
      </c>
      <c r="JS5" s="90" t="e">
        <v>#VALUE!</v>
      </c>
      <c r="JT5" s="90" t="e">
        <v>#VALUE!</v>
      </c>
      <c r="JU5" s="90" t="e">
        <v>#VALUE!</v>
      </c>
      <c r="JV5" s="90" t="e">
        <v>#VALUE!</v>
      </c>
      <c r="JW5" s="90" t="e">
        <v>#VALUE!</v>
      </c>
      <c r="JX5" s="90" t="e">
        <v>#VALUE!</v>
      </c>
      <c r="JY5" s="90" t="e">
        <v>#VALUE!</v>
      </c>
      <c r="JZ5" s="90" t="e">
        <v>#VALUE!</v>
      </c>
      <c r="KA5" s="90" t="e">
        <v>#VALUE!</v>
      </c>
      <c r="KB5" s="90" t="e">
        <v>#VALUE!</v>
      </c>
      <c r="KC5" s="90" t="e">
        <v>#VALUE!</v>
      </c>
      <c r="KD5" s="90" t="e">
        <v>#VALUE!</v>
      </c>
      <c r="KE5" s="90" t="e">
        <v>#VALUE!</v>
      </c>
      <c r="KF5" s="90" t="e">
        <v>#VALUE!</v>
      </c>
      <c r="KG5" s="90" t="e">
        <v>#VALUE!</v>
      </c>
      <c r="KH5" s="90" t="e">
        <v>#VALUE!</v>
      </c>
      <c r="KI5" s="90" t="e">
        <v>#VALUE!</v>
      </c>
      <c r="KJ5" s="90" t="e">
        <v>#VALUE!</v>
      </c>
      <c r="KK5" s="90" t="e">
        <v>#VALUE!</v>
      </c>
      <c r="KL5" s="90" t="e">
        <v>#VALUE!</v>
      </c>
      <c r="KM5" s="90" t="e">
        <v>#VALUE!</v>
      </c>
      <c r="KN5" s="90" t="e">
        <v>#VALUE!</v>
      </c>
      <c r="KO5" s="90" t="e">
        <v>#VALUE!</v>
      </c>
      <c r="KP5" s="90" t="e">
        <v>#VALUE!</v>
      </c>
      <c r="KQ5" s="90" t="e">
        <v>#VALUE!</v>
      </c>
      <c r="KR5" s="90" t="e">
        <v>#VALUE!</v>
      </c>
      <c r="KS5" s="90" t="e">
        <v>#VALUE!</v>
      </c>
      <c r="KT5" s="90" t="e">
        <v>#VALUE!</v>
      </c>
      <c r="KU5" s="90" t="e">
        <v>#VALUE!</v>
      </c>
      <c r="KV5" s="90" t="e">
        <v>#VALUE!</v>
      </c>
      <c r="KW5" s="90" t="e">
        <v>#VALUE!</v>
      </c>
      <c r="KX5" s="90" t="e">
        <v>#VALUE!</v>
      </c>
      <c r="KY5" s="90" t="e">
        <v>#VALUE!</v>
      </c>
      <c r="KZ5" s="90" t="e">
        <v>#VALUE!</v>
      </c>
      <c r="LA5" s="90" t="e">
        <v>#VALUE!</v>
      </c>
      <c r="LB5" s="90" t="e">
        <v>#VALUE!</v>
      </c>
      <c r="LC5" s="90" t="e">
        <v>#VALUE!</v>
      </c>
      <c r="LD5" s="90" t="e">
        <v>#VALUE!</v>
      </c>
      <c r="LE5" s="90" t="e">
        <v>#VALUE!</v>
      </c>
      <c r="LF5" s="90" t="e">
        <v>#VALUE!</v>
      </c>
      <c r="LG5" s="90" t="e">
        <v>#VALUE!</v>
      </c>
      <c r="LH5" s="90" t="e">
        <v>#VALUE!</v>
      </c>
      <c r="LI5" s="90" t="e">
        <v>#VALUE!</v>
      </c>
      <c r="LJ5" s="90" t="e">
        <v>#VALUE!</v>
      </c>
      <c r="LK5" s="90" t="e">
        <v>#VALUE!</v>
      </c>
      <c r="LL5" s="90" t="e">
        <v>#VALUE!</v>
      </c>
      <c r="LM5" s="90" t="e">
        <v>#VALUE!</v>
      </c>
      <c r="LN5" s="90" t="e">
        <v>#VALUE!</v>
      </c>
      <c r="LO5" s="90" t="e">
        <v>#VALUE!</v>
      </c>
      <c r="LP5" s="90" t="e">
        <v>#VALUE!</v>
      </c>
      <c r="LQ5" s="90" t="e">
        <v>#VALUE!</v>
      </c>
      <c r="LR5" s="90" t="e">
        <v>#VALUE!</v>
      </c>
      <c r="LS5" s="90" t="e">
        <v>#VALUE!</v>
      </c>
      <c r="LT5" s="90" t="e">
        <v>#VALUE!</v>
      </c>
      <c r="LU5" s="90" t="e">
        <v>#VALUE!</v>
      </c>
      <c r="LV5" s="90" t="e">
        <v>#VALUE!</v>
      </c>
      <c r="LW5" s="90" t="e">
        <v>#VALUE!</v>
      </c>
      <c r="LX5" s="90" t="e">
        <v>#VALUE!</v>
      </c>
      <c r="LY5" s="90" t="e">
        <v>#VALUE!</v>
      </c>
      <c r="LZ5" s="90" t="e">
        <v>#VALUE!</v>
      </c>
      <c r="MA5" s="90" t="e">
        <v>#VALUE!</v>
      </c>
      <c r="MB5" s="90" t="e">
        <v>#VALUE!</v>
      </c>
      <c r="MC5" s="90" t="e">
        <v>#VALUE!</v>
      </c>
      <c r="MD5" s="90" t="e">
        <v>#VALUE!</v>
      </c>
      <c r="ME5" s="90" t="e">
        <v>#VALUE!</v>
      </c>
      <c r="MF5" s="90" t="e">
        <v>#VALUE!</v>
      </c>
      <c r="MG5" s="90" t="e">
        <v>#VALUE!</v>
      </c>
      <c r="MH5" s="90" t="e">
        <v>#VALUE!</v>
      </c>
      <c r="MI5" s="90" t="e">
        <v>#VALUE!</v>
      </c>
      <c r="MJ5" s="90" t="e">
        <v>#VALUE!</v>
      </c>
      <c r="MK5" s="90" t="e">
        <v>#VALUE!</v>
      </c>
      <c r="ML5" s="90" t="e">
        <v>#VALUE!</v>
      </c>
      <c r="MM5" s="90" t="e">
        <v>#VALUE!</v>
      </c>
      <c r="MN5" s="90" t="e">
        <v>#VALUE!</v>
      </c>
      <c r="MO5" s="90" t="e">
        <v>#VALUE!</v>
      </c>
      <c r="MP5" s="90" t="e">
        <v>#VALUE!</v>
      </c>
      <c r="MQ5" s="90" t="e">
        <v>#VALUE!</v>
      </c>
      <c r="MR5" s="90" t="e">
        <v>#VALUE!</v>
      </c>
      <c r="MS5" s="90" t="e">
        <v>#VALUE!</v>
      </c>
      <c r="MT5" s="90" t="e">
        <v>#VALUE!</v>
      </c>
      <c r="MU5" s="90" t="e">
        <v>#VALUE!</v>
      </c>
      <c r="MV5" s="90" t="e">
        <v>#VALUE!</v>
      </c>
      <c r="MW5" s="90" t="e">
        <v>#VALUE!</v>
      </c>
      <c r="MX5" s="90" t="e">
        <v>#VALUE!</v>
      </c>
      <c r="MY5" s="90" t="e">
        <v>#VALUE!</v>
      </c>
      <c r="MZ5" s="90" t="e">
        <v>#VALUE!</v>
      </c>
      <c r="NA5" s="90" t="e">
        <v>#VALUE!</v>
      </c>
      <c r="NB5" s="90" t="e">
        <v>#VALUE!</v>
      </c>
      <c r="NC5" s="90" t="e">
        <v>#VALUE!</v>
      </c>
      <c r="ND5" s="90" t="e">
        <v>#VALUE!</v>
      </c>
      <c r="NE5" s="90" t="e">
        <v>#VALUE!</v>
      </c>
      <c r="NF5" s="90" t="e">
        <v>#VALUE!</v>
      </c>
      <c r="NG5" s="90" t="e">
        <v>#VALUE!</v>
      </c>
    </row>
    <row r="6" spans="1:371" x14ac:dyDescent="0.3">
      <c r="A6" s="394" t="s">
        <v>405</v>
      </c>
      <c r="D6" s="90" t="e">
        <v>#VALUE!</v>
      </c>
      <c r="E6" s="90" t="e">
        <v>#VALUE!</v>
      </c>
      <c r="F6" s="90" t="e">
        <v>#VALUE!</v>
      </c>
      <c r="G6" s="90" t="e">
        <v>#VALUE!</v>
      </c>
      <c r="H6" s="90" t="e">
        <v>#VALUE!</v>
      </c>
      <c r="I6" s="90" t="e">
        <v>#VALUE!</v>
      </c>
      <c r="J6" s="90" t="e">
        <v>#VALUE!</v>
      </c>
      <c r="K6" s="90" t="e">
        <v>#VALUE!</v>
      </c>
      <c r="L6" s="90" t="e">
        <v>#VALUE!</v>
      </c>
      <c r="M6" s="90" t="e">
        <v>#VALUE!</v>
      </c>
      <c r="N6" s="90" t="e">
        <v>#VALUE!</v>
      </c>
      <c r="O6" s="90" t="e">
        <v>#VALUE!</v>
      </c>
      <c r="P6" s="90" t="e">
        <v>#VALUE!</v>
      </c>
      <c r="Q6" s="90" t="e">
        <v>#VALUE!</v>
      </c>
      <c r="R6" s="90" t="e">
        <v>#VALUE!</v>
      </c>
      <c r="S6" s="90" t="e">
        <v>#VALUE!</v>
      </c>
      <c r="T6" s="90" t="e">
        <v>#VALUE!</v>
      </c>
      <c r="U6" s="90" t="e">
        <v>#VALUE!</v>
      </c>
      <c r="V6" s="90" t="e">
        <v>#VALUE!</v>
      </c>
      <c r="W6" s="90" t="e">
        <v>#VALUE!</v>
      </c>
      <c r="X6" s="90" t="e">
        <v>#VALUE!</v>
      </c>
      <c r="Y6" s="90" t="e">
        <v>#VALUE!</v>
      </c>
      <c r="Z6" s="90" t="e">
        <v>#VALUE!</v>
      </c>
      <c r="AA6" s="90" t="e">
        <v>#VALUE!</v>
      </c>
      <c r="AB6" s="90" t="e">
        <v>#VALUE!</v>
      </c>
      <c r="AC6" s="90" t="e">
        <v>#VALUE!</v>
      </c>
      <c r="AD6" s="90" t="e">
        <v>#VALUE!</v>
      </c>
      <c r="AE6" s="90" t="e">
        <v>#VALUE!</v>
      </c>
      <c r="AF6" s="90" t="e">
        <v>#VALUE!</v>
      </c>
      <c r="AG6" s="90" t="e">
        <v>#VALUE!</v>
      </c>
      <c r="AH6" s="90" t="e">
        <v>#VALUE!</v>
      </c>
      <c r="AI6" s="90" t="e">
        <v>#VALUE!</v>
      </c>
      <c r="AJ6" s="90" t="e">
        <v>#VALUE!</v>
      </c>
      <c r="AK6" s="90" t="e">
        <v>#VALUE!</v>
      </c>
      <c r="AL6" s="90" t="e">
        <v>#VALUE!</v>
      </c>
      <c r="AM6" s="90" t="e">
        <v>#VALUE!</v>
      </c>
      <c r="AN6" s="90" t="e">
        <v>#VALUE!</v>
      </c>
      <c r="AO6" s="90" t="e">
        <v>#VALUE!</v>
      </c>
      <c r="AP6" s="90" t="e">
        <v>#VALUE!</v>
      </c>
      <c r="AQ6" s="90" t="e">
        <v>#VALUE!</v>
      </c>
      <c r="AR6" s="90" t="e">
        <v>#VALUE!</v>
      </c>
      <c r="AS6" s="90" t="e">
        <v>#VALUE!</v>
      </c>
      <c r="AT6" s="90" t="e">
        <v>#VALUE!</v>
      </c>
      <c r="AU6" s="90" t="e">
        <v>#VALUE!</v>
      </c>
      <c r="AV6" s="90" t="e">
        <v>#VALUE!</v>
      </c>
      <c r="AW6" s="90" t="e">
        <v>#VALUE!</v>
      </c>
      <c r="AX6" s="90" t="e">
        <v>#VALUE!</v>
      </c>
      <c r="AY6" s="90" t="e">
        <v>#VALUE!</v>
      </c>
      <c r="AZ6" s="90" t="e">
        <v>#VALUE!</v>
      </c>
      <c r="BA6" s="90" t="e">
        <v>#VALUE!</v>
      </c>
      <c r="BB6" s="90" t="e">
        <v>#VALUE!</v>
      </c>
      <c r="BC6" s="90" t="e">
        <v>#VALUE!</v>
      </c>
      <c r="BD6" s="90" t="e">
        <v>#VALUE!</v>
      </c>
      <c r="BE6" s="90" t="e">
        <v>#VALUE!</v>
      </c>
      <c r="BF6" s="90" t="e">
        <v>#VALUE!</v>
      </c>
      <c r="BG6" s="90" t="e">
        <v>#VALUE!</v>
      </c>
      <c r="BH6" s="90" t="e">
        <v>#VALUE!</v>
      </c>
      <c r="BI6" s="90" t="e">
        <v>#VALUE!</v>
      </c>
      <c r="BJ6" s="90" t="e">
        <v>#VALUE!</v>
      </c>
      <c r="BK6" s="90" t="e">
        <v>#VALUE!</v>
      </c>
      <c r="BL6" s="90" t="e">
        <v>#VALUE!</v>
      </c>
      <c r="BM6" s="90" t="e">
        <v>#VALUE!</v>
      </c>
      <c r="BN6" s="90" t="e">
        <v>#VALUE!</v>
      </c>
      <c r="BO6" s="90" t="e">
        <v>#VALUE!</v>
      </c>
      <c r="BP6" s="90" t="e">
        <v>#VALUE!</v>
      </c>
      <c r="BQ6" s="90" t="e">
        <v>#VALUE!</v>
      </c>
      <c r="BR6" s="90" t="e">
        <v>#VALUE!</v>
      </c>
      <c r="BS6" s="90" t="e">
        <v>#VALUE!</v>
      </c>
      <c r="BT6" s="90" t="e">
        <v>#VALUE!</v>
      </c>
      <c r="BU6" s="90" t="e">
        <v>#VALUE!</v>
      </c>
      <c r="BV6" s="90" t="e">
        <v>#VALUE!</v>
      </c>
      <c r="BW6" s="90" t="e">
        <v>#VALUE!</v>
      </c>
      <c r="BX6" s="90" t="e">
        <v>#VALUE!</v>
      </c>
      <c r="BY6" s="90" t="e">
        <v>#VALUE!</v>
      </c>
      <c r="BZ6" s="90" t="e">
        <v>#VALUE!</v>
      </c>
      <c r="CA6" s="90" t="e">
        <v>#VALUE!</v>
      </c>
      <c r="CB6" s="90" t="e">
        <v>#VALUE!</v>
      </c>
      <c r="CC6" s="90" t="e">
        <v>#VALUE!</v>
      </c>
      <c r="CD6" s="90" t="e">
        <v>#VALUE!</v>
      </c>
      <c r="CE6" s="90" t="e">
        <v>#VALUE!</v>
      </c>
      <c r="CF6" s="90" t="e">
        <v>#VALUE!</v>
      </c>
      <c r="CG6" s="90" t="e">
        <v>#VALUE!</v>
      </c>
      <c r="CH6" s="90" t="e">
        <v>#VALUE!</v>
      </c>
      <c r="CI6" s="90" t="e">
        <v>#VALUE!</v>
      </c>
      <c r="CJ6" s="90" t="e">
        <v>#VALUE!</v>
      </c>
      <c r="CK6" s="90" t="e">
        <v>#VALUE!</v>
      </c>
      <c r="CL6" s="90" t="e">
        <v>#VALUE!</v>
      </c>
      <c r="CM6" s="90" t="e">
        <v>#VALUE!</v>
      </c>
      <c r="CN6" s="90" t="e">
        <v>#VALUE!</v>
      </c>
      <c r="CO6" s="90" t="e">
        <v>#VALUE!</v>
      </c>
      <c r="CP6" s="90" t="e">
        <v>#VALUE!</v>
      </c>
      <c r="CQ6" s="90" t="e">
        <v>#VALUE!</v>
      </c>
      <c r="CR6" s="90" t="e">
        <v>#VALUE!</v>
      </c>
      <c r="CS6" s="90" t="e">
        <v>#VALUE!</v>
      </c>
      <c r="CT6" s="90" t="e">
        <v>#VALUE!</v>
      </c>
      <c r="CU6" s="90" t="e">
        <v>#VALUE!</v>
      </c>
      <c r="CV6" s="90" t="e">
        <v>#VALUE!</v>
      </c>
      <c r="CW6" s="90" t="e">
        <v>#VALUE!</v>
      </c>
      <c r="CX6" s="90" t="e">
        <v>#VALUE!</v>
      </c>
      <c r="CY6" s="90" t="e">
        <v>#VALUE!</v>
      </c>
      <c r="CZ6" s="90" t="e">
        <v>#VALUE!</v>
      </c>
      <c r="DA6" s="90" t="e">
        <v>#VALUE!</v>
      </c>
      <c r="DB6" s="90" t="e">
        <v>#VALUE!</v>
      </c>
      <c r="DC6" s="90" t="e">
        <v>#VALUE!</v>
      </c>
      <c r="DD6" s="90" t="e">
        <v>#VALUE!</v>
      </c>
      <c r="DE6" s="90" t="e">
        <v>#VALUE!</v>
      </c>
      <c r="DF6" s="90" t="e">
        <v>#VALUE!</v>
      </c>
      <c r="DG6" s="90" t="e">
        <v>#VALUE!</v>
      </c>
      <c r="DH6" s="90" t="e">
        <v>#VALUE!</v>
      </c>
      <c r="DI6" s="90" t="e">
        <v>#VALUE!</v>
      </c>
      <c r="DJ6" s="90" t="e">
        <v>#VALUE!</v>
      </c>
      <c r="DK6" s="90" t="e">
        <v>#VALUE!</v>
      </c>
      <c r="DL6" s="90" t="e">
        <v>#VALUE!</v>
      </c>
      <c r="DM6" s="90" t="e">
        <v>#VALUE!</v>
      </c>
      <c r="DN6" s="90" t="e">
        <v>#VALUE!</v>
      </c>
      <c r="DO6" s="90" t="e">
        <v>#VALUE!</v>
      </c>
      <c r="DP6" s="90" t="e">
        <v>#VALUE!</v>
      </c>
      <c r="DQ6" s="90" t="e">
        <v>#VALUE!</v>
      </c>
      <c r="DR6" s="90" t="e">
        <v>#VALUE!</v>
      </c>
      <c r="DS6" s="90" t="e">
        <v>#VALUE!</v>
      </c>
      <c r="DT6" s="90" t="e">
        <v>#VALUE!</v>
      </c>
      <c r="DU6" s="90" t="e">
        <v>#VALUE!</v>
      </c>
      <c r="DV6" s="90" t="e">
        <v>#VALUE!</v>
      </c>
      <c r="DW6" s="90" t="e">
        <v>#VALUE!</v>
      </c>
      <c r="DX6" s="90" t="e">
        <v>#VALUE!</v>
      </c>
      <c r="DY6" s="90" t="e">
        <v>#VALUE!</v>
      </c>
      <c r="DZ6" s="90" t="e">
        <v>#VALUE!</v>
      </c>
      <c r="EA6" s="90" t="e">
        <v>#VALUE!</v>
      </c>
      <c r="EB6" s="90" t="e">
        <v>#VALUE!</v>
      </c>
      <c r="EC6" s="90" t="e">
        <v>#VALUE!</v>
      </c>
      <c r="ED6" s="90" t="e">
        <v>#VALUE!</v>
      </c>
      <c r="EE6" s="90" t="e">
        <v>#VALUE!</v>
      </c>
      <c r="EF6" s="90" t="e">
        <v>#VALUE!</v>
      </c>
      <c r="EG6" s="90" t="e">
        <v>#VALUE!</v>
      </c>
      <c r="EH6" s="90" t="e">
        <v>#VALUE!</v>
      </c>
      <c r="EI6" s="90" t="e">
        <v>#VALUE!</v>
      </c>
      <c r="EJ6" s="90" t="e">
        <v>#VALUE!</v>
      </c>
      <c r="EK6" s="90" t="e">
        <v>#VALUE!</v>
      </c>
      <c r="EL6" s="90" t="e">
        <v>#VALUE!</v>
      </c>
      <c r="EM6" s="90" t="e">
        <v>#VALUE!</v>
      </c>
      <c r="EN6" s="90" t="e">
        <v>#VALUE!</v>
      </c>
      <c r="EO6" s="90" t="e">
        <v>#VALUE!</v>
      </c>
      <c r="EP6" s="90" t="e">
        <v>#VALUE!</v>
      </c>
      <c r="EQ6" s="90" t="e">
        <v>#VALUE!</v>
      </c>
      <c r="ER6" s="90" t="e">
        <v>#VALUE!</v>
      </c>
      <c r="ES6" s="90" t="e">
        <v>#VALUE!</v>
      </c>
      <c r="ET6" s="90" t="e">
        <v>#VALUE!</v>
      </c>
      <c r="EU6" s="90" t="e">
        <v>#VALUE!</v>
      </c>
      <c r="EV6" s="90" t="e">
        <v>#VALUE!</v>
      </c>
      <c r="EW6" s="90" t="e">
        <v>#VALUE!</v>
      </c>
      <c r="EX6" s="90" t="e">
        <v>#VALUE!</v>
      </c>
      <c r="EY6" s="90" t="e">
        <v>#VALUE!</v>
      </c>
      <c r="EZ6" s="90" t="e">
        <v>#VALUE!</v>
      </c>
      <c r="FA6" s="90" t="e">
        <v>#VALUE!</v>
      </c>
      <c r="FB6" s="90" t="e">
        <v>#VALUE!</v>
      </c>
      <c r="FC6" s="90" t="e">
        <v>#VALUE!</v>
      </c>
      <c r="FD6" s="90" t="e">
        <v>#VALUE!</v>
      </c>
      <c r="FE6" s="90" t="e">
        <v>#VALUE!</v>
      </c>
      <c r="FF6" s="90" t="e">
        <v>#VALUE!</v>
      </c>
      <c r="FG6" s="90" t="e">
        <v>#VALUE!</v>
      </c>
      <c r="FH6" s="90" t="e">
        <v>#VALUE!</v>
      </c>
      <c r="FI6" s="90" t="e">
        <v>#VALUE!</v>
      </c>
      <c r="FJ6" s="90" t="e">
        <v>#VALUE!</v>
      </c>
      <c r="FK6" s="90" t="e">
        <v>#VALUE!</v>
      </c>
      <c r="FL6" s="90" t="e">
        <v>#VALUE!</v>
      </c>
      <c r="FM6" s="90" t="e">
        <v>#VALUE!</v>
      </c>
      <c r="FN6" s="90" t="e">
        <v>#VALUE!</v>
      </c>
      <c r="FO6" s="90" t="e">
        <v>#VALUE!</v>
      </c>
      <c r="FP6" s="90" t="e">
        <v>#VALUE!</v>
      </c>
      <c r="FQ6" s="90" t="e">
        <v>#VALUE!</v>
      </c>
      <c r="FR6" s="90" t="e">
        <v>#VALUE!</v>
      </c>
      <c r="FS6" s="90" t="e">
        <v>#VALUE!</v>
      </c>
      <c r="FT6" s="90" t="e">
        <v>#VALUE!</v>
      </c>
      <c r="FU6" s="90" t="e">
        <v>#VALUE!</v>
      </c>
      <c r="FV6" s="90" t="e">
        <v>#VALUE!</v>
      </c>
      <c r="FW6" s="90" t="e">
        <v>#VALUE!</v>
      </c>
      <c r="FX6" s="90" t="e">
        <v>#VALUE!</v>
      </c>
      <c r="FY6" s="90" t="e">
        <v>#VALUE!</v>
      </c>
      <c r="FZ6" s="90" t="e">
        <v>#VALUE!</v>
      </c>
      <c r="GA6" s="90" t="e">
        <v>#VALUE!</v>
      </c>
      <c r="GB6" s="90" t="e">
        <v>#VALUE!</v>
      </c>
      <c r="GC6" s="90" t="e">
        <v>#VALUE!</v>
      </c>
      <c r="GD6" s="90" t="e">
        <v>#VALUE!</v>
      </c>
      <c r="GE6" s="90" t="e">
        <v>#VALUE!</v>
      </c>
      <c r="GF6" s="90" t="e">
        <v>#VALUE!</v>
      </c>
      <c r="GG6" s="90" t="e">
        <v>#VALUE!</v>
      </c>
      <c r="GH6" s="90" t="e">
        <v>#VALUE!</v>
      </c>
      <c r="GI6" s="90" t="e">
        <v>#VALUE!</v>
      </c>
      <c r="GJ6" s="90" t="e">
        <v>#VALUE!</v>
      </c>
      <c r="GK6" s="90" t="e">
        <v>#VALUE!</v>
      </c>
      <c r="GL6" s="90" t="e">
        <v>#VALUE!</v>
      </c>
      <c r="GM6" s="90" t="e">
        <v>#VALUE!</v>
      </c>
      <c r="GN6" s="90" t="e">
        <v>#VALUE!</v>
      </c>
      <c r="GO6" s="90" t="e">
        <v>#VALUE!</v>
      </c>
      <c r="GP6" s="90" t="e">
        <v>#VALUE!</v>
      </c>
      <c r="GQ6" s="90" t="e">
        <v>#VALUE!</v>
      </c>
      <c r="GR6" s="90" t="e">
        <v>#VALUE!</v>
      </c>
      <c r="GS6" s="90" t="e">
        <v>#VALUE!</v>
      </c>
      <c r="GT6" s="90" t="e">
        <v>#VALUE!</v>
      </c>
      <c r="GU6" s="90" t="e">
        <v>#VALUE!</v>
      </c>
      <c r="GV6" s="90" t="e">
        <v>#VALUE!</v>
      </c>
      <c r="GW6" s="90" t="e">
        <v>#VALUE!</v>
      </c>
      <c r="GX6" s="90" t="e">
        <v>#VALUE!</v>
      </c>
      <c r="GY6" s="90" t="e">
        <v>#VALUE!</v>
      </c>
      <c r="GZ6" s="90" t="e">
        <v>#VALUE!</v>
      </c>
      <c r="HA6" s="90" t="e">
        <v>#VALUE!</v>
      </c>
      <c r="HB6" s="90" t="e">
        <v>#VALUE!</v>
      </c>
      <c r="HC6" s="90" t="e">
        <v>#VALUE!</v>
      </c>
      <c r="HD6" s="90" t="e">
        <v>#VALUE!</v>
      </c>
      <c r="HE6" s="90" t="e">
        <v>#VALUE!</v>
      </c>
      <c r="HF6" s="90" t="e">
        <v>#VALUE!</v>
      </c>
      <c r="HG6" s="90" t="e">
        <v>#VALUE!</v>
      </c>
      <c r="HH6" s="90" t="e">
        <v>#VALUE!</v>
      </c>
      <c r="HI6" s="90" t="e">
        <v>#VALUE!</v>
      </c>
      <c r="HJ6" s="90" t="e">
        <v>#VALUE!</v>
      </c>
      <c r="HK6" s="90" t="e">
        <v>#VALUE!</v>
      </c>
      <c r="HL6" s="90" t="e">
        <v>#VALUE!</v>
      </c>
      <c r="HM6" s="90" t="e">
        <v>#VALUE!</v>
      </c>
      <c r="HN6" s="90" t="e">
        <v>#VALUE!</v>
      </c>
      <c r="HO6" s="90" t="e">
        <v>#VALUE!</v>
      </c>
      <c r="HP6" s="90" t="e">
        <v>#VALUE!</v>
      </c>
      <c r="HQ6" s="90" t="e">
        <v>#VALUE!</v>
      </c>
      <c r="HR6" s="90" t="e">
        <v>#VALUE!</v>
      </c>
      <c r="HS6" s="90" t="e">
        <v>#VALUE!</v>
      </c>
      <c r="HT6" s="90" t="e">
        <v>#VALUE!</v>
      </c>
      <c r="HU6" s="90" t="e">
        <v>#VALUE!</v>
      </c>
      <c r="HV6" s="90" t="e">
        <v>#VALUE!</v>
      </c>
      <c r="HW6" s="90" t="e">
        <v>#VALUE!</v>
      </c>
      <c r="HX6" s="90" t="e">
        <v>#VALUE!</v>
      </c>
      <c r="HY6" s="90" t="e">
        <v>#VALUE!</v>
      </c>
      <c r="HZ6" s="90" t="e">
        <v>#VALUE!</v>
      </c>
      <c r="IA6" s="90" t="e">
        <v>#VALUE!</v>
      </c>
      <c r="IB6" s="90" t="e">
        <v>#VALUE!</v>
      </c>
      <c r="IC6" s="90" t="e">
        <v>#VALUE!</v>
      </c>
      <c r="ID6" s="90" t="e">
        <v>#VALUE!</v>
      </c>
      <c r="IE6" s="90" t="e">
        <v>#VALUE!</v>
      </c>
      <c r="IF6" s="90" t="e">
        <v>#VALUE!</v>
      </c>
      <c r="IG6" s="90" t="e">
        <v>#VALUE!</v>
      </c>
      <c r="IH6" s="90" t="e">
        <v>#VALUE!</v>
      </c>
      <c r="II6" s="90" t="e">
        <v>#VALUE!</v>
      </c>
      <c r="IJ6" s="90" t="e">
        <v>#VALUE!</v>
      </c>
      <c r="IK6" s="90" t="e">
        <v>#VALUE!</v>
      </c>
      <c r="IL6" s="90" t="e">
        <v>#VALUE!</v>
      </c>
      <c r="IM6" s="90" t="e">
        <v>#VALUE!</v>
      </c>
      <c r="IN6" s="90" t="e">
        <v>#VALUE!</v>
      </c>
      <c r="IO6" s="90" t="e">
        <v>#VALUE!</v>
      </c>
      <c r="IP6" s="90" t="e">
        <v>#VALUE!</v>
      </c>
      <c r="IQ6" s="90" t="e">
        <v>#VALUE!</v>
      </c>
      <c r="IR6" s="90" t="e">
        <v>#VALUE!</v>
      </c>
      <c r="IS6" s="90" t="e">
        <v>#VALUE!</v>
      </c>
      <c r="IT6" s="90" t="e">
        <v>#VALUE!</v>
      </c>
      <c r="IU6" s="90" t="e">
        <v>#VALUE!</v>
      </c>
      <c r="IV6" s="90" t="e">
        <v>#VALUE!</v>
      </c>
      <c r="IW6" s="90" t="e">
        <v>#VALUE!</v>
      </c>
      <c r="IX6" s="90" t="e">
        <v>#VALUE!</v>
      </c>
      <c r="IY6" s="90" t="e">
        <v>#VALUE!</v>
      </c>
      <c r="IZ6" s="90" t="e">
        <v>#VALUE!</v>
      </c>
      <c r="JA6" s="90" t="e">
        <v>#VALUE!</v>
      </c>
      <c r="JB6" s="90" t="e">
        <v>#VALUE!</v>
      </c>
      <c r="JC6" s="90" t="e">
        <v>#VALUE!</v>
      </c>
      <c r="JD6" s="90" t="e">
        <v>#VALUE!</v>
      </c>
      <c r="JE6" s="90" t="e">
        <v>#VALUE!</v>
      </c>
      <c r="JF6" s="90" t="e">
        <v>#VALUE!</v>
      </c>
      <c r="JG6" s="90" t="e">
        <v>#VALUE!</v>
      </c>
      <c r="JH6" s="90" t="e">
        <v>#VALUE!</v>
      </c>
      <c r="JI6" s="90" t="e">
        <v>#VALUE!</v>
      </c>
      <c r="JJ6" s="90" t="e">
        <v>#VALUE!</v>
      </c>
      <c r="JK6" s="90" t="e">
        <v>#VALUE!</v>
      </c>
      <c r="JL6" s="90" t="e">
        <v>#VALUE!</v>
      </c>
      <c r="JM6" s="90" t="e">
        <v>#VALUE!</v>
      </c>
      <c r="JN6" s="90" t="e">
        <v>#VALUE!</v>
      </c>
      <c r="JO6" s="90" t="e">
        <v>#VALUE!</v>
      </c>
      <c r="JP6" s="90" t="e">
        <v>#VALUE!</v>
      </c>
      <c r="JQ6" s="90" t="e">
        <v>#VALUE!</v>
      </c>
      <c r="JR6" s="90" t="e">
        <v>#VALUE!</v>
      </c>
      <c r="JS6" s="90" t="e">
        <v>#VALUE!</v>
      </c>
      <c r="JT6" s="90" t="e">
        <v>#VALUE!</v>
      </c>
      <c r="JU6" s="90" t="e">
        <v>#VALUE!</v>
      </c>
      <c r="JV6" s="90" t="e">
        <v>#VALUE!</v>
      </c>
      <c r="JW6" s="90" t="e">
        <v>#VALUE!</v>
      </c>
      <c r="JX6" s="90" t="e">
        <v>#VALUE!</v>
      </c>
      <c r="JY6" s="90" t="e">
        <v>#VALUE!</v>
      </c>
      <c r="JZ6" s="90" t="e">
        <v>#VALUE!</v>
      </c>
      <c r="KA6" s="90" t="e">
        <v>#VALUE!</v>
      </c>
      <c r="KB6" s="90" t="e">
        <v>#VALUE!</v>
      </c>
      <c r="KC6" s="90" t="e">
        <v>#VALUE!</v>
      </c>
      <c r="KD6" s="90" t="e">
        <v>#VALUE!</v>
      </c>
      <c r="KE6" s="90" t="e">
        <v>#VALUE!</v>
      </c>
      <c r="KF6" s="90" t="e">
        <v>#VALUE!</v>
      </c>
      <c r="KG6" s="90" t="e">
        <v>#VALUE!</v>
      </c>
      <c r="KH6" s="90" t="e">
        <v>#VALUE!</v>
      </c>
      <c r="KI6" s="90" t="e">
        <v>#VALUE!</v>
      </c>
      <c r="KJ6" s="90" t="e">
        <v>#VALUE!</v>
      </c>
      <c r="KK6" s="90" t="e">
        <v>#VALUE!</v>
      </c>
      <c r="KL6" s="90" t="e">
        <v>#VALUE!</v>
      </c>
      <c r="KM6" s="90" t="e">
        <v>#VALUE!</v>
      </c>
      <c r="KN6" s="90" t="e">
        <v>#VALUE!</v>
      </c>
      <c r="KO6" s="90" t="e">
        <v>#VALUE!</v>
      </c>
      <c r="KP6" s="90" t="e">
        <v>#VALUE!</v>
      </c>
      <c r="KQ6" s="90" t="e">
        <v>#VALUE!</v>
      </c>
      <c r="KR6" s="90" t="e">
        <v>#VALUE!</v>
      </c>
      <c r="KS6" s="90" t="e">
        <v>#VALUE!</v>
      </c>
      <c r="KT6" s="90" t="e">
        <v>#VALUE!</v>
      </c>
      <c r="KU6" s="90" t="e">
        <v>#VALUE!</v>
      </c>
      <c r="KV6" s="90" t="e">
        <v>#VALUE!</v>
      </c>
      <c r="KW6" s="90" t="e">
        <v>#VALUE!</v>
      </c>
      <c r="KX6" s="90" t="e">
        <v>#VALUE!</v>
      </c>
      <c r="KY6" s="90" t="e">
        <v>#VALUE!</v>
      </c>
      <c r="KZ6" s="90" t="e">
        <v>#VALUE!</v>
      </c>
      <c r="LA6" s="90" t="e">
        <v>#VALUE!</v>
      </c>
      <c r="LB6" s="90" t="e">
        <v>#VALUE!</v>
      </c>
      <c r="LC6" s="90" t="e">
        <v>#VALUE!</v>
      </c>
      <c r="LD6" s="90" t="e">
        <v>#VALUE!</v>
      </c>
      <c r="LE6" s="90" t="e">
        <v>#VALUE!</v>
      </c>
      <c r="LF6" s="90" t="e">
        <v>#VALUE!</v>
      </c>
      <c r="LG6" s="90" t="e">
        <v>#VALUE!</v>
      </c>
      <c r="LH6" s="90" t="e">
        <v>#VALUE!</v>
      </c>
      <c r="LI6" s="90" t="e">
        <v>#VALUE!</v>
      </c>
      <c r="LJ6" s="90" t="e">
        <v>#VALUE!</v>
      </c>
      <c r="LK6" s="90" t="e">
        <v>#VALUE!</v>
      </c>
      <c r="LL6" s="90" t="e">
        <v>#VALUE!</v>
      </c>
      <c r="LM6" s="90" t="e">
        <v>#VALUE!</v>
      </c>
      <c r="LN6" s="90" t="e">
        <v>#VALUE!</v>
      </c>
      <c r="LO6" s="90" t="e">
        <v>#VALUE!</v>
      </c>
      <c r="LP6" s="90" t="e">
        <v>#VALUE!</v>
      </c>
      <c r="LQ6" s="90" t="e">
        <v>#VALUE!</v>
      </c>
      <c r="LR6" s="90" t="e">
        <v>#VALUE!</v>
      </c>
      <c r="LS6" s="90" t="e">
        <v>#VALUE!</v>
      </c>
      <c r="LT6" s="90" t="e">
        <v>#VALUE!</v>
      </c>
      <c r="LU6" s="90" t="e">
        <v>#VALUE!</v>
      </c>
      <c r="LV6" s="90" t="e">
        <v>#VALUE!</v>
      </c>
      <c r="LW6" s="90" t="e">
        <v>#VALUE!</v>
      </c>
      <c r="LX6" s="90" t="e">
        <v>#VALUE!</v>
      </c>
      <c r="LY6" s="90" t="e">
        <v>#VALUE!</v>
      </c>
      <c r="LZ6" s="90" t="e">
        <v>#VALUE!</v>
      </c>
      <c r="MA6" s="90" t="e">
        <v>#VALUE!</v>
      </c>
      <c r="MB6" s="90" t="e">
        <v>#VALUE!</v>
      </c>
      <c r="MC6" s="90" t="e">
        <v>#VALUE!</v>
      </c>
      <c r="MD6" s="90" t="e">
        <v>#VALUE!</v>
      </c>
      <c r="ME6" s="90" t="e">
        <v>#VALUE!</v>
      </c>
      <c r="MF6" s="90" t="e">
        <v>#VALUE!</v>
      </c>
      <c r="MG6" s="90" t="e">
        <v>#VALUE!</v>
      </c>
      <c r="MH6" s="90" t="e">
        <v>#VALUE!</v>
      </c>
      <c r="MI6" s="90" t="e">
        <v>#VALUE!</v>
      </c>
      <c r="MJ6" s="90" t="e">
        <v>#VALUE!</v>
      </c>
      <c r="MK6" s="90" t="e">
        <v>#VALUE!</v>
      </c>
      <c r="ML6" s="90" t="e">
        <v>#VALUE!</v>
      </c>
      <c r="MM6" s="90" t="e">
        <v>#VALUE!</v>
      </c>
      <c r="MN6" s="90" t="e">
        <v>#VALUE!</v>
      </c>
      <c r="MO6" s="90" t="e">
        <v>#VALUE!</v>
      </c>
      <c r="MP6" s="90" t="e">
        <v>#VALUE!</v>
      </c>
      <c r="MQ6" s="90" t="e">
        <v>#VALUE!</v>
      </c>
      <c r="MR6" s="90" t="e">
        <v>#VALUE!</v>
      </c>
      <c r="MS6" s="90" t="e">
        <v>#VALUE!</v>
      </c>
      <c r="MT6" s="90" t="e">
        <v>#VALUE!</v>
      </c>
      <c r="MU6" s="90" t="e">
        <v>#VALUE!</v>
      </c>
      <c r="MV6" s="90" t="e">
        <v>#VALUE!</v>
      </c>
      <c r="MW6" s="90" t="e">
        <v>#VALUE!</v>
      </c>
      <c r="MX6" s="90" t="e">
        <v>#VALUE!</v>
      </c>
      <c r="MY6" s="90" t="e">
        <v>#VALUE!</v>
      </c>
      <c r="MZ6" s="90" t="e">
        <v>#VALUE!</v>
      </c>
      <c r="NA6" s="90" t="e">
        <v>#VALUE!</v>
      </c>
      <c r="NB6" s="90" t="e">
        <v>#VALUE!</v>
      </c>
      <c r="NC6" s="90" t="e">
        <v>#VALUE!</v>
      </c>
      <c r="ND6" s="90" t="e">
        <v>#VALUE!</v>
      </c>
      <c r="NE6" s="90" t="e">
        <v>#VALUE!</v>
      </c>
      <c r="NF6" s="90" t="e">
        <v>#VALUE!</v>
      </c>
      <c r="NG6" s="90" t="e">
        <v>#VALUE!</v>
      </c>
    </row>
    <row r="7" spans="1:371" x14ac:dyDescent="0.3">
      <c r="A7" s="394" t="s">
        <v>406</v>
      </c>
      <c r="D7" s="90" t="e">
        <f t="shared" ref="D7:BO7" si="6">SUM(D5:D6)</f>
        <v>#VALUE!</v>
      </c>
      <c r="E7" s="90" t="e">
        <f t="shared" si="6"/>
        <v>#VALUE!</v>
      </c>
      <c r="F7" s="90" t="e">
        <f t="shared" si="6"/>
        <v>#VALUE!</v>
      </c>
      <c r="G7" s="90" t="e">
        <f t="shared" si="6"/>
        <v>#VALUE!</v>
      </c>
      <c r="H7" s="90" t="e">
        <f t="shared" si="6"/>
        <v>#VALUE!</v>
      </c>
      <c r="I7" s="90" t="e">
        <f t="shared" si="6"/>
        <v>#VALUE!</v>
      </c>
      <c r="J7" s="90" t="e">
        <f t="shared" si="6"/>
        <v>#VALUE!</v>
      </c>
      <c r="K7" s="90" t="e">
        <f t="shared" si="6"/>
        <v>#VALUE!</v>
      </c>
      <c r="L7" s="90" t="e">
        <f t="shared" si="6"/>
        <v>#VALUE!</v>
      </c>
      <c r="M7" s="90" t="e">
        <f t="shared" si="6"/>
        <v>#VALUE!</v>
      </c>
      <c r="N7" s="90" t="e">
        <f t="shared" si="6"/>
        <v>#VALUE!</v>
      </c>
      <c r="O7" s="90" t="e">
        <f t="shared" si="6"/>
        <v>#VALUE!</v>
      </c>
      <c r="P7" s="90" t="e">
        <f t="shared" si="6"/>
        <v>#VALUE!</v>
      </c>
      <c r="Q7" s="90" t="e">
        <f t="shared" si="6"/>
        <v>#VALUE!</v>
      </c>
      <c r="R7" s="90" t="e">
        <f t="shared" si="6"/>
        <v>#VALUE!</v>
      </c>
      <c r="S7" s="90" t="e">
        <f t="shared" si="6"/>
        <v>#VALUE!</v>
      </c>
      <c r="T7" s="90" t="e">
        <f t="shared" si="6"/>
        <v>#VALUE!</v>
      </c>
      <c r="U7" s="90" t="e">
        <f t="shared" si="6"/>
        <v>#VALUE!</v>
      </c>
      <c r="V7" s="90" t="e">
        <f t="shared" si="6"/>
        <v>#VALUE!</v>
      </c>
      <c r="W7" s="90" t="e">
        <f t="shared" si="6"/>
        <v>#VALUE!</v>
      </c>
      <c r="X7" s="90" t="e">
        <f t="shared" si="6"/>
        <v>#VALUE!</v>
      </c>
      <c r="Y7" s="90" t="e">
        <f t="shared" si="6"/>
        <v>#VALUE!</v>
      </c>
      <c r="Z7" s="90" t="e">
        <f t="shared" si="6"/>
        <v>#VALUE!</v>
      </c>
      <c r="AA7" s="90" t="e">
        <f t="shared" si="6"/>
        <v>#VALUE!</v>
      </c>
      <c r="AB7" s="90" t="e">
        <f t="shared" si="6"/>
        <v>#VALUE!</v>
      </c>
      <c r="AC7" s="90" t="e">
        <f t="shared" si="6"/>
        <v>#VALUE!</v>
      </c>
      <c r="AD7" s="90" t="e">
        <f t="shared" si="6"/>
        <v>#VALUE!</v>
      </c>
      <c r="AE7" s="90" t="e">
        <f t="shared" si="6"/>
        <v>#VALUE!</v>
      </c>
      <c r="AF7" s="90" t="e">
        <f t="shared" si="6"/>
        <v>#VALUE!</v>
      </c>
      <c r="AG7" s="90" t="e">
        <f t="shared" si="6"/>
        <v>#VALUE!</v>
      </c>
      <c r="AH7" s="90" t="e">
        <f t="shared" si="6"/>
        <v>#VALUE!</v>
      </c>
      <c r="AI7" s="90" t="e">
        <f t="shared" si="6"/>
        <v>#VALUE!</v>
      </c>
      <c r="AJ7" s="90" t="e">
        <f t="shared" si="6"/>
        <v>#VALUE!</v>
      </c>
      <c r="AK7" s="90" t="e">
        <f t="shared" si="6"/>
        <v>#VALUE!</v>
      </c>
      <c r="AL7" s="90" t="e">
        <f t="shared" si="6"/>
        <v>#VALUE!</v>
      </c>
      <c r="AM7" s="90" t="e">
        <f t="shared" si="6"/>
        <v>#VALUE!</v>
      </c>
      <c r="AN7" s="90" t="e">
        <f t="shared" si="6"/>
        <v>#VALUE!</v>
      </c>
      <c r="AO7" s="90" t="e">
        <f t="shared" si="6"/>
        <v>#VALUE!</v>
      </c>
      <c r="AP7" s="90" t="e">
        <f t="shared" si="6"/>
        <v>#VALUE!</v>
      </c>
      <c r="AQ7" s="90" t="e">
        <f t="shared" si="6"/>
        <v>#VALUE!</v>
      </c>
      <c r="AR7" s="90" t="e">
        <f t="shared" si="6"/>
        <v>#VALUE!</v>
      </c>
      <c r="AS7" s="90" t="e">
        <f t="shared" si="6"/>
        <v>#VALUE!</v>
      </c>
      <c r="AT7" s="90" t="e">
        <f t="shared" si="6"/>
        <v>#VALUE!</v>
      </c>
      <c r="AU7" s="90" t="e">
        <f t="shared" si="6"/>
        <v>#VALUE!</v>
      </c>
      <c r="AV7" s="90" t="e">
        <f t="shared" si="6"/>
        <v>#VALUE!</v>
      </c>
      <c r="AW7" s="90" t="e">
        <f t="shared" si="6"/>
        <v>#VALUE!</v>
      </c>
      <c r="AX7" s="90" t="e">
        <f t="shared" si="6"/>
        <v>#VALUE!</v>
      </c>
      <c r="AY7" s="90" t="e">
        <f t="shared" si="6"/>
        <v>#VALUE!</v>
      </c>
      <c r="AZ7" s="90" t="e">
        <f t="shared" si="6"/>
        <v>#VALUE!</v>
      </c>
      <c r="BA7" s="90" t="e">
        <f t="shared" si="6"/>
        <v>#VALUE!</v>
      </c>
      <c r="BB7" s="90" t="e">
        <f t="shared" si="6"/>
        <v>#VALUE!</v>
      </c>
      <c r="BC7" s="90" t="e">
        <f t="shared" si="6"/>
        <v>#VALUE!</v>
      </c>
      <c r="BD7" s="90" t="e">
        <f t="shared" si="6"/>
        <v>#VALUE!</v>
      </c>
      <c r="BE7" s="90" t="e">
        <f t="shared" si="6"/>
        <v>#VALUE!</v>
      </c>
      <c r="BF7" s="90" t="e">
        <f t="shared" si="6"/>
        <v>#VALUE!</v>
      </c>
      <c r="BG7" s="90" t="e">
        <f t="shared" si="6"/>
        <v>#VALUE!</v>
      </c>
      <c r="BH7" s="90" t="e">
        <f t="shared" si="6"/>
        <v>#VALUE!</v>
      </c>
      <c r="BI7" s="90" t="e">
        <f t="shared" si="6"/>
        <v>#VALUE!</v>
      </c>
      <c r="BJ7" s="90" t="e">
        <f t="shared" si="6"/>
        <v>#VALUE!</v>
      </c>
      <c r="BK7" s="90" t="e">
        <f t="shared" si="6"/>
        <v>#VALUE!</v>
      </c>
      <c r="BL7" s="90" t="e">
        <f t="shared" si="6"/>
        <v>#VALUE!</v>
      </c>
      <c r="BM7" s="90" t="e">
        <f t="shared" si="6"/>
        <v>#VALUE!</v>
      </c>
      <c r="BN7" s="90" t="e">
        <f t="shared" si="6"/>
        <v>#VALUE!</v>
      </c>
      <c r="BO7" s="90" t="e">
        <f t="shared" si="6"/>
        <v>#VALUE!</v>
      </c>
      <c r="BP7" s="90" t="e">
        <f t="shared" ref="BP7:EA7" si="7">SUM(BP5:BP6)</f>
        <v>#VALUE!</v>
      </c>
      <c r="BQ7" s="90" t="e">
        <f t="shared" si="7"/>
        <v>#VALUE!</v>
      </c>
      <c r="BR7" s="90" t="e">
        <f t="shared" si="7"/>
        <v>#VALUE!</v>
      </c>
      <c r="BS7" s="90" t="e">
        <f t="shared" si="7"/>
        <v>#VALUE!</v>
      </c>
      <c r="BT7" s="90" t="e">
        <f t="shared" si="7"/>
        <v>#VALUE!</v>
      </c>
      <c r="BU7" s="90" t="e">
        <f t="shared" si="7"/>
        <v>#VALUE!</v>
      </c>
      <c r="BV7" s="90" t="e">
        <f t="shared" si="7"/>
        <v>#VALUE!</v>
      </c>
      <c r="BW7" s="90" t="e">
        <f t="shared" si="7"/>
        <v>#VALUE!</v>
      </c>
      <c r="BX7" s="90" t="e">
        <f t="shared" si="7"/>
        <v>#VALUE!</v>
      </c>
      <c r="BY7" s="90" t="e">
        <f t="shared" si="7"/>
        <v>#VALUE!</v>
      </c>
      <c r="BZ7" s="90" t="e">
        <f t="shared" si="7"/>
        <v>#VALUE!</v>
      </c>
      <c r="CA7" s="90" t="e">
        <f t="shared" si="7"/>
        <v>#VALUE!</v>
      </c>
      <c r="CB7" s="90" t="e">
        <f t="shared" si="7"/>
        <v>#VALUE!</v>
      </c>
      <c r="CC7" s="90" t="e">
        <f t="shared" si="7"/>
        <v>#VALUE!</v>
      </c>
      <c r="CD7" s="90" t="e">
        <f t="shared" si="7"/>
        <v>#VALUE!</v>
      </c>
      <c r="CE7" s="90" t="e">
        <f t="shared" si="7"/>
        <v>#VALUE!</v>
      </c>
      <c r="CF7" s="90" t="e">
        <f t="shared" si="7"/>
        <v>#VALUE!</v>
      </c>
      <c r="CG7" s="90" t="e">
        <f t="shared" si="7"/>
        <v>#VALUE!</v>
      </c>
      <c r="CH7" s="90" t="e">
        <f t="shared" si="7"/>
        <v>#VALUE!</v>
      </c>
      <c r="CI7" s="90" t="e">
        <f t="shared" si="7"/>
        <v>#VALUE!</v>
      </c>
      <c r="CJ7" s="90" t="e">
        <f t="shared" si="7"/>
        <v>#VALUE!</v>
      </c>
      <c r="CK7" s="90" t="e">
        <f t="shared" si="7"/>
        <v>#VALUE!</v>
      </c>
      <c r="CL7" s="90" t="e">
        <f t="shared" si="7"/>
        <v>#VALUE!</v>
      </c>
      <c r="CM7" s="90" t="e">
        <f t="shared" si="7"/>
        <v>#VALUE!</v>
      </c>
      <c r="CN7" s="90" t="e">
        <f t="shared" si="7"/>
        <v>#VALUE!</v>
      </c>
      <c r="CO7" s="90" t="e">
        <f t="shared" si="7"/>
        <v>#VALUE!</v>
      </c>
      <c r="CP7" s="90" t="e">
        <f t="shared" si="7"/>
        <v>#VALUE!</v>
      </c>
      <c r="CQ7" s="90" t="e">
        <f t="shared" si="7"/>
        <v>#VALUE!</v>
      </c>
      <c r="CR7" s="90" t="e">
        <f t="shared" si="7"/>
        <v>#VALUE!</v>
      </c>
      <c r="CS7" s="90" t="e">
        <f t="shared" si="7"/>
        <v>#VALUE!</v>
      </c>
      <c r="CT7" s="90" t="e">
        <f t="shared" si="7"/>
        <v>#VALUE!</v>
      </c>
      <c r="CU7" s="90" t="e">
        <f t="shared" si="7"/>
        <v>#VALUE!</v>
      </c>
      <c r="CV7" s="90" t="e">
        <f t="shared" si="7"/>
        <v>#VALUE!</v>
      </c>
      <c r="CW7" s="90" t="e">
        <f t="shared" si="7"/>
        <v>#VALUE!</v>
      </c>
      <c r="CX7" s="90" t="e">
        <f t="shared" si="7"/>
        <v>#VALUE!</v>
      </c>
      <c r="CY7" s="90" t="e">
        <f t="shared" si="7"/>
        <v>#VALUE!</v>
      </c>
      <c r="CZ7" s="90" t="e">
        <f t="shared" si="7"/>
        <v>#VALUE!</v>
      </c>
      <c r="DA7" s="90" t="e">
        <f t="shared" si="7"/>
        <v>#VALUE!</v>
      </c>
      <c r="DB7" s="90" t="e">
        <f t="shared" si="7"/>
        <v>#VALUE!</v>
      </c>
      <c r="DC7" s="90" t="e">
        <f t="shared" si="7"/>
        <v>#VALUE!</v>
      </c>
      <c r="DD7" s="90" t="e">
        <f t="shared" si="7"/>
        <v>#VALUE!</v>
      </c>
      <c r="DE7" s="90" t="e">
        <f t="shared" si="7"/>
        <v>#VALUE!</v>
      </c>
      <c r="DF7" s="90" t="e">
        <f t="shared" si="7"/>
        <v>#VALUE!</v>
      </c>
      <c r="DG7" s="90" t="e">
        <f t="shared" si="7"/>
        <v>#VALUE!</v>
      </c>
      <c r="DH7" s="90" t="e">
        <f t="shared" si="7"/>
        <v>#VALUE!</v>
      </c>
      <c r="DI7" s="90" t="e">
        <f t="shared" si="7"/>
        <v>#VALUE!</v>
      </c>
      <c r="DJ7" s="90" t="e">
        <f t="shared" si="7"/>
        <v>#VALUE!</v>
      </c>
      <c r="DK7" s="90" t="e">
        <f t="shared" si="7"/>
        <v>#VALUE!</v>
      </c>
      <c r="DL7" s="90" t="e">
        <f t="shared" si="7"/>
        <v>#VALUE!</v>
      </c>
      <c r="DM7" s="90" t="e">
        <f t="shared" si="7"/>
        <v>#VALUE!</v>
      </c>
      <c r="DN7" s="90" t="e">
        <f t="shared" si="7"/>
        <v>#VALUE!</v>
      </c>
      <c r="DO7" s="90" t="e">
        <f t="shared" si="7"/>
        <v>#VALUE!</v>
      </c>
      <c r="DP7" s="90" t="e">
        <f t="shared" si="7"/>
        <v>#VALUE!</v>
      </c>
      <c r="DQ7" s="90" t="e">
        <f t="shared" si="7"/>
        <v>#VALUE!</v>
      </c>
      <c r="DR7" s="90" t="e">
        <f t="shared" si="7"/>
        <v>#VALUE!</v>
      </c>
      <c r="DS7" s="90" t="e">
        <f t="shared" si="7"/>
        <v>#VALUE!</v>
      </c>
      <c r="DT7" s="90" t="e">
        <f t="shared" si="7"/>
        <v>#VALUE!</v>
      </c>
      <c r="DU7" s="90" t="e">
        <f t="shared" si="7"/>
        <v>#VALUE!</v>
      </c>
      <c r="DV7" s="90" t="e">
        <f t="shared" si="7"/>
        <v>#VALUE!</v>
      </c>
      <c r="DW7" s="90" t="e">
        <f t="shared" si="7"/>
        <v>#VALUE!</v>
      </c>
      <c r="DX7" s="90" t="e">
        <f t="shared" si="7"/>
        <v>#VALUE!</v>
      </c>
      <c r="DY7" s="90" t="e">
        <f t="shared" si="7"/>
        <v>#VALUE!</v>
      </c>
      <c r="DZ7" s="90" t="e">
        <f t="shared" si="7"/>
        <v>#VALUE!</v>
      </c>
      <c r="EA7" s="90" t="e">
        <f t="shared" si="7"/>
        <v>#VALUE!</v>
      </c>
      <c r="EB7" s="90" t="e">
        <f t="shared" ref="EB7:GM7" si="8">SUM(EB5:EB6)</f>
        <v>#VALUE!</v>
      </c>
      <c r="EC7" s="90" t="e">
        <f t="shared" si="8"/>
        <v>#VALUE!</v>
      </c>
      <c r="ED7" s="90" t="e">
        <f t="shared" si="8"/>
        <v>#VALUE!</v>
      </c>
      <c r="EE7" s="90" t="e">
        <f t="shared" si="8"/>
        <v>#VALUE!</v>
      </c>
      <c r="EF7" s="90" t="e">
        <f t="shared" si="8"/>
        <v>#VALUE!</v>
      </c>
      <c r="EG7" s="90" t="e">
        <f t="shared" si="8"/>
        <v>#VALUE!</v>
      </c>
      <c r="EH7" s="90" t="e">
        <f t="shared" si="8"/>
        <v>#VALUE!</v>
      </c>
      <c r="EI7" s="90" t="e">
        <f t="shared" si="8"/>
        <v>#VALUE!</v>
      </c>
      <c r="EJ7" s="90" t="e">
        <f t="shared" si="8"/>
        <v>#VALUE!</v>
      </c>
      <c r="EK7" s="90" t="e">
        <f t="shared" si="8"/>
        <v>#VALUE!</v>
      </c>
      <c r="EL7" s="90" t="e">
        <f t="shared" si="8"/>
        <v>#VALUE!</v>
      </c>
      <c r="EM7" s="90" t="e">
        <f t="shared" si="8"/>
        <v>#VALUE!</v>
      </c>
      <c r="EN7" s="90" t="e">
        <f t="shared" si="8"/>
        <v>#VALUE!</v>
      </c>
      <c r="EO7" s="90" t="e">
        <f t="shared" si="8"/>
        <v>#VALUE!</v>
      </c>
      <c r="EP7" s="90" t="e">
        <f t="shared" si="8"/>
        <v>#VALUE!</v>
      </c>
      <c r="EQ7" s="90" t="e">
        <f t="shared" si="8"/>
        <v>#VALUE!</v>
      </c>
      <c r="ER7" s="90" t="e">
        <f t="shared" si="8"/>
        <v>#VALUE!</v>
      </c>
      <c r="ES7" s="90" t="e">
        <f t="shared" si="8"/>
        <v>#VALUE!</v>
      </c>
      <c r="ET7" s="90" t="e">
        <f t="shared" si="8"/>
        <v>#VALUE!</v>
      </c>
      <c r="EU7" s="90" t="e">
        <f t="shared" si="8"/>
        <v>#VALUE!</v>
      </c>
      <c r="EV7" s="90" t="e">
        <f t="shared" si="8"/>
        <v>#VALUE!</v>
      </c>
      <c r="EW7" s="90" t="e">
        <f t="shared" si="8"/>
        <v>#VALUE!</v>
      </c>
      <c r="EX7" s="90" t="e">
        <f t="shared" si="8"/>
        <v>#VALUE!</v>
      </c>
      <c r="EY7" s="90" t="e">
        <f t="shared" si="8"/>
        <v>#VALUE!</v>
      </c>
      <c r="EZ7" s="90" t="e">
        <f t="shared" si="8"/>
        <v>#VALUE!</v>
      </c>
      <c r="FA7" s="90" t="e">
        <f t="shared" si="8"/>
        <v>#VALUE!</v>
      </c>
      <c r="FB7" s="90" t="e">
        <f t="shared" si="8"/>
        <v>#VALUE!</v>
      </c>
      <c r="FC7" s="90" t="e">
        <f t="shared" si="8"/>
        <v>#VALUE!</v>
      </c>
      <c r="FD7" s="90" t="e">
        <f t="shared" si="8"/>
        <v>#VALUE!</v>
      </c>
      <c r="FE7" s="90" t="e">
        <f t="shared" si="8"/>
        <v>#VALUE!</v>
      </c>
      <c r="FF7" s="90" t="e">
        <f t="shared" si="8"/>
        <v>#VALUE!</v>
      </c>
      <c r="FG7" s="90" t="e">
        <f t="shared" si="8"/>
        <v>#VALUE!</v>
      </c>
      <c r="FH7" s="90" t="e">
        <f t="shared" si="8"/>
        <v>#VALUE!</v>
      </c>
      <c r="FI7" s="90" t="e">
        <f t="shared" si="8"/>
        <v>#VALUE!</v>
      </c>
      <c r="FJ7" s="90" t="e">
        <f t="shared" si="8"/>
        <v>#VALUE!</v>
      </c>
      <c r="FK7" s="90" t="e">
        <f t="shared" si="8"/>
        <v>#VALUE!</v>
      </c>
      <c r="FL7" s="90" t="e">
        <f t="shared" si="8"/>
        <v>#VALUE!</v>
      </c>
      <c r="FM7" s="90" t="e">
        <f t="shared" si="8"/>
        <v>#VALUE!</v>
      </c>
      <c r="FN7" s="90" t="e">
        <f t="shared" si="8"/>
        <v>#VALUE!</v>
      </c>
      <c r="FO7" s="90" t="e">
        <f t="shared" si="8"/>
        <v>#VALUE!</v>
      </c>
      <c r="FP7" s="90" t="e">
        <f t="shared" si="8"/>
        <v>#VALUE!</v>
      </c>
      <c r="FQ7" s="90" t="e">
        <f t="shared" si="8"/>
        <v>#VALUE!</v>
      </c>
      <c r="FR7" s="90" t="e">
        <f t="shared" si="8"/>
        <v>#VALUE!</v>
      </c>
      <c r="FS7" s="90" t="e">
        <f t="shared" si="8"/>
        <v>#VALUE!</v>
      </c>
      <c r="FT7" s="90" t="e">
        <f t="shared" si="8"/>
        <v>#VALUE!</v>
      </c>
      <c r="FU7" s="90" t="e">
        <f t="shared" si="8"/>
        <v>#VALUE!</v>
      </c>
      <c r="FV7" s="90" t="e">
        <f t="shared" si="8"/>
        <v>#VALUE!</v>
      </c>
      <c r="FW7" s="90" t="e">
        <f t="shared" si="8"/>
        <v>#VALUE!</v>
      </c>
      <c r="FX7" s="90" t="e">
        <f t="shared" si="8"/>
        <v>#VALUE!</v>
      </c>
      <c r="FY7" s="90" t="e">
        <f t="shared" si="8"/>
        <v>#VALUE!</v>
      </c>
      <c r="FZ7" s="90" t="e">
        <f t="shared" si="8"/>
        <v>#VALUE!</v>
      </c>
      <c r="GA7" s="90" t="e">
        <f t="shared" si="8"/>
        <v>#VALUE!</v>
      </c>
      <c r="GB7" s="90" t="e">
        <f t="shared" si="8"/>
        <v>#VALUE!</v>
      </c>
      <c r="GC7" s="90" t="e">
        <f t="shared" si="8"/>
        <v>#VALUE!</v>
      </c>
      <c r="GD7" s="90" t="e">
        <f t="shared" si="8"/>
        <v>#VALUE!</v>
      </c>
      <c r="GE7" s="90" t="e">
        <f t="shared" si="8"/>
        <v>#VALUE!</v>
      </c>
      <c r="GF7" s="90" t="e">
        <f t="shared" si="8"/>
        <v>#VALUE!</v>
      </c>
      <c r="GG7" s="90" t="e">
        <f t="shared" si="8"/>
        <v>#VALUE!</v>
      </c>
      <c r="GH7" s="90" t="e">
        <f t="shared" si="8"/>
        <v>#VALUE!</v>
      </c>
      <c r="GI7" s="90" t="e">
        <f t="shared" si="8"/>
        <v>#VALUE!</v>
      </c>
      <c r="GJ7" s="90" t="e">
        <f t="shared" si="8"/>
        <v>#VALUE!</v>
      </c>
      <c r="GK7" s="90" t="e">
        <f t="shared" si="8"/>
        <v>#VALUE!</v>
      </c>
      <c r="GL7" s="90" t="e">
        <f t="shared" si="8"/>
        <v>#VALUE!</v>
      </c>
      <c r="GM7" s="90" t="e">
        <f t="shared" si="8"/>
        <v>#VALUE!</v>
      </c>
      <c r="GN7" s="90" t="e">
        <f t="shared" ref="GN7:IY7" si="9">SUM(GN5:GN6)</f>
        <v>#VALUE!</v>
      </c>
      <c r="GO7" s="90" t="e">
        <f t="shared" si="9"/>
        <v>#VALUE!</v>
      </c>
      <c r="GP7" s="90" t="e">
        <f t="shared" si="9"/>
        <v>#VALUE!</v>
      </c>
      <c r="GQ7" s="90" t="e">
        <f t="shared" si="9"/>
        <v>#VALUE!</v>
      </c>
      <c r="GR7" s="90" t="e">
        <f t="shared" si="9"/>
        <v>#VALUE!</v>
      </c>
      <c r="GS7" s="90" t="e">
        <f t="shared" si="9"/>
        <v>#VALUE!</v>
      </c>
      <c r="GT7" s="90" t="e">
        <f t="shared" si="9"/>
        <v>#VALUE!</v>
      </c>
      <c r="GU7" s="90" t="e">
        <f t="shared" si="9"/>
        <v>#VALUE!</v>
      </c>
      <c r="GV7" s="90" t="e">
        <f t="shared" si="9"/>
        <v>#VALUE!</v>
      </c>
      <c r="GW7" s="90" t="e">
        <f t="shared" si="9"/>
        <v>#VALUE!</v>
      </c>
      <c r="GX7" s="90" t="e">
        <f t="shared" si="9"/>
        <v>#VALUE!</v>
      </c>
      <c r="GY7" s="90" t="e">
        <f t="shared" si="9"/>
        <v>#VALUE!</v>
      </c>
      <c r="GZ7" s="90" t="e">
        <f t="shared" si="9"/>
        <v>#VALUE!</v>
      </c>
      <c r="HA7" s="90" t="e">
        <f t="shared" si="9"/>
        <v>#VALUE!</v>
      </c>
      <c r="HB7" s="90" t="e">
        <f t="shared" si="9"/>
        <v>#VALUE!</v>
      </c>
      <c r="HC7" s="90" t="e">
        <f t="shared" si="9"/>
        <v>#VALUE!</v>
      </c>
      <c r="HD7" s="90" t="e">
        <f t="shared" si="9"/>
        <v>#VALUE!</v>
      </c>
      <c r="HE7" s="90" t="e">
        <f t="shared" si="9"/>
        <v>#VALUE!</v>
      </c>
      <c r="HF7" s="90" t="e">
        <f t="shared" si="9"/>
        <v>#VALUE!</v>
      </c>
      <c r="HG7" s="90" t="e">
        <f t="shared" si="9"/>
        <v>#VALUE!</v>
      </c>
      <c r="HH7" s="90" t="e">
        <f t="shared" si="9"/>
        <v>#VALUE!</v>
      </c>
      <c r="HI7" s="90" t="e">
        <f t="shared" si="9"/>
        <v>#VALUE!</v>
      </c>
      <c r="HJ7" s="90" t="e">
        <f t="shared" si="9"/>
        <v>#VALUE!</v>
      </c>
      <c r="HK7" s="90" t="e">
        <f t="shared" si="9"/>
        <v>#VALUE!</v>
      </c>
      <c r="HL7" s="90" t="e">
        <f t="shared" si="9"/>
        <v>#VALUE!</v>
      </c>
      <c r="HM7" s="90" t="e">
        <f t="shared" si="9"/>
        <v>#VALUE!</v>
      </c>
      <c r="HN7" s="90" t="e">
        <f t="shared" si="9"/>
        <v>#VALUE!</v>
      </c>
      <c r="HO7" s="90" t="e">
        <f t="shared" si="9"/>
        <v>#VALUE!</v>
      </c>
      <c r="HP7" s="90" t="e">
        <f t="shared" si="9"/>
        <v>#VALUE!</v>
      </c>
      <c r="HQ7" s="90" t="e">
        <f t="shared" si="9"/>
        <v>#VALUE!</v>
      </c>
      <c r="HR7" s="90" t="e">
        <f t="shared" si="9"/>
        <v>#VALUE!</v>
      </c>
      <c r="HS7" s="90" t="e">
        <f t="shared" si="9"/>
        <v>#VALUE!</v>
      </c>
      <c r="HT7" s="90" t="e">
        <f t="shared" si="9"/>
        <v>#VALUE!</v>
      </c>
      <c r="HU7" s="90" t="e">
        <f t="shared" si="9"/>
        <v>#VALUE!</v>
      </c>
      <c r="HV7" s="90" t="e">
        <f t="shared" si="9"/>
        <v>#VALUE!</v>
      </c>
      <c r="HW7" s="90" t="e">
        <f t="shared" si="9"/>
        <v>#VALUE!</v>
      </c>
      <c r="HX7" s="90" t="e">
        <f t="shared" si="9"/>
        <v>#VALUE!</v>
      </c>
      <c r="HY7" s="90" t="e">
        <f t="shared" si="9"/>
        <v>#VALUE!</v>
      </c>
      <c r="HZ7" s="90" t="e">
        <f t="shared" si="9"/>
        <v>#VALUE!</v>
      </c>
      <c r="IA7" s="90" t="e">
        <f t="shared" si="9"/>
        <v>#VALUE!</v>
      </c>
      <c r="IB7" s="90" t="e">
        <f t="shared" si="9"/>
        <v>#VALUE!</v>
      </c>
      <c r="IC7" s="90" t="e">
        <f t="shared" si="9"/>
        <v>#VALUE!</v>
      </c>
      <c r="ID7" s="90" t="e">
        <f t="shared" si="9"/>
        <v>#VALUE!</v>
      </c>
      <c r="IE7" s="90" t="e">
        <f t="shared" si="9"/>
        <v>#VALUE!</v>
      </c>
      <c r="IF7" s="90" t="e">
        <f t="shared" si="9"/>
        <v>#VALUE!</v>
      </c>
      <c r="IG7" s="90" t="e">
        <f t="shared" si="9"/>
        <v>#VALUE!</v>
      </c>
      <c r="IH7" s="90" t="e">
        <f t="shared" si="9"/>
        <v>#VALUE!</v>
      </c>
      <c r="II7" s="90" t="e">
        <f t="shared" si="9"/>
        <v>#VALUE!</v>
      </c>
      <c r="IJ7" s="90" t="e">
        <f t="shared" si="9"/>
        <v>#VALUE!</v>
      </c>
      <c r="IK7" s="90" t="e">
        <f t="shared" si="9"/>
        <v>#VALUE!</v>
      </c>
      <c r="IL7" s="90" t="e">
        <f t="shared" si="9"/>
        <v>#VALUE!</v>
      </c>
      <c r="IM7" s="90" t="e">
        <f t="shared" si="9"/>
        <v>#VALUE!</v>
      </c>
      <c r="IN7" s="90" t="e">
        <f t="shared" si="9"/>
        <v>#VALUE!</v>
      </c>
      <c r="IO7" s="90" t="e">
        <f t="shared" si="9"/>
        <v>#VALUE!</v>
      </c>
      <c r="IP7" s="90" t="e">
        <f t="shared" si="9"/>
        <v>#VALUE!</v>
      </c>
      <c r="IQ7" s="90" t="e">
        <f t="shared" si="9"/>
        <v>#VALUE!</v>
      </c>
      <c r="IR7" s="90" t="e">
        <f t="shared" si="9"/>
        <v>#VALUE!</v>
      </c>
      <c r="IS7" s="90" t="e">
        <f t="shared" si="9"/>
        <v>#VALUE!</v>
      </c>
      <c r="IT7" s="90" t="e">
        <f t="shared" si="9"/>
        <v>#VALUE!</v>
      </c>
      <c r="IU7" s="90" t="e">
        <f t="shared" si="9"/>
        <v>#VALUE!</v>
      </c>
      <c r="IV7" s="90" t="e">
        <f t="shared" si="9"/>
        <v>#VALUE!</v>
      </c>
      <c r="IW7" s="90" t="e">
        <f t="shared" si="9"/>
        <v>#VALUE!</v>
      </c>
      <c r="IX7" s="90" t="e">
        <f t="shared" si="9"/>
        <v>#VALUE!</v>
      </c>
      <c r="IY7" s="90" t="e">
        <f t="shared" si="9"/>
        <v>#VALUE!</v>
      </c>
      <c r="IZ7" s="90" t="e">
        <f t="shared" ref="IZ7:LK7" si="10">SUM(IZ5:IZ6)</f>
        <v>#VALUE!</v>
      </c>
      <c r="JA7" s="90" t="e">
        <f t="shared" si="10"/>
        <v>#VALUE!</v>
      </c>
      <c r="JB7" s="90" t="e">
        <f t="shared" si="10"/>
        <v>#VALUE!</v>
      </c>
      <c r="JC7" s="90" t="e">
        <f t="shared" si="10"/>
        <v>#VALUE!</v>
      </c>
      <c r="JD7" s="90" t="e">
        <f t="shared" si="10"/>
        <v>#VALUE!</v>
      </c>
      <c r="JE7" s="90" t="e">
        <f t="shared" si="10"/>
        <v>#VALUE!</v>
      </c>
      <c r="JF7" s="90" t="e">
        <f t="shared" si="10"/>
        <v>#VALUE!</v>
      </c>
      <c r="JG7" s="90" t="e">
        <f t="shared" si="10"/>
        <v>#VALUE!</v>
      </c>
      <c r="JH7" s="90" t="e">
        <f t="shared" si="10"/>
        <v>#VALUE!</v>
      </c>
      <c r="JI7" s="90" t="e">
        <f t="shared" si="10"/>
        <v>#VALUE!</v>
      </c>
      <c r="JJ7" s="90" t="e">
        <f t="shared" si="10"/>
        <v>#VALUE!</v>
      </c>
      <c r="JK7" s="90" t="e">
        <f t="shared" si="10"/>
        <v>#VALUE!</v>
      </c>
      <c r="JL7" s="90" t="e">
        <f t="shared" si="10"/>
        <v>#VALUE!</v>
      </c>
      <c r="JM7" s="90" t="e">
        <f t="shared" si="10"/>
        <v>#VALUE!</v>
      </c>
      <c r="JN7" s="90" t="e">
        <f t="shared" si="10"/>
        <v>#VALUE!</v>
      </c>
      <c r="JO7" s="90" t="e">
        <f t="shared" si="10"/>
        <v>#VALUE!</v>
      </c>
      <c r="JP7" s="90" t="e">
        <f t="shared" si="10"/>
        <v>#VALUE!</v>
      </c>
      <c r="JQ7" s="90" t="e">
        <f t="shared" si="10"/>
        <v>#VALUE!</v>
      </c>
      <c r="JR7" s="90" t="e">
        <f t="shared" si="10"/>
        <v>#VALUE!</v>
      </c>
      <c r="JS7" s="90" t="e">
        <f t="shared" si="10"/>
        <v>#VALUE!</v>
      </c>
      <c r="JT7" s="90" t="e">
        <f t="shared" si="10"/>
        <v>#VALUE!</v>
      </c>
      <c r="JU7" s="90" t="e">
        <f t="shared" si="10"/>
        <v>#VALUE!</v>
      </c>
      <c r="JV7" s="90" t="e">
        <f t="shared" si="10"/>
        <v>#VALUE!</v>
      </c>
      <c r="JW7" s="90" t="e">
        <f t="shared" si="10"/>
        <v>#VALUE!</v>
      </c>
      <c r="JX7" s="90" t="e">
        <f t="shared" si="10"/>
        <v>#VALUE!</v>
      </c>
      <c r="JY7" s="90" t="e">
        <f t="shared" si="10"/>
        <v>#VALUE!</v>
      </c>
      <c r="JZ7" s="90" t="e">
        <f t="shared" si="10"/>
        <v>#VALUE!</v>
      </c>
      <c r="KA7" s="90" t="e">
        <f t="shared" si="10"/>
        <v>#VALUE!</v>
      </c>
      <c r="KB7" s="90" t="e">
        <f t="shared" si="10"/>
        <v>#VALUE!</v>
      </c>
      <c r="KC7" s="90" t="e">
        <f t="shared" si="10"/>
        <v>#VALUE!</v>
      </c>
      <c r="KD7" s="90" t="e">
        <f t="shared" si="10"/>
        <v>#VALUE!</v>
      </c>
      <c r="KE7" s="90" t="e">
        <f t="shared" si="10"/>
        <v>#VALUE!</v>
      </c>
      <c r="KF7" s="90" t="e">
        <f t="shared" si="10"/>
        <v>#VALUE!</v>
      </c>
      <c r="KG7" s="90" t="e">
        <f t="shared" si="10"/>
        <v>#VALUE!</v>
      </c>
      <c r="KH7" s="90" t="e">
        <f t="shared" si="10"/>
        <v>#VALUE!</v>
      </c>
      <c r="KI7" s="90" t="e">
        <f t="shared" si="10"/>
        <v>#VALUE!</v>
      </c>
      <c r="KJ7" s="90" t="e">
        <f t="shared" si="10"/>
        <v>#VALUE!</v>
      </c>
      <c r="KK7" s="90" t="e">
        <f t="shared" si="10"/>
        <v>#VALUE!</v>
      </c>
      <c r="KL7" s="90" t="e">
        <f t="shared" si="10"/>
        <v>#VALUE!</v>
      </c>
      <c r="KM7" s="90" t="e">
        <f t="shared" si="10"/>
        <v>#VALUE!</v>
      </c>
      <c r="KN7" s="90" t="e">
        <f t="shared" si="10"/>
        <v>#VALUE!</v>
      </c>
      <c r="KO7" s="90" t="e">
        <f t="shared" si="10"/>
        <v>#VALUE!</v>
      </c>
      <c r="KP7" s="90" t="e">
        <f t="shared" si="10"/>
        <v>#VALUE!</v>
      </c>
      <c r="KQ7" s="90" t="e">
        <f t="shared" si="10"/>
        <v>#VALUE!</v>
      </c>
      <c r="KR7" s="90" t="e">
        <f t="shared" si="10"/>
        <v>#VALUE!</v>
      </c>
      <c r="KS7" s="90" t="e">
        <f t="shared" si="10"/>
        <v>#VALUE!</v>
      </c>
      <c r="KT7" s="90" t="e">
        <f t="shared" si="10"/>
        <v>#VALUE!</v>
      </c>
      <c r="KU7" s="90" t="e">
        <f t="shared" si="10"/>
        <v>#VALUE!</v>
      </c>
      <c r="KV7" s="90" t="e">
        <f t="shared" si="10"/>
        <v>#VALUE!</v>
      </c>
      <c r="KW7" s="90" t="e">
        <f t="shared" si="10"/>
        <v>#VALUE!</v>
      </c>
      <c r="KX7" s="90" t="e">
        <f t="shared" si="10"/>
        <v>#VALUE!</v>
      </c>
      <c r="KY7" s="90" t="e">
        <f t="shared" si="10"/>
        <v>#VALUE!</v>
      </c>
      <c r="KZ7" s="90" t="e">
        <f t="shared" si="10"/>
        <v>#VALUE!</v>
      </c>
      <c r="LA7" s="90" t="e">
        <f t="shared" si="10"/>
        <v>#VALUE!</v>
      </c>
      <c r="LB7" s="90" t="e">
        <f t="shared" si="10"/>
        <v>#VALUE!</v>
      </c>
      <c r="LC7" s="90" t="e">
        <f t="shared" si="10"/>
        <v>#VALUE!</v>
      </c>
      <c r="LD7" s="90" t="e">
        <f t="shared" si="10"/>
        <v>#VALUE!</v>
      </c>
      <c r="LE7" s="90" t="e">
        <f t="shared" si="10"/>
        <v>#VALUE!</v>
      </c>
      <c r="LF7" s="90" t="e">
        <f t="shared" si="10"/>
        <v>#VALUE!</v>
      </c>
      <c r="LG7" s="90" t="e">
        <f t="shared" si="10"/>
        <v>#VALUE!</v>
      </c>
      <c r="LH7" s="90" t="e">
        <f t="shared" si="10"/>
        <v>#VALUE!</v>
      </c>
      <c r="LI7" s="90" t="e">
        <f t="shared" si="10"/>
        <v>#VALUE!</v>
      </c>
      <c r="LJ7" s="90" t="e">
        <f t="shared" si="10"/>
        <v>#VALUE!</v>
      </c>
      <c r="LK7" s="90" t="e">
        <f t="shared" si="10"/>
        <v>#VALUE!</v>
      </c>
      <c r="LL7" s="90" t="e">
        <f t="shared" ref="LL7:NG7" si="11">SUM(LL5:LL6)</f>
        <v>#VALUE!</v>
      </c>
      <c r="LM7" s="90" t="e">
        <f t="shared" si="11"/>
        <v>#VALUE!</v>
      </c>
      <c r="LN7" s="90" t="e">
        <f t="shared" si="11"/>
        <v>#VALUE!</v>
      </c>
      <c r="LO7" s="90" t="e">
        <f t="shared" si="11"/>
        <v>#VALUE!</v>
      </c>
      <c r="LP7" s="90" t="e">
        <f t="shared" si="11"/>
        <v>#VALUE!</v>
      </c>
      <c r="LQ7" s="90" t="e">
        <f t="shared" si="11"/>
        <v>#VALUE!</v>
      </c>
      <c r="LR7" s="90" t="e">
        <f t="shared" si="11"/>
        <v>#VALUE!</v>
      </c>
      <c r="LS7" s="90" t="e">
        <f t="shared" si="11"/>
        <v>#VALUE!</v>
      </c>
      <c r="LT7" s="90" t="e">
        <f t="shared" si="11"/>
        <v>#VALUE!</v>
      </c>
      <c r="LU7" s="90" t="e">
        <f t="shared" si="11"/>
        <v>#VALUE!</v>
      </c>
      <c r="LV7" s="90" t="e">
        <f t="shared" si="11"/>
        <v>#VALUE!</v>
      </c>
      <c r="LW7" s="90" t="e">
        <f t="shared" si="11"/>
        <v>#VALUE!</v>
      </c>
      <c r="LX7" s="90" t="e">
        <f t="shared" si="11"/>
        <v>#VALUE!</v>
      </c>
      <c r="LY7" s="90" t="e">
        <f t="shared" si="11"/>
        <v>#VALUE!</v>
      </c>
      <c r="LZ7" s="90" t="e">
        <f t="shared" si="11"/>
        <v>#VALUE!</v>
      </c>
      <c r="MA7" s="90" t="e">
        <f t="shared" si="11"/>
        <v>#VALUE!</v>
      </c>
      <c r="MB7" s="90" t="e">
        <f t="shared" si="11"/>
        <v>#VALUE!</v>
      </c>
      <c r="MC7" s="90" t="e">
        <f t="shared" si="11"/>
        <v>#VALUE!</v>
      </c>
      <c r="MD7" s="90" t="e">
        <f t="shared" si="11"/>
        <v>#VALUE!</v>
      </c>
      <c r="ME7" s="90" t="e">
        <f t="shared" si="11"/>
        <v>#VALUE!</v>
      </c>
      <c r="MF7" s="90" t="e">
        <f t="shared" si="11"/>
        <v>#VALUE!</v>
      </c>
      <c r="MG7" s="90" t="e">
        <f t="shared" si="11"/>
        <v>#VALUE!</v>
      </c>
      <c r="MH7" s="90" t="e">
        <f t="shared" si="11"/>
        <v>#VALUE!</v>
      </c>
      <c r="MI7" s="90" t="e">
        <f t="shared" si="11"/>
        <v>#VALUE!</v>
      </c>
      <c r="MJ7" s="90" t="e">
        <f t="shared" si="11"/>
        <v>#VALUE!</v>
      </c>
      <c r="MK7" s="90" t="e">
        <f t="shared" si="11"/>
        <v>#VALUE!</v>
      </c>
      <c r="ML7" s="90" t="e">
        <f t="shared" si="11"/>
        <v>#VALUE!</v>
      </c>
      <c r="MM7" s="90" t="e">
        <f t="shared" si="11"/>
        <v>#VALUE!</v>
      </c>
      <c r="MN7" s="90" t="e">
        <f t="shared" si="11"/>
        <v>#VALUE!</v>
      </c>
      <c r="MO7" s="90" t="e">
        <f t="shared" si="11"/>
        <v>#VALUE!</v>
      </c>
      <c r="MP7" s="90" t="e">
        <f t="shared" si="11"/>
        <v>#VALUE!</v>
      </c>
      <c r="MQ7" s="90" t="e">
        <f t="shared" si="11"/>
        <v>#VALUE!</v>
      </c>
      <c r="MR7" s="90" t="e">
        <f t="shared" si="11"/>
        <v>#VALUE!</v>
      </c>
      <c r="MS7" s="90" t="e">
        <f t="shared" si="11"/>
        <v>#VALUE!</v>
      </c>
      <c r="MT7" s="90" t="e">
        <f t="shared" si="11"/>
        <v>#VALUE!</v>
      </c>
      <c r="MU7" s="90" t="e">
        <f t="shared" si="11"/>
        <v>#VALUE!</v>
      </c>
      <c r="MV7" s="90" t="e">
        <f t="shared" si="11"/>
        <v>#VALUE!</v>
      </c>
      <c r="MW7" s="90" t="e">
        <f t="shared" si="11"/>
        <v>#VALUE!</v>
      </c>
      <c r="MX7" s="90" t="e">
        <f t="shared" si="11"/>
        <v>#VALUE!</v>
      </c>
      <c r="MY7" s="90" t="e">
        <f t="shared" si="11"/>
        <v>#VALUE!</v>
      </c>
      <c r="MZ7" s="90" t="e">
        <f t="shared" si="11"/>
        <v>#VALUE!</v>
      </c>
      <c r="NA7" s="90" t="e">
        <f t="shared" si="11"/>
        <v>#VALUE!</v>
      </c>
      <c r="NB7" s="90" t="e">
        <f t="shared" si="11"/>
        <v>#VALUE!</v>
      </c>
      <c r="NC7" s="90" t="e">
        <f t="shared" si="11"/>
        <v>#VALUE!</v>
      </c>
      <c r="ND7" s="90" t="e">
        <f t="shared" si="11"/>
        <v>#VALUE!</v>
      </c>
      <c r="NE7" s="90" t="e">
        <f t="shared" si="11"/>
        <v>#VALUE!</v>
      </c>
      <c r="NF7" s="90" t="e">
        <f t="shared" si="11"/>
        <v>#VALUE!</v>
      </c>
      <c r="NG7" s="90" t="e">
        <f t="shared" si="11"/>
        <v>#VALUE!</v>
      </c>
    </row>
    <row r="8" spans="1:371" x14ac:dyDescent="0.3">
      <c r="A8" s="394" t="s">
        <v>407</v>
      </c>
      <c r="D8" s="90" t="e">
        <v>#VALUE!</v>
      </c>
      <c r="E8" s="90" t="e">
        <v>#VALUE!</v>
      </c>
      <c r="F8" s="90" t="e">
        <v>#VALUE!</v>
      </c>
      <c r="G8" s="90" t="e">
        <v>#VALUE!</v>
      </c>
      <c r="H8" s="90" t="e">
        <v>#VALUE!</v>
      </c>
      <c r="I8" s="90" t="e">
        <v>#VALUE!</v>
      </c>
      <c r="J8" s="90" t="e">
        <v>#VALUE!</v>
      </c>
      <c r="K8" s="90" t="e">
        <v>#VALUE!</v>
      </c>
      <c r="L8" s="90" t="e">
        <v>#VALUE!</v>
      </c>
      <c r="M8" s="90" t="e">
        <v>#VALUE!</v>
      </c>
      <c r="N8" s="90" t="e">
        <v>#VALUE!</v>
      </c>
      <c r="O8" s="90" t="e">
        <v>#VALUE!</v>
      </c>
      <c r="P8" s="90" t="e">
        <v>#VALUE!</v>
      </c>
      <c r="Q8" s="90" t="e">
        <v>#VALUE!</v>
      </c>
      <c r="R8" s="90" t="e">
        <v>#VALUE!</v>
      </c>
      <c r="S8" s="90" t="e">
        <v>#VALUE!</v>
      </c>
      <c r="T8" s="90" t="e">
        <v>#VALUE!</v>
      </c>
      <c r="U8" s="90" t="e">
        <v>#VALUE!</v>
      </c>
      <c r="V8" s="90" t="e">
        <v>#VALUE!</v>
      </c>
      <c r="W8" s="90" t="e">
        <v>#VALUE!</v>
      </c>
      <c r="X8" s="90" t="e">
        <v>#VALUE!</v>
      </c>
      <c r="Y8" s="90" t="e">
        <v>#VALUE!</v>
      </c>
      <c r="Z8" s="90" t="e">
        <v>#VALUE!</v>
      </c>
      <c r="AA8" s="90" t="e">
        <v>#VALUE!</v>
      </c>
      <c r="AB8" s="90" t="e">
        <v>#VALUE!</v>
      </c>
      <c r="AC8" s="90" t="e">
        <v>#VALUE!</v>
      </c>
      <c r="AD8" s="90" t="e">
        <v>#VALUE!</v>
      </c>
      <c r="AE8" s="90" t="e">
        <v>#VALUE!</v>
      </c>
      <c r="AF8" s="90" t="e">
        <v>#VALUE!</v>
      </c>
      <c r="AG8" s="90" t="e">
        <v>#VALUE!</v>
      </c>
      <c r="AH8" s="90" t="e">
        <v>#VALUE!</v>
      </c>
      <c r="AI8" s="90" t="e">
        <v>#VALUE!</v>
      </c>
      <c r="AJ8" s="90" t="e">
        <v>#VALUE!</v>
      </c>
      <c r="AK8" s="90" t="e">
        <v>#VALUE!</v>
      </c>
      <c r="AL8" s="90" t="e">
        <v>#VALUE!</v>
      </c>
      <c r="AM8" s="90" t="e">
        <v>#VALUE!</v>
      </c>
      <c r="AN8" s="90" t="e">
        <v>#VALUE!</v>
      </c>
      <c r="AO8" s="90" t="e">
        <v>#VALUE!</v>
      </c>
      <c r="AP8" s="90" t="e">
        <v>#VALUE!</v>
      </c>
      <c r="AQ8" s="90" t="e">
        <v>#VALUE!</v>
      </c>
      <c r="AR8" s="90" t="e">
        <v>#VALUE!</v>
      </c>
      <c r="AS8" s="90" t="e">
        <v>#VALUE!</v>
      </c>
      <c r="AT8" s="90" t="e">
        <v>#VALUE!</v>
      </c>
      <c r="AU8" s="90" t="e">
        <v>#VALUE!</v>
      </c>
      <c r="AV8" s="90" t="e">
        <v>#VALUE!</v>
      </c>
      <c r="AW8" s="90" t="e">
        <v>#VALUE!</v>
      </c>
      <c r="AX8" s="90" t="e">
        <v>#VALUE!</v>
      </c>
      <c r="AY8" s="90" t="e">
        <v>#VALUE!</v>
      </c>
      <c r="AZ8" s="90" t="e">
        <v>#VALUE!</v>
      </c>
      <c r="BA8" s="90" t="e">
        <v>#VALUE!</v>
      </c>
      <c r="BB8" s="90" t="e">
        <v>#VALUE!</v>
      </c>
      <c r="BC8" s="90" t="e">
        <v>#VALUE!</v>
      </c>
      <c r="BD8" s="90" t="e">
        <v>#VALUE!</v>
      </c>
      <c r="BE8" s="90" t="e">
        <v>#VALUE!</v>
      </c>
      <c r="BF8" s="90" t="e">
        <v>#VALUE!</v>
      </c>
      <c r="BG8" s="90" t="e">
        <v>#VALUE!</v>
      </c>
      <c r="BH8" s="90" t="e">
        <v>#VALUE!</v>
      </c>
      <c r="BI8" s="90" t="e">
        <v>#VALUE!</v>
      </c>
      <c r="BJ8" s="90" t="e">
        <v>#VALUE!</v>
      </c>
      <c r="BK8" s="90" t="e">
        <v>#VALUE!</v>
      </c>
      <c r="BL8" s="90" t="e">
        <v>#VALUE!</v>
      </c>
      <c r="BM8" s="90" t="e">
        <v>#VALUE!</v>
      </c>
      <c r="BN8" s="90" t="e">
        <v>#VALUE!</v>
      </c>
      <c r="BO8" s="90" t="e">
        <v>#VALUE!</v>
      </c>
      <c r="BP8" s="90" t="e">
        <v>#VALUE!</v>
      </c>
      <c r="BQ8" s="90" t="e">
        <v>#VALUE!</v>
      </c>
      <c r="BR8" s="90" t="e">
        <v>#VALUE!</v>
      </c>
      <c r="BS8" s="90" t="e">
        <v>#VALUE!</v>
      </c>
      <c r="BT8" s="90" t="e">
        <v>#VALUE!</v>
      </c>
      <c r="BU8" s="90" t="e">
        <v>#VALUE!</v>
      </c>
      <c r="BV8" s="90" t="e">
        <v>#VALUE!</v>
      </c>
      <c r="BW8" s="90" t="e">
        <v>#VALUE!</v>
      </c>
      <c r="BX8" s="90" t="e">
        <v>#VALUE!</v>
      </c>
      <c r="BY8" s="90" t="e">
        <v>#VALUE!</v>
      </c>
      <c r="BZ8" s="90" t="e">
        <v>#VALUE!</v>
      </c>
      <c r="CA8" s="90" t="e">
        <v>#VALUE!</v>
      </c>
      <c r="CB8" s="90" t="e">
        <v>#VALUE!</v>
      </c>
      <c r="CC8" s="90" t="e">
        <v>#VALUE!</v>
      </c>
      <c r="CD8" s="90" t="e">
        <v>#VALUE!</v>
      </c>
      <c r="CE8" s="90" t="e">
        <v>#VALUE!</v>
      </c>
      <c r="CF8" s="90" t="e">
        <v>#VALUE!</v>
      </c>
      <c r="CG8" s="90" t="e">
        <v>#VALUE!</v>
      </c>
      <c r="CH8" s="90" t="e">
        <v>#VALUE!</v>
      </c>
      <c r="CI8" s="90" t="e">
        <v>#VALUE!</v>
      </c>
      <c r="CJ8" s="90" t="e">
        <v>#VALUE!</v>
      </c>
      <c r="CK8" s="90" t="e">
        <v>#VALUE!</v>
      </c>
      <c r="CL8" s="90" t="e">
        <v>#VALUE!</v>
      </c>
      <c r="CM8" s="90" t="e">
        <v>#VALUE!</v>
      </c>
      <c r="CN8" s="90" t="e">
        <v>#VALUE!</v>
      </c>
      <c r="CO8" s="90" t="e">
        <v>#VALUE!</v>
      </c>
      <c r="CP8" s="90" t="e">
        <v>#VALUE!</v>
      </c>
      <c r="CQ8" s="90" t="e">
        <v>#VALUE!</v>
      </c>
      <c r="CR8" s="90" t="e">
        <v>#VALUE!</v>
      </c>
      <c r="CS8" s="90" t="e">
        <v>#VALUE!</v>
      </c>
      <c r="CT8" s="90" t="e">
        <v>#VALUE!</v>
      </c>
      <c r="CU8" s="90" t="e">
        <v>#VALUE!</v>
      </c>
      <c r="CV8" s="90" t="e">
        <v>#VALUE!</v>
      </c>
      <c r="CW8" s="90" t="e">
        <v>#VALUE!</v>
      </c>
      <c r="CX8" s="90" t="e">
        <v>#VALUE!</v>
      </c>
      <c r="CY8" s="90" t="e">
        <v>#VALUE!</v>
      </c>
      <c r="CZ8" s="90" t="e">
        <v>#VALUE!</v>
      </c>
      <c r="DA8" s="90" t="e">
        <v>#VALUE!</v>
      </c>
      <c r="DB8" s="90" t="e">
        <v>#VALUE!</v>
      </c>
      <c r="DC8" s="90" t="e">
        <v>#VALUE!</v>
      </c>
      <c r="DD8" s="90" t="e">
        <v>#VALUE!</v>
      </c>
      <c r="DE8" s="90" t="e">
        <v>#VALUE!</v>
      </c>
      <c r="DF8" s="90" t="e">
        <v>#VALUE!</v>
      </c>
      <c r="DG8" s="90" t="e">
        <v>#VALUE!</v>
      </c>
      <c r="DH8" s="90" t="e">
        <v>#VALUE!</v>
      </c>
      <c r="DI8" s="90" t="e">
        <v>#VALUE!</v>
      </c>
      <c r="DJ8" s="90" t="e">
        <v>#VALUE!</v>
      </c>
      <c r="DK8" s="90" t="e">
        <v>#VALUE!</v>
      </c>
      <c r="DL8" s="90" t="e">
        <v>#VALUE!</v>
      </c>
      <c r="DM8" s="90" t="e">
        <v>#VALUE!</v>
      </c>
      <c r="DN8" s="90" t="e">
        <v>#VALUE!</v>
      </c>
      <c r="DO8" s="90" t="e">
        <v>#VALUE!</v>
      </c>
      <c r="DP8" s="90" t="e">
        <v>#VALUE!</v>
      </c>
      <c r="DQ8" s="90" t="e">
        <v>#VALUE!</v>
      </c>
      <c r="DR8" s="90" t="e">
        <v>#VALUE!</v>
      </c>
      <c r="DS8" s="90" t="e">
        <v>#VALUE!</v>
      </c>
      <c r="DT8" s="90" t="e">
        <v>#VALUE!</v>
      </c>
      <c r="DU8" s="90" t="e">
        <v>#VALUE!</v>
      </c>
      <c r="DV8" s="90" t="e">
        <v>#VALUE!</v>
      </c>
      <c r="DW8" s="90" t="e">
        <v>#VALUE!</v>
      </c>
      <c r="DX8" s="90" t="e">
        <v>#VALUE!</v>
      </c>
      <c r="DY8" s="90" t="e">
        <v>#VALUE!</v>
      </c>
      <c r="DZ8" s="90" t="e">
        <v>#VALUE!</v>
      </c>
      <c r="EA8" s="90" t="e">
        <v>#VALUE!</v>
      </c>
      <c r="EB8" s="90" t="e">
        <v>#VALUE!</v>
      </c>
      <c r="EC8" s="90" t="e">
        <v>#VALUE!</v>
      </c>
      <c r="ED8" s="90" t="e">
        <v>#VALUE!</v>
      </c>
      <c r="EE8" s="90" t="e">
        <v>#VALUE!</v>
      </c>
      <c r="EF8" s="90" t="e">
        <v>#VALUE!</v>
      </c>
      <c r="EG8" s="90" t="e">
        <v>#VALUE!</v>
      </c>
      <c r="EH8" s="90" t="e">
        <v>#VALUE!</v>
      </c>
      <c r="EI8" s="90" t="e">
        <v>#VALUE!</v>
      </c>
      <c r="EJ8" s="90" t="e">
        <v>#VALUE!</v>
      </c>
      <c r="EK8" s="90" t="e">
        <v>#VALUE!</v>
      </c>
      <c r="EL8" s="90" t="e">
        <v>#VALUE!</v>
      </c>
      <c r="EM8" s="90" t="e">
        <v>#VALUE!</v>
      </c>
      <c r="EN8" s="90" t="e">
        <v>#VALUE!</v>
      </c>
      <c r="EO8" s="90" t="e">
        <v>#VALUE!</v>
      </c>
      <c r="EP8" s="90" t="e">
        <v>#VALUE!</v>
      </c>
      <c r="EQ8" s="90" t="e">
        <v>#VALUE!</v>
      </c>
      <c r="ER8" s="90" t="e">
        <v>#VALUE!</v>
      </c>
      <c r="ES8" s="90" t="e">
        <v>#VALUE!</v>
      </c>
      <c r="ET8" s="90" t="e">
        <v>#VALUE!</v>
      </c>
      <c r="EU8" s="90" t="e">
        <v>#VALUE!</v>
      </c>
      <c r="EV8" s="90" t="e">
        <v>#VALUE!</v>
      </c>
      <c r="EW8" s="90" t="e">
        <v>#VALUE!</v>
      </c>
      <c r="EX8" s="90" t="e">
        <v>#VALUE!</v>
      </c>
      <c r="EY8" s="90" t="e">
        <v>#VALUE!</v>
      </c>
      <c r="EZ8" s="90" t="e">
        <v>#VALUE!</v>
      </c>
      <c r="FA8" s="90" t="e">
        <v>#VALUE!</v>
      </c>
      <c r="FB8" s="90" t="e">
        <v>#VALUE!</v>
      </c>
      <c r="FC8" s="90" t="e">
        <v>#VALUE!</v>
      </c>
      <c r="FD8" s="90" t="e">
        <v>#VALUE!</v>
      </c>
      <c r="FE8" s="90" t="e">
        <v>#VALUE!</v>
      </c>
      <c r="FF8" s="90" t="e">
        <v>#VALUE!</v>
      </c>
      <c r="FG8" s="90" t="e">
        <v>#VALUE!</v>
      </c>
      <c r="FH8" s="90" t="e">
        <v>#VALUE!</v>
      </c>
      <c r="FI8" s="90" t="e">
        <v>#VALUE!</v>
      </c>
      <c r="FJ8" s="90" t="e">
        <v>#VALUE!</v>
      </c>
      <c r="FK8" s="90" t="e">
        <v>#VALUE!</v>
      </c>
      <c r="FL8" s="90" t="e">
        <v>#VALUE!</v>
      </c>
      <c r="FM8" s="90" t="e">
        <v>#VALUE!</v>
      </c>
      <c r="FN8" s="90" t="e">
        <v>#VALUE!</v>
      </c>
      <c r="FO8" s="90" t="e">
        <v>#VALUE!</v>
      </c>
      <c r="FP8" s="90" t="e">
        <v>#VALUE!</v>
      </c>
      <c r="FQ8" s="90" t="e">
        <v>#VALUE!</v>
      </c>
      <c r="FR8" s="90" t="e">
        <v>#VALUE!</v>
      </c>
      <c r="FS8" s="90" t="e">
        <v>#VALUE!</v>
      </c>
      <c r="FT8" s="90" t="e">
        <v>#VALUE!</v>
      </c>
      <c r="FU8" s="90" t="e">
        <v>#VALUE!</v>
      </c>
      <c r="FV8" s="90" t="e">
        <v>#VALUE!</v>
      </c>
      <c r="FW8" s="90" t="e">
        <v>#VALUE!</v>
      </c>
      <c r="FX8" s="90" t="e">
        <v>#VALUE!</v>
      </c>
      <c r="FY8" s="90" t="e">
        <v>#VALUE!</v>
      </c>
      <c r="FZ8" s="90" t="e">
        <v>#VALUE!</v>
      </c>
      <c r="GA8" s="90" t="e">
        <v>#VALUE!</v>
      </c>
      <c r="GB8" s="90" t="e">
        <v>#VALUE!</v>
      </c>
      <c r="GC8" s="90" t="e">
        <v>#VALUE!</v>
      </c>
      <c r="GD8" s="90" t="e">
        <v>#VALUE!</v>
      </c>
      <c r="GE8" s="90" t="e">
        <v>#VALUE!</v>
      </c>
      <c r="GF8" s="90" t="e">
        <v>#VALUE!</v>
      </c>
      <c r="GG8" s="90" t="e">
        <v>#VALUE!</v>
      </c>
      <c r="GH8" s="90" t="e">
        <v>#VALUE!</v>
      </c>
      <c r="GI8" s="90" t="e">
        <v>#VALUE!</v>
      </c>
      <c r="GJ8" s="90" t="e">
        <v>#VALUE!</v>
      </c>
      <c r="GK8" s="90" t="e">
        <v>#VALUE!</v>
      </c>
      <c r="GL8" s="90" t="e">
        <v>#VALUE!</v>
      </c>
      <c r="GM8" s="90" t="e">
        <v>#VALUE!</v>
      </c>
      <c r="GN8" s="90" t="e">
        <v>#VALUE!</v>
      </c>
      <c r="GO8" s="90" t="e">
        <v>#VALUE!</v>
      </c>
      <c r="GP8" s="90" t="e">
        <v>#VALUE!</v>
      </c>
      <c r="GQ8" s="90" t="e">
        <v>#VALUE!</v>
      </c>
      <c r="GR8" s="90" t="e">
        <v>#VALUE!</v>
      </c>
      <c r="GS8" s="90" t="e">
        <v>#VALUE!</v>
      </c>
      <c r="GT8" s="90" t="e">
        <v>#VALUE!</v>
      </c>
      <c r="GU8" s="90" t="e">
        <v>#VALUE!</v>
      </c>
      <c r="GV8" s="90" t="e">
        <v>#VALUE!</v>
      </c>
      <c r="GW8" s="90" t="e">
        <v>#VALUE!</v>
      </c>
      <c r="GX8" s="90" t="e">
        <v>#VALUE!</v>
      </c>
      <c r="GY8" s="90" t="e">
        <v>#VALUE!</v>
      </c>
      <c r="GZ8" s="90" t="e">
        <v>#VALUE!</v>
      </c>
      <c r="HA8" s="90" t="e">
        <v>#VALUE!</v>
      </c>
      <c r="HB8" s="90" t="e">
        <v>#VALUE!</v>
      </c>
      <c r="HC8" s="90" t="e">
        <v>#VALUE!</v>
      </c>
      <c r="HD8" s="90" t="e">
        <v>#VALUE!</v>
      </c>
      <c r="HE8" s="90" t="e">
        <v>#VALUE!</v>
      </c>
      <c r="HF8" s="90" t="e">
        <v>#VALUE!</v>
      </c>
      <c r="HG8" s="90" t="e">
        <v>#VALUE!</v>
      </c>
      <c r="HH8" s="90" t="e">
        <v>#VALUE!</v>
      </c>
      <c r="HI8" s="90" t="e">
        <v>#VALUE!</v>
      </c>
      <c r="HJ8" s="90" t="e">
        <v>#VALUE!</v>
      </c>
      <c r="HK8" s="90" t="e">
        <v>#VALUE!</v>
      </c>
      <c r="HL8" s="90" t="e">
        <v>#VALUE!</v>
      </c>
      <c r="HM8" s="90" t="e">
        <v>#VALUE!</v>
      </c>
      <c r="HN8" s="90" t="e">
        <v>#VALUE!</v>
      </c>
      <c r="HO8" s="90" t="e">
        <v>#VALUE!</v>
      </c>
      <c r="HP8" s="90" t="e">
        <v>#VALUE!</v>
      </c>
      <c r="HQ8" s="90" t="e">
        <v>#VALUE!</v>
      </c>
      <c r="HR8" s="90" t="e">
        <v>#VALUE!</v>
      </c>
      <c r="HS8" s="90" t="e">
        <v>#VALUE!</v>
      </c>
      <c r="HT8" s="90" t="e">
        <v>#VALUE!</v>
      </c>
      <c r="HU8" s="90" t="e">
        <v>#VALUE!</v>
      </c>
      <c r="HV8" s="90" t="e">
        <v>#VALUE!</v>
      </c>
      <c r="HW8" s="90" t="e">
        <v>#VALUE!</v>
      </c>
      <c r="HX8" s="90" t="e">
        <v>#VALUE!</v>
      </c>
      <c r="HY8" s="90" t="e">
        <v>#VALUE!</v>
      </c>
      <c r="HZ8" s="90" t="e">
        <v>#VALUE!</v>
      </c>
      <c r="IA8" s="90" t="e">
        <v>#VALUE!</v>
      </c>
      <c r="IB8" s="90" t="e">
        <v>#VALUE!</v>
      </c>
      <c r="IC8" s="90" t="e">
        <v>#VALUE!</v>
      </c>
      <c r="ID8" s="90" t="e">
        <v>#VALUE!</v>
      </c>
      <c r="IE8" s="90" t="e">
        <v>#VALUE!</v>
      </c>
      <c r="IF8" s="90" t="e">
        <v>#VALUE!</v>
      </c>
      <c r="IG8" s="90" t="e">
        <v>#VALUE!</v>
      </c>
      <c r="IH8" s="90" t="e">
        <v>#VALUE!</v>
      </c>
      <c r="II8" s="90" t="e">
        <v>#VALUE!</v>
      </c>
      <c r="IJ8" s="90" t="e">
        <v>#VALUE!</v>
      </c>
      <c r="IK8" s="90" t="e">
        <v>#VALUE!</v>
      </c>
      <c r="IL8" s="90" t="e">
        <v>#VALUE!</v>
      </c>
      <c r="IM8" s="90" t="e">
        <v>#VALUE!</v>
      </c>
      <c r="IN8" s="90" t="e">
        <v>#VALUE!</v>
      </c>
      <c r="IO8" s="90" t="e">
        <v>#VALUE!</v>
      </c>
      <c r="IP8" s="90" t="e">
        <v>#VALUE!</v>
      </c>
      <c r="IQ8" s="90" t="e">
        <v>#VALUE!</v>
      </c>
      <c r="IR8" s="90" t="e">
        <v>#VALUE!</v>
      </c>
      <c r="IS8" s="90" t="e">
        <v>#VALUE!</v>
      </c>
      <c r="IT8" s="90" t="e">
        <v>#VALUE!</v>
      </c>
      <c r="IU8" s="90" t="e">
        <v>#VALUE!</v>
      </c>
      <c r="IV8" s="90" t="e">
        <v>#VALUE!</v>
      </c>
      <c r="IW8" s="90" t="e">
        <v>#VALUE!</v>
      </c>
      <c r="IX8" s="90" t="e">
        <v>#VALUE!</v>
      </c>
      <c r="IY8" s="90" t="e">
        <v>#VALUE!</v>
      </c>
      <c r="IZ8" s="90" t="e">
        <v>#VALUE!</v>
      </c>
      <c r="JA8" s="90" t="e">
        <v>#VALUE!</v>
      </c>
      <c r="JB8" s="90" t="e">
        <v>#VALUE!</v>
      </c>
      <c r="JC8" s="90" t="e">
        <v>#VALUE!</v>
      </c>
      <c r="JD8" s="90" t="e">
        <v>#VALUE!</v>
      </c>
      <c r="JE8" s="90" t="e">
        <v>#VALUE!</v>
      </c>
      <c r="JF8" s="90" t="e">
        <v>#VALUE!</v>
      </c>
      <c r="JG8" s="90" t="e">
        <v>#VALUE!</v>
      </c>
      <c r="JH8" s="90" t="e">
        <v>#VALUE!</v>
      </c>
      <c r="JI8" s="90" t="e">
        <v>#VALUE!</v>
      </c>
      <c r="JJ8" s="90" t="e">
        <v>#VALUE!</v>
      </c>
      <c r="JK8" s="90" t="e">
        <v>#VALUE!</v>
      </c>
      <c r="JL8" s="90" t="e">
        <v>#VALUE!</v>
      </c>
      <c r="JM8" s="90" t="e">
        <v>#VALUE!</v>
      </c>
      <c r="JN8" s="90" t="e">
        <v>#VALUE!</v>
      </c>
      <c r="JO8" s="90" t="e">
        <v>#VALUE!</v>
      </c>
      <c r="JP8" s="90" t="e">
        <v>#VALUE!</v>
      </c>
      <c r="JQ8" s="90" t="e">
        <v>#VALUE!</v>
      </c>
      <c r="JR8" s="90" t="e">
        <v>#VALUE!</v>
      </c>
      <c r="JS8" s="90" t="e">
        <v>#VALUE!</v>
      </c>
      <c r="JT8" s="90" t="e">
        <v>#VALUE!</v>
      </c>
      <c r="JU8" s="90" t="e">
        <v>#VALUE!</v>
      </c>
      <c r="JV8" s="90" t="e">
        <v>#VALUE!</v>
      </c>
      <c r="JW8" s="90" t="e">
        <v>#VALUE!</v>
      </c>
      <c r="JX8" s="90" t="e">
        <v>#VALUE!</v>
      </c>
      <c r="JY8" s="90" t="e">
        <v>#VALUE!</v>
      </c>
      <c r="JZ8" s="90" t="e">
        <v>#VALUE!</v>
      </c>
      <c r="KA8" s="90" t="e">
        <v>#VALUE!</v>
      </c>
      <c r="KB8" s="90" t="e">
        <v>#VALUE!</v>
      </c>
      <c r="KC8" s="90" t="e">
        <v>#VALUE!</v>
      </c>
      <c r="KD8" s="90" t="e">
        <v>#VALUE!</v>
      </c>
      <c r="KE8" s="90" t="e">
        <v>#VALUE!</v>
      </c>
      <c r="KF8" s="90" t="e">
        <v>#VALUE!</v>
      </c>
      <c r="KG8" s="90" t="e">
        <v>#VALUE!</v>
      </c>
      <c r="KH8" s="90" t="e">
        <v>#VALUE!</v>
      </c>
      <c r="KI8" s="90" t="e">
        <v>#VALUE!</v>
      </c>
      <c r="KJ8" s="90" t="e">
        <v>#VALUE!</v>
      </c>
      <c r="KK8" s="90" t="e">
        <v>#VALUE!</v>
      </c>
      <c r="KL8" s="90" t="e">
        <v>#VALUE!</v>
      </c>
      <c r="KM8" s="90" t="e">
        <v>#VALUE!</v>
      </c>
      <c r="KN8" s="90" t="e">
        <v>#VALUE!</v>
      </c>
      <c r="KO8" s="90" t="e">
        <v>#VALUE!</v>
      </c>
      <c r="KP8" s="90" t="e">
        <v>#VALUE!</v>
      </c>
      <c r="KQ8" s="90" t="e">
        <v>#VALUE!</v>
      </c>
      <c r="KR8" s="90" t="e">
        <v>#VALUE!</v>
      </c>
      <c r="KS8" s="90" t="e">
        <v>#VALUE!</v>
      </c>
      <c r="KT8" s="90" t="e">
        <v>#VALUE!</v>
      </c>
      <c r="KU8" s="90" t="e">
        <v>#VALUE!</v>
      </c>
      <c r="KV8" s="90" t="e">
        <v>#VALUE!</v>
      </c>
      <c r="KW8" s="90" t="e">
        <v>#VALUE!</v>
      </c>
      <c r="KX8" s="90" t="e">
        <v>#VALUE!</v>
      </c>
      <c r="KY8" s="90" t="e">
        <v>#VALUE!</v>
      </c>
      <c r="KZ8" s="90" t="e">
        <v>#VALUE!</v>
      </c>
      <c r="LA8" s="90" t="e">
        <v>#VALUE!</v>
      </c>
      <c r="LB8" s="90" t="e">
        <v>#VALUE!</v>
      </c>
      <c r="LC8" s="90" t="e">
        <v>#VALUE!</v>
      </c>
      <c r="LD8" s="90" t="e">
        <v>#VALUE!</v>
      </c>
      <c r="LE8" s="90" t="e">
        <v>#VALUE!</v>
      </c>
      <c r="LF8" s="90" t="e">
        <v>#VALUE!</v>
      </c>
      <c r="LG8" s="90" t="e">
        <v>#VALUE!</v>
      </c>
      <c r="LH8" s="90" t="e">
        <v>#VALUE!</v>
      </c>
      <c r="LI8" s="90" t="e">
        <v>#VALUE!</v>
      </c>
      <c r="LJ8" s="90" t="e">
        <v>#VALUE!</v>
      </c>
      <c r="LK8" s="90" t="e">
        <v>#VALUE!</v>
      </c>
      <c r="LL8" s="90" t="e">
        <v>#VALUE!</v>
      </c>
      <c r="LM8" s="90" t="e">
        <v>#VALUE!</v>
      </c>
      <c r="LN8" s="90" t="e">
        <v>#VALUE!</v>
      </c>
      <c r="LO8" s="90" t="e">
        <v>#VALUE!</v>
      </c>
      <c r="LP8" s="90" t="e">
        <v>#VALUE!</v>
      </c>
      <c r="LQ8" s="90" t="e">
        <v>#VALUE!</v>
      </c>
      <c r="LR8" s="90" t="e">
        <v>#VALUE!</v>
      </c>
      <c r="LS8" s="90" t="e">
        <v>#VALUE!</v>
      </c>
      <c r="LT8" s="90" t="e">
        <v>#VALUE!</v>
      </c>
      <c r="LU8" s="90" t="e">
        <v>#VALUE!</v>
      </c>
      <c r="LV8" s="90" t="e">
        <v>#VALUE!</v>
      </c>
      <c r="LW8" s="90" t="e">
        <v>#VALUE!</v>
      </c>
      <c r="LX8" s="90" t="e">
        <v>#VALUE!</v>
      </c>
      <c r="LY8" s="90" t="e">
        <v>#VALUE!</v>
      </c>
      <c r="LZ8" s="90" t="e">
        <v>#VALUE!</v>
      </c>
      <c r="MA8" s="90" t="e">
        <v>#VALUE!</v>
      </c>
      <c r="MB8" s="90" t="e">
        <v>#VALUE!</v>
      </c>
      <c r="MC8" s="90" t="e">
        <v>#VALUE!</v>
      </c>
      <c r="MD8" s="90" t="e">
        <v>#VALUE!</v>
      </c>
      <c r="ME8" s="90" t="e">
        <v>#VALUE!</v>
      </c>
      <c r="MF8" s="90" t="e">
        <v>#VALUE!</v>
      </c>
      <c r="MG8" s="90" t="e">
        <v>#VALUE!</v>
      </c>
      <c r="MH8" s="90" t="e">
        <v>#VALUE!</v>
      </c>
      <c r="MI8" s="90" t="e">
        <v>#VALUE!</v>
      </c>
      <c r="MJ8" s="90" t="e">
        <v>#VALUE!</v>
      </c>
      <c r="MK8" s="90" t="e">
        <v>#VALUE!</v>
      </c>
      <c r="ML8" s="90" t="e">
        <v>#VALUE!</v>
      </c>
      <c r="MM8" s="90" t="e">
        <v>#VALUE!</v>
      </c>
      <c r="MN8" s="90" t="e">
        <v>#VALUE!</v>
      </c>
      <c r="MO8" s="90" t="e">
        <v>#VALUE!</v>
      </c>
      <c r="MP8" s="90" t="e">
        <v>#VALUE!</v>
      </c>
      <c r="MQ8" s="90" t="e">
        <v>#VALUE!</v>
      </c>
      <c r="MR8" s="90" t="e">
        <v>#VALUE!</v>
      </c>
      <c r="MS8" s="90" t="e">
        <v>#VALUE!</v>
      </c>
      <c r="MT8" s="90" t="e">
        <v>#VALUE!</v>
      </c>
      <c r="MU8" s="90" t="e">
        <v>#VALUE!</v>
      </c>
      <c r="MV8" s="90" t="e">
        <v>#VALUE!</v>
      </c>
      <c r="MW8" s="90" t="e">
        <v>#VALUE!</v>
      </c>
      <c r="MX8" s="90" t="e">
        <v>#VALUE!</v>
      </c>
      <c r="MY8" s="90" t="e">
        <v>#VALUE!</v>
      </c>
      <c r="MZ8" s="90" t="e">
        <v>#VALUE!</v>
      </c>
      <c r="NA8" s="90" t="e">
        <v>#VALUE!</v>
      </c>
      <c r="NB8" s="90" t="e">
        <v>#VALUE!</v>
      </c>
      <c r="NC8" s="90" t="e">
        <v>#VALUE!</v>
      </c>
      <c r="ND8" s="90" t="e">
        <v>#VALUE!</v>
      </c>
      <c r="NE8" s="90" t="e">
        <v>#VALUE!</v>
      </c>
      <c r="NF8" s="90" t="e">
        <v>#VALUE!</v>
      </c>
      <c r="NG8" s="90" t="e">
        <v>#VALUE!</v>
      </c>
    </row>
    <row r="9" spans="1:371" x14ac:dyDescent="0.3">
      <c r="A9" s="395" t="s">
        <v>408</v>
      </c>
      <c r="B9" s="3"/>
      <c r="C9" s="3"/>
      <c r="D9" s="396" t="e">
        <f t="shared" ref="D9:AI9" si="12">SUM(D7:D8)</f>
        <v>#VALUE!</v>
      </c>
      <c r="E9" s="396" t="e">
        <f t="shared" si="12"/>
        <v>#VALUE!</v>
      </c>
      <c r="F9" s="396" t="e">
        <f t="shared" si="12"/>
        <v>#VALUE!</v>
      </c>
      <c r="G9" s="396" t="e">
        <f t="shared" si="12"/>
        <v>#VALUE!</v>
      </c>
      <c r="H9" s="396" t="e">
        <f t="shared" si="12"/>
        <v>#VALUE!</v>
      </c>
      <c r="I9" s="396" t="e">
        <f t="shared" si="12"/>
        <v>#VALUE!</v>
      </c>
      <c r="J9" s="396" t="e">
        <f t="shared" si="12"/>
        <v>#VALUE!</v>
      </c>
      <c r="K9" s="396" t="e">
        <f t="shared" si="12"/>
        <v>#VALUE!</v>
      </c>
      <c r="L9" s="396" t="e">
        <f t="shared" si="12"/>
        <v>#VALUE!</v>
      </c>
      <c r="M9" s="396" t="e">
        <f t="shared" si="12"/>
        <v>#VALUE!</v>
      </c>
      <c r="N9" s="396" t="e">
        <f t="shared" si="12"/>
        <v>#VALUE!</v>
      </c>
      <c r="O9" s="396" t="e">
        <f t="shared" si="12"/>
        <v>#VALUE!</v>
      </c>
      <c r="P9" s="396" t="e">
        <f t="shared" si="12"/>
        <v>#VALUE!</v>
      </c>
      <c r="Q9" s="396" t="e">
        <f t="shared" si="12"/>
        <v>#VALUE!</v>
      </c>
      <c r="R9" s="396" t="e">
        <f t="shared" si="12"/>
        <v>#VALUE!</v>
      </c>
      <c r="S9" s="396" t="e">
        <f t="shared" si="12"/>
        <v>#VALUE!</v>
      </c>
      <c r="T9" s="396" t="e">
        <f t="shared" si="12"/>
        <v>#VALUE!</v>
      </c>
      <c r="U9" s="396" t="e">
        <f t="shared" si="12"/>
        <v>#VALUE!</v>
      </c>
      <c r="V9" s="396" t="e">
        <f t="shared" si="12"/>
        <v>#VALUE!</v>
      </c>
      <c r="W9" s="396" t="e">
        <f t="shared" si="12"/>
        <v>#VALUE!</v>
      </c>
      <c r="X9" s="396" t="e">
        <f t="shared" si="12"/>
        <v>#VALUE!</v>
      </c>
      <c r="Y9" s="396" t="e">
        <f t="shared" si="12"/>
        <v>#VALUE!</v>
      </c>
      <c r="Z9" s="396" t="e">
        <f t="shared" si="12"/>
        <v>#VALUE!</v>
      </c>
      <c r="AA9" s="396" t="e">
        <f t="shared" si="12"/>
        <v>#VALUE!</v>
      </c>
      <c r="AB9" s="396" t="e">
        <f t="shared" si="12"/>
        <v>#VALUE!</v>
      </c>
      <c r="AC9" s="396" t="e">
        <f t="shared" si="12"/>
        <v>#VALUE!</v>
      </c>
      <c r="AD9" s="396" t="e">
        <f t="shared" si="12"/>
        <v>#VALUE!</v>
      </c>
      <c r="AE9" s="396" t="e">
        <f t="shared" si="12"/>
        <v>#VALUE!</v>
      </c>
      <c r="AF9" s="396" t="e">
        <f t="shared" si="12"/>
        <v>#VALUE!</v>
      </c>
      <c r="AG9" s="396" t="e">
        <f t="shared" si="12"/>
        <v>#VALUE!</v>
      </c>
      <c r="AH9" s="396" t="e">
        <f t="shared" si="12"/>
        <v>#VALUE!</v>
      </c>
      <c r="AI9" s="396" t="e">
        <f t="shared" si="12"/>
        <v>#VALUE!</v>
      </c>
      <c r="AJ9" s="396" t="e">
        <f t="shared" ref="AJ9:CU9" si="13">SUM(AJ7:AJ8)</f>
        <v>#VALUE!</v>
      </c>
      <c r="AK9" s="396" t="e">
        <f t="shared" si="13"/>
        <v>#VALUE!</v>
      </c>
      <c r="AL9" s="396" t="e">
        <f t="shared" si="13"/>
        <v>#VALUE!</v>
      </c>
      <c r="AM9" s="396" t="e">
        <f t="shared" si="13"/>
        <v>#VALUE!</v>
      </c>
      <c r="AN9" s="396" t="e">
        <f t="shared" si="13"/>
        <v>#VALUE!</v>
      </c>
      <c r="AO9" s="396" t="e">
        <f t="shared" si="13"/>
        <v>#VALUE!</v>
      </c>
      <c r="AP9" s="396" t="e">
        <f t="shared" si="13"/>
        <v>#VALUE!</v>
      </c>
      <c r="AQ9" s="396" t="e">
        <f t="shared" si="13"/>
        <v>#VALUE!</v>
      </c>
      <c r="AR9" s="396" t="e">
        <f t="shared" si="13"/>
        <v>#VALUE!</v>
      </c>
      <c r="AS9" s="396" t="e">
        <f t="shared" si="13"/>
        <v>#VALUE!</v>
      </c>
      <c r="AT9" s="396" t="e">
        <f t="shared" si="13"/>
        <v>#VALUE!</v>
      </c>
      <c r="AU9" s="396" t="e">
        <f t="shared" si="13"/>
        <v>#VALUE!</v>
      </c>
      <c r="AV9" s="396" t="e">
        <f t="shared" si="13"/>
        <v>#VALUE!</v>
      </c>
      <c r="AW9" s="396" t="e">
        <f t="shared" si="13"/>
        <v>#VALUE!</v>
      </c>
      <c r="AX9" s="396" t="e">
        <f t="shared" si="13"/>
        <v>#VALUE!</v>
      </c>
      <c r="AY9" s="396" t="e">
        <f t="shared" si="13"/>
        <v>#VALUE!</v>
      </c>
      <c r="AZ9" s="396" t="e">
        <f t="shared" si="13"/>
        <v>#VALUE!</v>
      </c>
      <c r="BA9" s="396" t="e">
        <f t="shared" si="13"/>
        <v>#VALUE!</v>
      </c>
      <c r="BB9" s="396" t="e">
        <f t="shared" si="13"/>
        <v>#VALUE!</v>
      </c>
      <c r="BC9" s="396" t="e">
        <f t="shared" si="13"/>
        <v>#VALUE!</v>
      </c>
      <c r="BD9" s="396" t="e">
        <f t="shared" si="13"/>
        <v>#VALUE!</v>
      </c>
      <c r="BE9" s="396" t="e">
        <f t="shared" si="13"/>
        <v>#VALUE!</v>
      </c>
      <c r="BF9" s="396" t="e">
        <f t="shared" si="13"/>
        <v>#VALUE!</v>
      </c>
      <c r="BG9" s="396" t="e">
        <f t="shared" si="13"/>
        <v>#VALUE!</v>
      </c>
      <c r="BH9" s="396" t="e">
        <f t="shared" si="13"/>
        <v>#VALUE!</v>
      </c>
      <c r="BI9" s="396" t="e">
        <f t="shared" si="13"/>
        <v>#VALUE!</v>
      </c>
      <c r="BJ9" s="396" t="e">
        <f t="shared" si="13"/>
        <v>#VALUE!</v>
      </c>
      <c r="BK9" s="396" t="e">
        <f t="shared" si="13"/>
        <v>#VALUE!</v>
      </c>
      <c r="BL9" s="396" t="e">
        <f t="shared" si="13"/>
        <v>#VALUE!</v>
      </c>
      <c r="BM9" s="396" t="e">
        <f t="shared" si="13"/>
        <v>#VALUE!</v>
      </c>
      <c r="BN9" s="396" t="e">
        <f t="shared" si="13"/>
        <v>#VALUE!</v>
      </c>
      <c r="BO9" s="396" t="e">
        <f t="shared" si="13"/>
        <v>#VALUE!</v>
      </c>
      <c r="BP9" s="396" t="e">
        <f t="shared" si="13"/>
        <v>#VALUE!</v>
      </c>
      <c r="BQ9" s="396" t="e">
        <f t="shared" si="13"/>
        <v>#VALUE!</v>
      </c>
      <c r="BR9" s="396" t="e">
        <f t="shared" si="13"/>
        <v>#VALUE!</v>
      </c>
      <c r="BS9" s="396" t="e">
        <f t="shared" si="13"/>
        <v>#VALUE!</v>
      </c>
      <c r="BT9" s="396" t="e">
        <f t="shared" si="13"/>
        <v>#VALUE!</v>
      </c>
      <c r="BU9" s="396" t="e">
        <f t="shared" si="13"/>
        <v>#VALUE!</v>
      </c>
      <c r="BV9" s="396" t="e">
        <f t="shared" si="13"/>
        <v>#VALUE!</v>
      </c>
      <c r="BW9" s="396" t="e">
        <f t="shared" si="13"/>
        <v>#VALUE!</v>
      </c>
      <c r="BX9" s="396" t="e">
        <f t="shared" si="13"/>
        <v>#VALUE!</v>
      </c>
      <c r="BY9" s="396" t="e">
        <f t="shared" si="13"/>
        <v>#VALUE!</v>
      </c>
      <c r="BZ9" s="396" t="e">
        <f t="shared" si="13"/>
        <v>#VALUE!</v>
      </c>
      <c r="CA9" s="396" t="e">
        <f t="shared" si="13"/>
        <v>#VALUE!</v>
      </c>
      <c r="CB9" s="396" t="e">
        <f t="shared" si="13"/>
        <v>#VALUE!</v>
      </c>
      <c r="CC9" s="396" t="e">
        <f t="shared" si="13"/>
        <v>#VALUE!</v>
      </c>
      <c r="CD9" s="396" t="e">
        <f t="shared" si="13"/>
        <v>#VALUE!</v>
      </c>
      <c r="CE9" s="396" t="e">
        <f t="shared" si="13"/>
        <v>#VALUE!</v>
      </c>
      <c r="CF9" s="396" t="e">
        <f t="shared" si="13"/>
        <v>#VALUE!</v>
      </c>
      <c r="CG9" s="396" t="e">
        <f t="shared" si="13"/>
        <v>#VALUE!</v>
      </c>
      <c r="CH9" s="396" t="e">
        <f t="shared" si="13"/>
        <v>#VALUE!</v>
      </c>
      <c r="CI9" s="396" t="e">
        <f t="shared" si="13"/>
        <v>#VALUE!</v>
      </c>
      <c r="CJ9" s="396" t="e">
        <f t="shared" si="13"/>
        <v>#VALUE!</v>
      </c>
      <c r="CK9" s="396" t="e">
        <f t="shared" si="13"/>
        <v>#VALUE!</v>
      </c>
      <c r="CL9" s="396" t="e">
        <f t="shared" si="13"/>
        <v>#VALUE!</v>
      </c>
      <c r="CM9" s="396" t="e">
        <f t="shared" si="13"/>
        <v>#VALUE!</v>
      </c>
      <c r="CN9" s="396" t="e">
        <f t="shared" si="13"/>
        <v>#VALUE!</v>
      </c>
      <c r="CO9" s="396" t="e">
        <f t="shared" si="13"/>
        <v>#VALUE!</v>
      </c>
      <c r="CP9" s="396" t="e">
        <f t="shared" si="13"/>
        <v>#VALUE!</v>
      </c>
      <c r="CQ9" s="396" t="e">
        <f t="shared" si="13"/>
        <v>#VALUE!</v>
      </c>
      <c r="CR9" s="396" t="e">
        <f t="shared" si="13"/>
        <v>#VALUE!</v>
      </c>
      <c r="CS9" s="396" t="e">
        <f t="shared" si="13"/>
        <v>#VALUE!</v>
      </c>
      <c r="CT9" s="396" t="e">
        <f t="shared" si="13"/>
        <v>#VALUE!</v>
      </c>
      <c r="CU9" s="396" t="e">
        <f t="shared" si="13"/>
        <v>#VALUE!</v>
      </c>
      <c r="CV9" s="396" t="e">
        <f t="shared" ref="CV9:FG9" si="14">SUM(CV7:CV8)</f>
        <v>#VALUE!</v>
      </c>
      <c r="CW9" s="396" t="e">
        <f t="shared" si="14"/>
        <v>#VALUE!</v>
      </c>
      <c r="CX9" s="396" t="e">
        <f t="shared" si="14"/>
        <v>#VALUE!</v>
      </c>
      <c r="CY9" s="396" t="e">
        <f t="shared" si="14"/>
        <v>#VALUE!</v>
      </c>
      <c r="CZ9" s="396" t="e">
        <f t="shared" si="14"/>
        <v>#VALUE!</v>
      </c>
      <c r="DA9" s="396" t="e">
        <f t="shared" si="14"/>
        <v>#VALUE!</v>
      </c>
      <c r="DB9" s="396" t="e">
        <f t="shared" si="14"/>
        <v>#VALUE!</v>
      </c>
      <c r="DC9" s="396" t="e">
        <f t="shared" si="14"/>
        <v>#VALUE!</v>
      </c>
      <c r="DD9" s="396" t="e">
        <f t="shared" si="14"/>
        <v>#VALUE!</v>
      </c>
      <c r="DE9" s="396" t="e">
        <f t="shared" si="14"/>
        <v>#VALUE!</v>
      </c>
      <c r="DF9" s="396" t="e">
        <f t="shared" si="14"/>
        <v>#VALUE!</v>
      </c>
      <c r="DG9" s="396" t="e">
        <f t="shared" si="14"/>
        <v>#VALUE!</v>
      </c>
      <c r="DH9" s="396" t="e">
        <f t="shared" si="14"/>
        <v>#VALUE!</v>
      </c>
      <c r="DI9" s="396" t="e">
        <f t="shared" si="14"/>
        <v>#VALUE!</v>
      </c>
      <c r="DJ9" s="396" t="e">
        <f t="shared" si="14"/>
        <v>#VALUE!</v>
      </c>
      <c r="DK9" s="396" t="e">
        <f t="shared" si="14"/>
        <v>#VALUE!</v>
      </c>
      <c r="DL9" s="396" t="e">
        <f t="shared" si="14"/>
        <v>#VALUE!</v>
      </c>
      <c r="DM9" s="396" t="e">
        <f t="shared" si="14"/>
        <v>#VALUE!</v>
      </c>
      <c r="DN9" s="396" t="e">
        <f t="shared" si="14"/>
        <v>#VALUE!</v>
      </c>
      <c r="DO9" s="396" t="e">
        <f t="shared" si="14"/>
        <v>#VALUE!</v>
      </c>
      <c r="DP9" s="396" t="e">
        <f t="shared" si="14"/>
        <v>#VALUE!</v>
      </c>
      <c r="DQ9" s="396" t="e">
        <f t="shared" si="14"/>
        <v>#VALUE!</v>
      </c>
      <c r="DR9" s="396" t="e">
        <f t="shared" si="14"/>
        <v>#VALUE!</v>
      </c>
      <c r="DS9" s="396" t="e">
        <f t="shared" si="14"/>
        <v>#VALUE!</v>
      </c>
      <c r="DT9" s="396" t="e">
        <f t="shared" si="14"/>
        <v>#VALUE!</v>
      </c>
      <c r="DU9" s="396" t="e">
        <f t="shared" si="14"/>
        <v>#VALUE!</v>
      </c>
      <c r="DV9" s="396" t="e">
        <f t="shared" si="14"/>
        <v>#VALUE!</v>
      </c>
      <c r="DW9" s="396" t="e">
        <f t="shared" si="14"/>
        <v>#VALUE!</v>
      </c>
      <c r="DX9" s="396" t="e">
        <f t="shared" si="14"/>
        <v>#VALUE!</v>
      </c>
      <c r="DY9" s="396" t="e">
        <f t="shared" si="14"/>
        <v>#VALUE!</v>
      </c>
      <c r="DZ9" s="396" t="e">
        <f t="shared" si="14"/>
        <v>#VALUE!</v>
      </c>
      <c r="EA9" s="396" t="e">
        <f t="shared" si="14"/>
        <v>#VALUE!</v>
      </c>
      <c r="EB9" s="396" t="e">
        <f t="shared" si="14"/>
        <v>#VALUE!</v>
      </c>
      <c r="EC9" s="396" t="e">
        <f t="shared" si="14"/>
        <v>#VALUE!</v>
      </c>
      <c r="ED9" s="396" t="e">
        <f t="shared" si="14"/>
        <v>#VALUE!</v>
      </c>
      <c r="EE9" s="396" t="e">
        <f t="shared" si="14"/>
        <v>#VALUE!</v>
      </c>
      <c r="EF9" s="396" t="e">
        <f t="shared" si="14"/>
        <v>#VALUE!</v>
      </c>
      <c r="EG9" s="396" t="e">
        <f t="shared" si="14"/>
        <v>#VALUE!</v>
      </c>
      <c r="EH9" s="396" t="e">
        <f t="shared" si="14"/>
        <v>#VALUE!</v>
      </c>
      <c r="EI9" s="396" t="e">
        <f t="shared" si="14"/>
        <v>#VALUE!</v>
      </c>
      <c r="EJ9" s="396" t="e">
        <f t="shared" si="14"/>
        <v>#VALUE!</v>
      </c>
      <c r="EK9" s="396" t="e">
        <f t="shared" si="14"/>
        <v>#VALUE!</v>
      </c>
      <c r="EL9" s="396" t="e">
        <f t="shared" si="14"/>
        <v>#VALUE!</v>
      </c>
      <c r="EM9" s="396" t="e">
        <f t="shared" si="14"/>
        <v>#VALUE!</v>
      </c>
      <c r="EN9" s="396" t="e">
        <f t="shared" si="14"/>
        <v>#VALUE!</v>
      </c>
      <c r="EO9" s="396" t="e">
        <f t="shared" si="14"/>
        <v>#VALUE!</v>
      </c>
      <c r="EP9" s="396" t="e">
        <f t="shared" si="14"/>
        <v>#VALUE!</v>
      </c>
      <c r="EQ9" s="396" t="e">
        <f t="shared" si="14"/>
        <v>#VALUE!</v>
      </c>
      <c r="ER9" s="396" t="e">
        <f t="shared" si="14"/>
        <v>#VALUE!</v>
      </c>
      <c r="ES9" s="396" t="e">
        <f t="shared" si="14"/>
        <v>#VALUE!</v>
      </c>
      <c r="ET9" s="396" t="e">
        <f t="shared" si="14"/>
        <v>#VALUE!</v>
      </c>
      <c r="EU9" s="396" t="e">
        <f t="shared" si="14"/>
        <v>#VALUE!</v>
      </c>
      <c r="EV9" s="396" t="e">
        <f t="shared" si="14"/>
        <v>#VALUE!</v>
      </c>
      <c r="EW9" s="396" t="e">
        <f t="shared" si="14"/>
        <v>#VALUE!</v>
      </c>
      <c r="EX9" s="396" t="e">
        <f t="shared" si="14"/>
        <v>#VALUE!</v>
      </c>
      <c r="EY9" s="396" t="e">
        <f t="shared" si="14"/>
        <v>#VALUE!</v>
      </c>
      <c r="EZ9" s="396" t="e">
        <f t="shared" si="14"/>
        <v>#VALUE!</v>
      </c>
      <c r="FA9" s="396" t="e">
        <f t="shared" si="14"/>
        <v>#VALUE!</v>
      </c>
      <c r="FB9" s="396" t="e">
        <f t="shared" si="14"/>
        <v>#VALUE!</v>
      </c>
      <c r="FC9" s="396" t="e">
        <f t="shared" si="14"/>
        <v>#VALUE!</v>
      </c>
      <c r="FD9" s="396" t="e">
        <f t="shared" si="14"/>
        <v>#VALUE!</v>
      </c>
      <c r="FE9" s="396" t="e">
        <f t="shared" si="14"/>
        <v>#VALUE!</v>
      </c>
      <c r="FF9" s="396" t="e">
        <f t="shared" si="14"/>
        <v>#VALUE!</v>
      </c>
      <c r="FG9" s="396" t="e">
        <f t="shared" si="14"/>
        <v>#VALUE!</v>
      </c>
      <c r="FH9" s="396" t="e">
        <f t="shared" ref="FH9:HS9" si="15">SUM(FH7:FH8)</f>
        <v>#VALUE!</v>
      </c>
      <c r="FI9" s="396" t="e">
        <f t="shared" si="15"/>
        <v>#VALUE!</v>
      </c>
      <c r="FJ9" s="396" t="e">
        <f t="shared" si="15"/>
        <v>#VALUE!</v>
      </c>
      <c r="FK9" s="396" t="e">
        <f t="shared" si="15"/>
        <v>#VALUE!</v>
      </c>
      <c r="FL9" s="396" t="e">
        <f t="shared" si="15"/>
        <v>#VALUE!</v>
      </c>
      <c r="FM9" s="396" t="e">
        <f t="shared" si="15"/>
        <v>#VALUE!</v>
      </c>
      <c r="FN9" s="396" t="e">
        <f t="shared" si="15"/>
        <v>#VALUE!</v>
      </c>
      <c r="FO9" s="396" t="e">
        <f t="shared" si="15"/>
        <v>#VALUE!</v>
      </c>
      <c r="FP9" s="396" t="e">
        <f t="shared" si="15"/>
        <v>#VALUE!</v>
      </c>
      <c r="FQ9" s="396" t="e">
        <f t="shared" si="15"/>
        <v>#VALUE!</v>
      </c>
      <c r="FR9" s="396" t="e">
        <f t="shared" si="15"/>
        <v>#VALUE!</v>
      </c>
      <c r="FS9" s="396" t="e">
        <f t="shared" si="15"/>
        <v>#VALUE!</v>
      </c>
      <c r="FT9" s="396" t="e">
        <f t="shared" si="15"/>
        <v>#VALUE!</v>
      </c>
      <c r="FU9" s="396" t="e">
        <f t="shared" si="15"/>
        <v>#VALUE!</v>
      </c>
      <c r="FV9" s="396" t="e">
        <f t="shared" si="15"/>
        <v>#VALUE!</v>
      </c>
      <c r="FW9" s="396" t="e">
        <f t="shared" si="15"/>
        <v>#VALUE!</v>
      </c>
      <c r="FX9" s="396" t="e">
        <f t="shared" si="15"/>
        <v>#VALUE!</v>
      </c>
      <c r="FY9" s="396" t="e">
        <f t="shared" si="15"/>
        <v>#VALUE!</v>
      </c>
      <c r="FZ9" s="396" t="e">
        <f t="shared" si="15"/>
        <v>#VALUE!</v>
      </c>
      <c r="GA9" s="396" t="e">
        <f t="shared" si="15"/>
        <v>#VALUE!</v>
      </c>
      <c r="GB9" s="396" t="e">
        <f t="shared" si="15"/>
        <v>#VALUE!</v>
      </c>
      <c r="GC9" s="396" t="e">
        <f t="shared" si="15"/>
        <v>#VALUE!</v>
      </c>
      <c r="GD9" s="396" t="e">
        <f t="shared" si="15"/>
        <v>#VALUE!</v>
      </c>
      <c r="GE9" s="396" t="e">
        <f t="shared" si="15"/>
        <v>#VALUE!</v>
      </c>
      <c r="GF9" s="396" t="e">
        <f t="shared" si="15"/>
        <v>#VALUE!</v>
      </c>
      <c r="GG9" s="396" t="e">
        <f t="shared" si="15"/>
        <v>#VALUE!</v>
      </c>
      <c r="GH9" s="396" t="e">
        <f t="shared" si="15"/>
        <v>#VALUE!</v>
      </c>
      <c r="GI9" s="396" t="e">
        <f t="shared" si="15"/>
        <v>#VALUE!</v>
      </c>
      <c r="GJ9" s="396" t="e">
        <f t="shared" si="15"/>
        <v>#VALUE!</v>
      </c>
      <c r="GK9" s="396" t="e">
        <f t="shared" si="15"/>
        <v>#VALUE!</v>
      </c>
      <c r="GL9" s="396" t="e">
        <f t="shared" si="15"/>
        <v>#VALUE!</v>
      </c>
      <c r="GM9" s="396" t="e">
        <f t="shared" si="15"/>
        <v>#VALUE!</v>
      </c>
      <c r="GN9" s="396" t="e">
        <f t="shared" si="15"/>
        <v>#VALUE!</v>
      </c>
      <c r="GO9" s="396" t="e">
        <f t="shared" si="15"/>
        <v>#VALUE!</v>
      </c>
      <c r="GP9" s="396" t="e">
        <f t="shared" si="15"/>
        <v>#VALUE!</v>
      </c>
      <c r="GQ9" s="396" t="e">
        <f t="shared" si="15"/>
        <v>#VALUE!</v>
      </c>
      <c r="GR9" s="396" t="e">
        <f t="shared" si="15"/>
        <v>#VALUE!</v>
      </c>
      <c r="GS9" s="396" t="e">
        <f t="shared" si="15"/>
        <v>#VALUE!</v>
      </c>
      <c r="GT9" s="396" t="e">
        <f t="shared" si="15"/>
        <v>#VALUE!</v>
      </c>
      <c r="GU9" s="396" t="e">
        <f t="shared" si="15"/>
        <v>#VALUE!</v>
      </c>
      <c r="GV9" s="396" t="e">
        <f t="shared" si="15"/>
        <v>#VALUE!</v>
      </c>
      <c r="GW9" s="396" t="e">
        <f t="shared" si="15"/>
        <v>#VALUE!</v>
      </c>
      <c r="GX9" s="396" t="e">
        <f t="shared" si="15"/>
        <v>#VALUE!</v>
      </c>
      <c r="GY9" s="396" t="e">
        <f t="shared" si="15"/>
        <v>#VALUE!</v>
      </c>
      <c r="GZ9" s="396" t="e">
        <f t="shared" si="15"/>
        <v>#VALUE!</v>
      </c>
      <c r="HA9" s="396" t="e">
        <f t="shared" si="15"/>
        <v>#VALUE!</v>
      </c>
      <c r="HB9" s="396" t="e">
        <f t="shared" si="15"/>
        <v>#VALUE!</v>
      </c>
      <c r="HC9" s="396" t="e">
        <f t="shared" si="15"/>
        <v>#VALUE!</v>
      </c>
      <c r="HD9" s="396" t="e">
        <f t="shared" si="15"/>
        <v>#VALUE!</v>
      </c>
      <c r="HE9" s="396" t="e">
        <f t="shared" si="15"/>
        <v>#VALUE!</v>
      </c>
      <c r="HF9" s="396" t="e">
        <f t="shared" si="15"/>
        <v>#VALUE!</v>
      </c>
      <c r="HG9" s="396" t="e">
        <f t="shared" si="15"/>
        <v>#VALUE!</v>
      </c>
      <c r="HH9" s="396" t="e">
        <f t="shared" si="15"/>
        <v>#VALUE!</v>
      </c>
      <c r="HI9" s="396" t="e">
        <f t="shared" si="15"/>
        <v>#VALUE!</v>
      </c>
      <c r="HJ9" s="396" t="e">
        <f t="shared" si="15"/>
        <v>#VALUE!</v>
      </c>
      <c r="HK9" s="396" t="e">
        <f t="shared" si="15"/>
        <v>#VALUE!</v>
      </c>
      <c r="HL9" s="396" t="e">
        <f t="shared" si="15"/>
        <v>#VALUE!</v>
      </c>
      <c r="HM9" s="396" t="e">
        <f t="shared" si="15"/>
        <v>#VALUE!</v>
      </c>
      <c r="HN9" s="396" t="e">
        <f t="shared" si="15"/>
        <v>#VALUE!</v>
      </c>
      <c r="HO9" s="396" t="e">
        <f t="shared" si="15"/>
        <v>#VALUE!</v>
      </c>
      <c r="HP9" s="396" t="e">
        <f t="shared" si="15"/>
        <v>#VALUE!</v>
      </c>
      <c r="HQ9" s="396" t="e">
        <f t="shared" si="15"/>
        <v>#VALUE!</v>
      </c>
      <c r="HR9" s="396" t="e">
        <f t="shared" si="15"/>
        <v>#VALUE!</v>
      </c>
      <c r="HS9" s="396" t="e">
        <f t="shared" si="15"/>
        <v>#VALUE!</v>
      </c>
      <c r="HT9" s="396" t="e">
        <f t="shared" ref="HT9:KE9" si="16">SUM(HT7:HT8)</f>
        <v>#VALUE!</v>
      </c>
      <c r="HU9" s="396" t="e">
        <f t="shared" si="16"/>
        <v>#VALUE!</v>
      </c>
      <c r="HV9" s="396" t="e">
        <f t="shared" si="16"/>
        <v>#VALUE!</v>
      </c>
      <c r="HW9" s="396" t="e">
        <f t="shared" si="16"/>
        <v>#VALUE!</v>
      </c>
      <c r="HX9" s="396" t="e">
        <f t="shared" si="16"/>
        <v>#VALUE!</v>
      </c>
      <c r="HY9" s="396" t="e">
        <f t="shared" si="16"/>
        <v>#VALUE!</v>
      </c>
      <c r="HZ9" s="396" t="e">
        <f t="shared" si="16"/>
        <v>#VALUE!</v>
      </c>
      <c r="IA9" s="396" t="e">
        <f t="shared" si="16"/>
        <v>#VALUE!</v>
      </c>
      <c r="IB9" s="396" t="e">
        <f t="shared" si="16"/>
        <v>#VALUE!</v>
      </c>
      <c r="IC9" s="396" t="e">
        <f t="shared" si="16"/>
        <v>#VALUE!</v>
      </c>
      <c r="ID9" s="396" t="e">
        <f t="shared" si="16"/>
        <v>#VALUE!</v>
      </c>
      <c r="IE9" s="396" t="e">
        <f t="shared" si="16"/>
        <v>#VALUE!</v>
      </c>
      <c r="IF9" s="396" t="e">
        <f t="shared" si="16"/>
        <v>#VALUE!</v>
      </c>
      <c r="IG9" s="396" t="e">
        <f t="shared" si="16"/>
        <v>#VALUE!</v>
      </c>
      <c r="IH9" s="396" t="e">
        <f t="shared" si="16"/>
        <v>#VALUE!</v>
      </c>
      <c r="II9" s="396" t="e">
        <f t="shared" si="16"/>
        <v>#VALUE!</v>
      </c>
      <c r="IJ9" s="396" t="e">
        <f t="shared" si="16"/>
        <v>#VALUE!</v>
      </c>
      <c r="IK9" s="396" t="e">
        <f t="shared" si="16"/>
        <v>#VALUE!</v>
      </c>
      <c r="IL9" s="396" t="e">
        <f t="shared" si="16"/>
        <v>#VALUE!</v>
      </c>
      <c r="IM9" s="396" t="e">
        <f t="shared" si="16"/>
        <v>#VALUE!</v>
      </c>
      <c r="IN9" s="396" t="e">
        <f t="shared" si="16"/>
        <v>#VALUE!</v>
      </c>
      <c r="IO9" s="396" t="e">
        <f t="shared" si="16"/>
        <v>#VALUE!</v>
      </c>
      <c r="IP9" s="396" t="e">
        <f t="shared" si="16"/>
        <v>#VALUE!</v>
      </c>
      <c r="IQ9" s="396" t="e">
        <f t="shared" si="16"/>
        <v>#VALUE!</v>
      </c>
      <c r="IR9" s="396" t="e">
        <f t="shared" si="16"/>
        <v>#VALUE!</v>
      </c>
      <c r="IS9" s="396" t="e">
        <f t="shared" si="16"/>
        <v>#VALUE!</v>
      </c>
      <c r="IT9" s="396" t="e">
        <f t="shared" si="16"/>
        <v>#VALUE!</v>
      </c>
      <c r="IU9" s="396" t="e">
        <f t="shared" si="16"/>
        <v>#VALUE!</v>
      </c>
      <c r="IV9" s="396" t="e">
        <f t="shared" si="16"/>
        <v>#VALUE!</v>
      </c>
      <c r="IW9" s="396" t="e">
        <f t="shared" si="16"/>
        <v>#VALUE!</v>
      </c>
      <c r="IX9" s="396" t="e">
        <f t="shared" si="16"/>
        <v>#VALUE!</v>
      </c>
      <c r="IY9" s="396" t="e">
        <f t="shared" si="16"/>
        <v>#VALUE!</v>
      </c>
      <c r="IZ9" s="396" t="e">
        <f t="shared" si="16"/>
        <v>#VALUE!</v>
      </c>
      <c r="JA9" s="396" t="e">
        <f t="shared" si="16"/>
        <v>#VALUE!</v>
      </c>
      <c r="JB9" s="396" t="e">
        <f t="shared" si="16"/>
        <v>#VALUE!</v>
      </c>
      <c r="JC9" s="396" t="e">
        <f t="shared" si="16"/>
        <v>#VALUE!</v>
      </c>
      <c r="JD9" s="396" t="e">
        <f t="shared" si="16"/>
        <v>#VALUE!</v>
      </c>
      <c r="JE9" s="396" t="e">
        <f t="shared" si="16"/>
        <v>#VALUE!</v>
      </c>
      <c r="JF9" s="396" t="e">
        <f t="shared" si="16"/>
        <v>#VALUE!</v>
      </c>
      <c r="JG9" s="396" t="e">
        <f t="shared" si="16"/>
        <v>#VALUE!</v>
      </c>
      <c r="JH9" s="396" t="e">
        <f t="shared" si="16"/>
        <v>#VALUE!</v>
      </c>
      <c r="JI9" s="396" t="e">
        <f t="shared" si="16"/>
        <v>#VALUE!</v>
      </c>
      <c r="JJ9" s="396" t="e">
        <f t="shared" si="16"/>
        <v>#VALUE!</v>
      </c>
      <c r="JK9" s="396" t="e">
        <f t="shared" si="16"/>
        <v>#VALUE!</v>
      </c>
      <c r="JL9" s="396" t="e">
        <f t="shared" si="16"/>
        <v>#VALUE!</v>
      </c>
      <c r="JM9" s="396" t="e">
        <f t="shared" si="16"/>
        <v>#VALUE!</v>
      </c>
      <c r="JN9" s="396" t="e">
        <f t="shared" si="16"/>
        <v>#VALUE!</v>
      </c>
      <c r="JO9" s="396" t="e">
        <f t="shared" si="16"/>
        <v>#VALUE!</v>
      </c>
      <c r="JP9" s="396" t="e">
        <f t="shared" si="16"/>
        <v>#VALUE!</v>
      </c>
      <c r="JQ9" s="396" t="e">
        <f t="shared" si="16"/>
        <v>#VALUE!</v>
      </c>
      <c r="JR9" s="396" t="e">
        <f t="shared" si="16"/>
        <v>#VALUE!</v>
      </c>
      <c r="JS9" s="396" t="e">
        <f t="shared" si="16"/>
        <v>#VALUE!</v>
      </c>
      <c r="JT9" s="396" t="e">
        <f t="shared" si="16"/>
        <v>#VALUE!</v>
      </c>
      <c r="JU9" s="396" t="e">
        <f t="shared" si="16"/>
        <v>#VALUE!</v>
      </c>
      <c r="JV9" s="396" t="e">
        <f t="shared" si="16"/>
        <v>#VALUE!</v>
      </c>
      <c r="JW9" s="396" t="e">
        <f t="shared" si="16"/>
        <v>#VALUE!</v>
      </c>
      <c r="JX9" s="396" t="e">
        <f t="shared" si="16"/>
        <v>#VALUE!</v>
      </c>
      <c r="JY9" s="396" t="e">
        <f t="shared" si="16"/>
        <v>#VALUE!</v>
      </c>
      <c r="JZ9" s="396" t="e">
        <f t="shared" si="16"/>
        <v>#VALUE!</v>
      </c>
      <c r="KA9" s="396" t="e">
        <f t="shared" si="16"/>
        <v>#VALUE!</v>
      </c>
      <c r="KB9" s="396" t="e">
        <f t="shared" si="16"/>
        <v>#VALUE!</v>
      </c>
      <c r="KC9" s="396" t="e">
        <f t="shared" si="16"/>
        <v>#VALUE!</v>
      </c>
      <c r="KD9" s="396" t="e">
        <f t="shared" si="16"/>
        <v>#VALUE!</v>
      </c>
      <c r="KE9" s="396" t="e">
        <f t="shared" si="16"/>
        <v>#VALUE!</v>
      </c>
      <c r="KF9" s="396" t="e">
        <f t="shared" ref="KF9:MQ9" si="17">SUM(KF7:KF8)</f>
        <v>#VALUE!</v>
      </c>
      <c r="KG9" s="396" t="e">
        <f t="shared" si="17"/>
        <v>#VALUE!</v>
      </c>
      <c r="KH9" s="396" t="e">
        <f t="shared" si="17"/>
        <v>#VALUE!</v>
      </c>
      <c r="KI9" s="396" t="e">
        <f t="shared" si="17"/>
        <v>#VALUE!</v>
      </c>
      <c r="KJ9" s="396" t="e">
        <f t="shared" si="17"/>
        <v>#VALUE!</v>
      </c>
      <c r="KK9" s="396" t="e">
        <f t="shared" si="17"/>
        <v>#VALUE!</v>
      </c>
      <c r="KL9" s="396" t="e">
        <f t="shared" si="17"/>
        <v>#VALUE!</v>
      </c>
      <c r="KM9" s="396" t="e">
        <f t="shared" si="17"/>
        <v>#VALUE!</v>
      </c>
      <c r="KN9" s="396" t="e">
        <f t="shared" si="17"/>
        <v>#VALUE!</v>
      </c>
      <c r="KO9" s="396" t="e">
        <f t="shared" si="17"/>
        <v>#VALUE!</v>
      </c>
      <c r="KP9" s="396" t="e">
        <f t="shared" si="17"/>
        <v>#VALUE!</v>
      </c>
      <c r="KQ9" s="396" t="e">
        <f t="shared" si="17"/>
        <v>#VALUE!</v>
      </c>
      <c r="KR9" s="396" t="e">
        <f t="shared" si="17"/>
        <v>#VALUE!</v>
      </c>
      <c r="KS9" s="396" t="e">
        <f t="shared" si="17"/>
        <v>#VALUE!</v>
      </c>
      <c r="KT9" s="396" t="e">
        <f t="shared" si="17"/>
        <v>#VALUE!</v>
      </c>
      <c r="KU9" s="396" t="e">
        <f t="shared" si="17"/>
        <v>#VALUE!</v>
      </c>
      <c r="KV9" s="396" t="e">
        <f t="shared" si="17"/>
        <v>#VALUE!</v>
      </c>
      <c r="KW9" s="396" t="e">
        <f t="shared" si="17"/>
        <v>#VALUE!</v>
      </c>
      <c r="KX9" s="396" t="e">
        <f t="shared" si="17"/>
        <v>#VALUE!</v>
      </c>
      <c r="KY9" s="396" t="e">
        <f t="shared" si="17"/>
        <v>#VALUE!</v>
      </c>
      <c r="KZ9" s="396" t="e">
        <f t="shared" si="17"/>
        <v>#VALUE!</v>
      </c>
      <c r="LA9" s="396" t="e">
        <f t="shared" si="17"/>
        <v>#VALUE!</v>
      </c>
      <c r="LB9" s="396" t="e">
        <f t="shared" si="17"/>
        <v>#VALUE!</v>
      </c>
      <c r="LC9" s="396" t="e">
        <f t="shared" si="17"/>
        <v>#VALUE!</v>
      </c>
      <c r="LD9" s="396" t="e">
        <f t="shared" si="17"/>
        <v>#VALUE!</v>
      </c>
      <c r="LE9" s="396" t="e">
        <f t="shared" si="17"/>
        <v>#VALUE!</v>
      </c>
      <c r="LF9" s="396" t="e">
        <f t="shared" si="17"/>
        <v>#VALUE!</v>
      </c>
      <c r="LG9" s="396" t="e">
        <f t="shared" si="17"/>
        <v>#VALUE!</v>
      </c>
      <c r="LH9" s="396" t="e">
        <f t="shared" si="17"/>
        <v>#VALUE!</v>
      </c>
      <c r="LI9" s="396" t="e">
        <f t="shared" si="17"/>
        <v>#VALUE!</v>
      </c>
      <c r="LJ9" s="396" t="e">
        <f t="shared" si="17"/>
        <v>#VALUE!</v>
      </c>
      <c r="LK9" s="396" t="e">
        <f t="shared" si="17"/>
        <v>#VALUE!</v>
      </c>
      <c r="LL9" s="396" t="e">
        <f t="shared" si="17"/>
        <v>#VALUE!</v>
      </c>
      <c r="LM9" s="396" t="e">
        <f t="shared" si="17"/>
        <v>#VALUE!</v>
      </c>
      <c r="LN9" s="396" t="e">
        <f t="shared" si="17"/>
        <v>#VALUE!</v>
      </c>
      <c r="LO9" s="396" t="e">
        <f t="shared" si="17"/>
        <v>#VALUE!</v>
      </c>
      <c r="LP9" s="396" t="e">
        <f t="shared" si="17"/>
        <v>#VALUE!</v>
      </c>
      <c r="LQ9" s="396" t="e">
        <f t="shared" si="17"/>
        <v>#VALUE!</v>
      </c>
      <c r="LR9" s="396" t="e">
        <f t="shared" si="17"/>
        <v>#VALUE!</v>
      </c>
      <c r="LS9" s="396" t="e">
        <f t="shared" si="17"/>
        <v>#VALUE!</v>
      </c>
      <c r="LT9" s="396" t="e">
        <f t="shared" si="17"/>
        <v>#VALUE!</v>
      </c>
      <c r="LU9" s="396" t="e">
        <f t="shared" si="17"/>
        <v>#VALUE!</v>
      </c>
      <c r="LV9" s="396" t="e">
        <f t="shared" si="17"/>
        <v>#VALUE!</v>
      </c>
      <c r="LW9" s="396" t="e">
        <f t="shared" si="17"/>
        <v>#VALUE!</v>
      </c>
      <c r="LX9" s="396" t="e">
        <f t="shared" si="17"/>
        <v>#VALUE!</v>
      </c>
      <c r="LY9" s="396" t="e">
        <f t="shared" si="17"/>
        <v>#VALUE!</v>
      </c>
      <c r="LZ9" s="396" t="e">
        <f t="shared" si="17"/>
        <v>#VALUE!</v>
      </c>
      <c r="MA9" s="396" t="e">
        <f t="shared" si="17"/>
        <v>#VALUE!</v>
      </c>
      <c r="MB9" s="396" t="e">
        <f t="shared" si="17"/>
        <v>#VALUE!</v>
      </c>
      <c r="MC9" s="396" t="e">
        <f t="shared" si="17"/>
        <v>#VALUE!</v>
      </c>
      <c r="MD9" s="396" t="e">
        <f t="shared" si="17"/>
        <v>#VALUE!</v>
      </c>
      <c r="ME9" s="396" t="e">
        <f t="shared" si="17"/>
        <v>#VALUE!</v>
      </c>
      <c r="MF9" s="396" t="e">
        <f t="shared" si="17"/>
        <v>#VALUE!</v>
      </c>
      <c r="MG9" s="396" t="e">
        <f t="shared" si="17"/>
        <v>#VALUE!</v>
      </c>
      <c r="MH9" s="396" t="e">
        <f t="shared" si="17"/>
        <v>#VALUE!</v>
      </c>
      <c r="MI9" s="396" t="e">
        <f t="shared" si="17"/>
        <v>#VALUE!</v>
      </c>
      <c r="MJ9" s="396" t="e">
        <f t="shared" si="17"/>
        <v>#VALUE!</v>
      </c>
      <c r="MK9" s="396" t="e">
        <f t="shared" si="17"/>
        <v>#VALUE!</v>
      </c>
      <c r="ML9" s="396" t="e">
        <f t="shared" si="17"/>
        <v>#VALUE!</v>
      </c>
      <c r="MM9" s="396" t="e">
        <f t="shared" si="17"/>
        <v>#VALUE!</v>
      </c>
      <c r="MN9" s="396" t="e">
        <f t="shared" si="17"/>
        <v>#VALUE!</v>
      </c>
      <c r="MO9" s="396" t="e">
        <f t="shared" si="17"/>
        <v>#VALUE!</v>
      </c>
      <c r="MP9" s="396" t="e">
        <f t="shared" si="17"/>
        <v>#VALUE!</v>
      </c>
      <c r="MQ9" s="396" t="e">
        <f t="shared" si="17"/>
        <v>#VALUE!</v>
      </c>
      <c r="MR9" s="396" t="e">
        <f t="shared" ref="MR9:NG9" si="18">SUM(MR7:MR8)</f>
        <v>#VALUE!</v>
      </c>
      <c r="MS9" s="396" t="e">
        <f t="shared" si="18"/>
        <v>#VALUE!</v>
      </c>
      <c r="MT9" s="396" t="e">
        <f t="shared" si="18"/>
        <v>#VALUE!</v>
      </c>
      <c r="MU9" s="396" t="e">
        <f t="shared" si="18"/>
        <v>#VALUE!</v>
      </c>
      <c r="MV9" s="396" t="e">
        <f t="shared" si="18"/>
        <v>#VALUE!</v>
      </c>
      <c r="MW9" s="396" t="e">
        <f t="shared" si="18"/>
        <v>#VALUE!</v>
      </c>
      <c r="MX9" s="396" t="e">
        <f t="shared" si="18"/>
        <v>#VALUE!</v>
      </c>
      <c r="MY9" s="396" t="e">
        <f t="shared" si="18"/>
        <v>#VALUE!</v>
      </c>
      <c r="MZ9" s="396" t="e">
        <f t="shared" si="18"/>
        <v>#VALUE!</v>
      </c>
      <c r="NA9" s="396" t="e">
        <f t="shared" si="18"/>
        <v>#VALUE!</v>
      </c>
      <c r="NB9" s="396" t="e">
        <f t="shared" si="18"/>
        <v>#VALUE!</v>
      </c>
      <c r="NC9" s="396" t="e">
        <f t="shared" si="18"/>
        <v>#VALUE!</v>
      </c>
      <c r="ND9" s="396" t="e">
        <f t="shared" si="18"/>
        <v>#VALUE!</v>
      </c>
      <c r="NE9" s="396" t="e">
        <f t="shared" si="18"/>
        <v>#VALUE!</v>
      </c>
      <c r="NF9" s="396" t="e">
        <f t="shared" si="18"/>
        <v>#VALUE!</v>
      </c>
      <c r="NG9" s="396" t="e">
        <f t="shared" si="18"/>
        <v>#VALUE!</v>
      </c>
    </row>
    <row r="10" spans="1:371" x14ac:dyDescent="0.3">
      <c r="A10" s="397"/>
    </row>
    <row r="11" spans="1:371" x14ac:dyDescent="0.3">
      <c r="A11" s="394" t="s">
        <v>409</v>
      </c>
      <c r="D11" s="90" t="e">
        <v>#VALUE!</v>
      </c>
      <c r="E11" s="90" t="e">
        <v>#VALUE!</v>
      </c>
      <c r="F11" s="90" t="e">
        <v>#VALUE!</v>
      </c>
      <c r="G11" s="90" t="e">
        <v>#VALUE!</v>
      </c>
      <c r="H11" s="90" t="e">
        <v>#VALUE!</v>
      </c>
      <c r="I11" s="90" t="e">
        <v>#VALUE!</v>
      </c>
      <c r="J11" s="90" t="e">
        <v>#VALUE!</v>
      </c>
      <c r="K11" s="90" t="e">
        <v>#VALUE!</v>
      </c>
      <c r="L11" s="90" t="e">
        <v>#VALUE!</v>
      </c>
      <c r="M11" s="90" t="e">
        <v>#VALUE!</v>
      </c>
      <c r="N11" s="90" t="e">
        <v>#VALUE!</v>
      </c>
      <c r="O11" s="90" t="e">
        <v>#VALUE!</v>
      </c>
      <c r="P11" s="90" t="e">
        <v>#VALUE!</v>
      </c>
      <c r="Q11" s="90" t="e">
        <v>#VALUE!</v>
      </c>
      <c r="R11" s="90" t="e">
        <v>#VALUE!</v>
      </c>
      <c r="S11" s="90" t="e">
        <v>#VALUE!</v>
      </c>
      <c r="T11" s="90" t="e">
        <v>#VALUE!</v>
      </c>
      <c r="U11" s="90" t="e">
        <v>#VALUE!</v>
      </c>
      <c r="V11" s="90" t="e">
        <v>#VALUE!</v>
      </c>
      <c r="W11" s="90" t="e">
        <v>#VALUE!</v>
      </c>
      <c r="X11" s="90" t="e">
        <v>#VALUE!</v>
      </c>
      <c r="Y11" s="90" t="e">
        <v>#VALUE!</v>
      </c>
      <c r="Z11" s="90" t="e">
        <v>#VALUE!</v>
      </c>
      <c r="AA11" s="90" t="e">
        <v>#VALUE!</v>
      </c>
      <c r="AB11" s="90" t="e">
        <v>#VALUE!</v>
      </c>
      <c r="AC11" s="90" t="e">
        <v>#VALUE!</v>
      </c>
      <c r="AD11" s="90" t="e">
        <v>#VALUE!</v>
      </c>
      <c r="AE11" s="90" t="e">
        <v>#VALUE!</v>
      </c>
      <c r="AF11" s="90" t="e">
        <v>#VALUE!</v>
      </c>
      <c r="AG11" s="90" t="e">
        <v>#VALUE!</v>
      </c>
      <c r="AH11" s="90" t="e">
        <v>#VALUE!</v>
      </c>
      <c r="AI11" s="90" t="e">
        <v>#VALUE!</v>
      </c>
      <c r="AJ11" s="90" t="e">
        <v>#VALUE!</v>
      </c>
      <c r="AK11" s="90" t="e">
        <v>#VALUE!</v>
      </c>
      <c r="AL11" s="90" t="e">
        <v>#VALUE!</v>
      </c>
      <c r="AM11" s="90" t="e">
        <v>#VALUE!</v>
      </c>
      <c r="AN11" s="90" t="e">
        <v>#VALUE!</v>
      </c>
      <c r="AO11" s="90" t="e">
        <v>#VALUE!</v>
      </c>
      <c r="AP11" s="90" t="e">
        <v>#VALUE!</v>
      </c>
      <c r="AQ11" s="90" t="e">
        <v>#VALUE!</v>
      </c>
      <c r="AR11" s="90" t="e">
        <v>#VALUE!</v>
      </c>
      <c r="AS11" s="90" t="e">
        <v>#VALUE!</v>
      </c>
      <c r="AT11" s="90" t="e">
        <v>#VALUE!</v>
      </c>
      <c r="AU11" s="90" t="e">
        <v>#VALUE!</v>
      </c>
      <c r="AV11" s="90" t="e">
        <v>#VALUE!</v>
      </c>
      <c r="AW11" s="90" t="e">
        <v>#VALUE!</v>
      </c>
      <c r="AX11" s="90" t="e">
        <v>#VALUE!</v>
      </c>
      <c r="AY11" s="90" t="e">
        <v>#VALUE!</v>
      </c>
      <c r="AZ11" s="90" t="e">
        <v>#VALUE!</v>
      </c>
      <c r="BA11" s="90" t="e">
        <v>#VALUE!</v>
      </c>
      <c r="BB11" s="90" t="e">
        <v>#VALUE!</v>
      </c>
      <c r="BC11" s="90" t="e">
        <v>#VALUE!</v>
      </c>
      <c r="BD11" s="90" t="e">
        <v>#VALUE!</v>
      </c>
      <c r="BE11" s="90" t="e">
        <v>#VALUE!</v>
      </c>
      <c r="BF11" s="90" t="e">
        <v>#VALUE!</v>
      </c>
      <c r="BG11" s="90" t="e">
        <v>#VALUE!</v>
      </c>
      <c r="BH11" s="90" t="e">
        <v>#VALUE!</v>
      </c>
      <c r="BI11" s="90" t="e">
        <v>#VALUE!</v>
      </c>
      <c r="BJ11" s="90" t="e">
        <v>#VALUE!</v>
      </c>
      <c r="BK11" s="90" t="e">
        <v>#VALUE!</v>
      </c>
      <c r="BL11" s="90" t="e">
        <v>#VALUE!</v>
      </c>
      <c r="BM11" s="90" t="e">
        <v>#VALUE!</v>
      </c>
      <c r="BN11" s="90" t="e">
        <v>#VALUE!</v>
      </c>
      <c r="BO11" s="90" t="e">
        <v>#VALUE!</v>
      </c>
      <c r="BP11" s="90" t="e">
        <v>#VALUE!</v>
      </c>
      <c r="BQ11" s="90" t="e">
        <v>#VALUE!</v>
      </c>
      <c r="BR11" s="90" t="e">
        <v>#VALUE!</v>
      </c>
      <c r="BS11" s="90" t="e">
        <v>#VALUE!</v>
      </c>
      <c r="BT11" s="90" t="e">
        <v>#VALUE!</v>
      </c>
      <c r="BU11" s="90" t="e">
        <v>#VALUE!</v>
      </c>
      <c r="BV11" s="90" t="e">
        <v>#VALUE!</v>
      </c>
      <c r="BW11" s="90" t="e">
        <v>#VALUE!</v>
      </c>
      <c r="BX11" s="90" t="e">
        <v>#VALUE!</v>
      </c>
      <c r="BY11" s="90" t="e">
        <v>#VALUE!</v>
      </c>
      <c r="BZ11" s="90" t="e">
        <v>#VALUE!</v>
      </c>
      <c r="CA11" s="90" t="e">
        <v>#VALUE!</v>
      </c>
      <c r="CB11" s="90" t="e">
        <v>#VALUE!</v>
      </c>
      <c r="CC11" s="90" t="e">
        <v>#VALUE!</v>
      </c>
      <c r="CD11" s="90" t="e">
        <v>#VALUE!</v>
      </c>
      <c r="CE11" s="90" t="e">
        <v>#VALUE!</v>
      </c>
      <c r="CF11" s="90" t="e">
        <v>#VALUE!</v>
      </c>
      <c r="CG11" s="90" t="e">
        <v>#VALUE!</v>
      </c>
      <c r="CH11" s="90" t="e">
        <v>#VALUE!</v>
      </c>
      <c r="CI11" s="90" t="e">
        <v>#VALUE!</v>
      </c>
      <c r="CJ11" s="90" t="e">
        <v>#VALUE!</v>
      </c>
      <c r="CK11" s="90" t="e">
        <v>#VALUE!</v>
      </c>
      <c r="CL11" s="90" t="e">
        <v>#VALUE!</v>
      </c>
      <c r="CM11" s="90" t="e">
        <v>#VALUE!</v>
      </c>
      <c r="CN11" s="90" t="e">
        <v>#VALUE!</v>
      </c>
      <c r="CO11" s="90" t="e">
        <v>#VALUE!</v>
      </c>
      <c r="CP11" s="90" t="e">
        <v>#VALUE!</v>
      </c>
      <c r="CQ11" s="90" t="e">
        <v>#VALUE!</v>
      </c>
      <c r="CR11" s="90" t="e">
        <v>#VALUE!</v>
      </c>
      <c r="CS11" s="90" t="e">
        <v>#VALUE!</v>
      </c>
      <c r="CT11" s="90" t="e">
        <v>#VALUE!</v>
      </c>
      <c r="CU11" s="90" t="e">
        <v>#VALUE!</v>
      </c>
      <c r="CV11" s="90" t="e">
        <v>#VALUE!</v>
      </c>
      <c r="CW11" s="90" t="e">
        <v>#VALUE!</v>
      </c>
      <c r="CX11" s="90" t="e">
        <v>#VALUE!</v>
      </c>
      <c r="CY11" s="90" t="e">
        <v>#VALUE!</v>
      </c>
      <c r="CZ11" s="90" t="e">
        <v>#VALUE!</v>
      </c>
      <c r="DA11" s="90" t="e">
        <v>#VALUE!</v>
      </c>
      <c r="DB11" s="90" t="e">
        <v>#VALUE!</v>
      </c>
      <c r="DC11" s="90" t="e">
        <v>#VALUE!</v>
      </c>
      <c r="DD11" s="90" t="e">
        <v>#VALUE!</v>
      </c>
      <c r="DE11" s="90" t="e">
        <v>#VALUE!</v>
      </c>
      <c r="DF11" s="90" t="e">
        <v>#VALUE!</v>
      </c>
      <c r="DG11" s="90" t="e">
        <v>#VALUE!</v>
      </c>
      <c r="DH11" s="90" t="e">
        <v>#VALUE!</v>
      </c>
      <c r="DI11" s="90" t="e">
        <v>#VALUE!</v>
      </c>
      <c r="DJ11" s="90" t="e">
        <v>#VALUE!</v>
      </c>
      <c r="DK11" s="90" t="e">
        <v>#VALUE!</v>
      </c>
      <c r="DL11" s="90" t="e">
        <v>#VALUE!</v>
      </c>
      <c r="DM11" s="90" t="e">
        <v>#VALUE!</v>
      </c>
      <c r="DN11" s="90" t="e">
        <v>#VALUE!</v>
      </c>
      <c r="DO11" s="90" t="e">
        <v>#VALUE!</v>
      </c>
      <c r="DP11" s="90" t="e">
        <v>#VALUE!</v>
      </c>
      <c r="DQ11" s="90" t="e">
        <v>#VALUE!</v>
      </c>
      <c r="DR11" s="90" t="e">
        <v>#VALUE!</v>
      </c>
      <c r="DS11" s="90" t="e">
        <v>#VALUE!</v>
      </c>
      <c r="DT11" s="90" t="e">
        <v>#VALUE!</v>
      </c>
      <c r="DU11" s="90" t="e">
        <v>#VALUE!</v>
      </c>
      <c r="DV11" s="90" t="e">
        <v>#VALUE!</v>
      </c>
      <c r="DW11" s="90" t="e">
        <v>#VALUE!</v>
      </c>
      <c r="DX11" s="90" t="e">
        <v>#VALUE!</v>
      </c>
      <c r="DY11" s="90" t="e">
        <v>#VALUE!</v>
      </c>
      <c r="DZ11" s="90" t="e">
        <v>#VALUE!</v>
      </c>
      <c r="EA11" s="90" t="e">
        <v>#VALUE!</v>
      </c>
      <c r="EB11" s="90" t="e">
        <v>#VALUE!</v>
      </c>
      <c r="EC11" s="90" t="e">
        <v>#VALUE!</v>
      </c>
      <c r="ED11" s="90" t="e">
        <v>#VALUE!</v>
      </c>
      <c r="EE11" s="90" t="e">
        <v>#VALUE!</v>
      </c>
      <c r="EF11" s="90" t="e">
        <v>#VALUE!</v>
      </c>
      <c r="EG11" s="90" t="e">
        <v>#VALUE!</v>
      </c>
      <c r="EH11" s="90" t="e">
        <v>#VALUE!</v>
      </c>
      <c r="EI11" s="90" t="e">
        <v>#VALUE!</v>
      </c>
      <c r="EJ11" s="90" t="e">
        <v>#VALUE!</v>
      </c>
      <c r="EK11" s="90" t="e">
        <v>#VALUE!</v>
      </c>
      <c r="EL11" s="90" t="e">
        <v>#VALUE!</v>
      </c>
      <c r="EM11" s="90" t="e">
        <v>#VALUE!</v>
      </c>
      <c r="EN11" s="90" t="e">
        <v>#VALUE!</v>
      </c>
      <c r="EO11" s="90" t="e">
        <v>#VALUE!</v>
      </c>
      <c r="EP11" s="90" t="e">
        <v>#VALUE!</v>
      </c>
      <c r="EQ11" s="90" t="e">
        <v>#VALUE!</v>
      </c>
      <c r="ER11" s="90" t="e">
        <v>#VALUE!</v>
      </c>
      <c r="ES11" s="90" t="e">
        <v>#VALUE!</v>
      </c>
      <c r="ET11" s="90" t="e">
        <v>#VALUE!</v>
      </c>
      <c r="EU11" s="90" t="e">
        <v>#VALUE!</v>
      </c>
      <c r="EV11" s="90" t="e">
        <v>#VALUE!</v>
      </c>
      <c r="EW11" s="90" t="e">
        <v>#VALUE!</v>
      </c>
      <c r="EX11" s="90" t="e">
        <v>#VALUE!</v>
      </c>
      <c r="EY11" s="90" t="e">
        <v>#VALUE!</v>
      </c>
      <c r="EZ11" s="90" t="e">
        <v>#VALUE!</v>
      </c>
      <c r="FA11" s="90" t="e">
        <v>#VALUE!</v>
      </c>
      <c r="FB11" s="90" t="e">
        <v>#VALUE!</v>
      </c>
      <c r="FC11" s="90" t="e">
        <v>#VALUE!</v>
      </c>
      <c r="FD11" s="90" t="e">
        <v>#VALUE!</v>
      </c>
      <c r="FE11" s="90" t="e">
        <v>#VALUE!</v>
      </c>
      <c r="FF11" s="90" t="e">
        <v>#VALUE!</v>
      </c>
      <c r="FG11" s="90" t="e">
        <v>#VALUE!</v>
      </c>
      <c r="FH11" s="90" t="e">
        <v>#VALUE!</v>
      </c>
      <c r="FI11" s="90" t="e">
        <v>#VALUE!</v>
      </c>
      <c r="FJ11" s="90" t="e">
        <v>#VALUE!</v>
      </c>
      <c r="FK11" s="90" t="e">
        <v>#VALUE!</v>
      </c>
      <c r="FL11" s="90" t="e">
        <v>#VALUE!</v>
      </c>
      <c r="FM11" s="90" t="e">
        <v>#VALUE!</v>
      </c>
      <c r="FN11" s="90" t="e">
        <v>#VALUE!</v>
      </c>
      <c r="FO11" s="90" t="e">
        <v>#VALUE!</v>
      </c>
      <c r="FP11" s="90" t="e">
        <v>#VALUE!</v>
      </c>
      <c r="FQ11" s="90" t="e">
        <v>#VALUE!</v>
      </c>
      <c r="FR11" s="90" t="e">
        <v>#VALUE!</v>
      </c>
      <c r="FS11" s="90" t="e">
        <v>#VALUE!</v>
      </c>
      <c r="FT11" s="90" t="e">
        <v>#VALUE!</v>
      </c>
      <c r="FU11" s="90" t="e">
        <v>#VALUE!</v>
      </c>
      <c r="FV11" s="90" t="e">
        <v>#VALUE!</v>
      </c>
      <c r="FW11" s="90" t="e">
        <v>#VALUE!</v>
      </c>
      <c r="FX11" s="90" t="e">
        <v>#VALUE!</v>
      </c>
      <c r="FY11" s="90" t="e">
        <v>#VALUE!</v>
      </c>
      <c r="FZ11" s="90" t="e">
        <v>#VALUE!</v>
      </c>
      <c r="GA11" s="90" t="e">
        <v>#VALUE!</v>
      </c>
      <c r="GB11" s="90" t="e">
        <v>#VALUE!</v>
      </c>
      <c r="GC11" s="90" t="e">
        <v>#VALUE!</v>
      </c>
      <c r="GD11" s="90" t="e">
        <v>#VALUE!</v>
      </c>
      <c r="GE11" s="90" t="e">
        <v>#VALUE!</v>
      </c>
      <c r="GF11" s="90" t="e">
        <v>#VALUE!</v>
      </c>
      <c r="GG11" s="90" t="e">
        <v>#VALUE!</v>
      </c>
      <c r="GH11" s="90" t="e">
        <v>#VALUE!</v>
      </c>
      <c r="GI11" s="90" t="e">
        <v>#VALUE!</v>
      </c>
      <c r="GJ11" s="90" t="e">
        <v>#VALUE!</v>
      </c>
      <c r="GK11" s="90" t="e">
        <v>#VALUE!</v>
      </c>
      <c r="GL11" s="90" t="e">
        <v>#VALUE!</v>
      </c>
      <c r="GM11" s="90" t="e">
        <v>#VALUE!</v>
      </c>
      <c r="GN11" s="90" t="e">
        <v>#VALUE!</v>
      </c>
      <c r="GO11" s="90" t="e">
        <v>#VALUE!</v>
      </c>
      <c r="GP11" s="90" t="e">
        <v>#VALUE!</v>
      </c>
      <c r="GQ11" s="90" t="e">
        <v>#VALUE!</v>
      </c>
      <c r="GR11" s="90" t="e">
        <v>#VALUE!</v>
      </c>
      <c r="GS11" s="90" t="e">
        <v>#VALUE!</v>
      </c>
      <c r="GT11" s="90" t="e">
        <v>#VALUE!</v>
      </c>
      <c r="GU11" s="90" t="e">
        <v>#VALUE!</v>
      </c>
      <c r="GV11" s="90" t="e">
        <v>#VALUE!</v>
      </c>
      <c r="GW11" s="90" t="e">
        <v>#VALUE!</v>
      </c>
      <c r="GX11" s="90" t="e">
        <v>#VALUE!</v>
      </c>
      <c r="GY11" s="90" t="e">
        <v>#VALUE!</v>
      </c>
      <c r="GZ11" s="90" t="e">
        <v>#VALUE!</v>
      </c>
      <c r="HA11" s="90" t="e">
        <v>#VALUE!</v>
      </c>
      <c r="HB11" s="90" t="e">
        <v>#VALUE!</v>
      </c>
      <c r="HC11" s="90" t="e">
        <v>#VALUE!</v>
      </c>
      <c r="HD11" s="90" t="e">
        <v>#VALUE!</v>
      </c>
      <c r="HE11" s="90" t="e">
        <v>#VALUE!</v>
      </c>
      <c r="HF11" s="90" t="e">
        <v>#VALUE!</v>
      </c>
      <c r="HG11" s="90" t="e">
        <v>#VALUE!</v>
      </c>
      <c r="HH11" s="90" t="e">
        <v>#VALUE!</v>
      </c>
      <c r="HI11" s="90" t="e">
        <v>#VALUE!</v>
      </c>
      <c r="HJ11" s="90" t="e">
        <v>#VALUE!</v>
      </c>
      <c r="HK11" s="90" t="e">
        <v>#VALUE!</v>
      </c>
      <c r="HL11" s="90" t="e">
        <v>#VALUE!</v>
      </c>
      <c r="HM11" s="90" t="e">
        <v>#VALUE!</v>
      </c>
      <c r="HN11" s="90" t="e">
        <v>#VALUE!</v>
      </c>
      <c r="HO11" s="90" t="e">
        <v>#VALUE!</v>
      </c>
      <c r="HP11" s="90" t="e">
        <v>#VALUE!</v>
      </c>
      <c r="HQ11" s="90" t="e">
        <v>#VALUE!</v>
      </c>
      <c r="HR11" s="90" t="e">
        <v>#VALUE!</v>
      </c>
      <c r="HS11" s="90" t="e">
        <v>#VALUE!</v>
      </c>
      <c r="HT11" s="90" t="e">
        <v>#VALUE!</v>
      </c>
      <c r="HU11" s="90" t="e">
        <v>#VALUE!</v>
      </c>
      <c r="HV11" s="90" t="e">
        <v>#VALUE!</v>
      </c>
      <c r="HW11" s="90" t="e">
        <v>#VALUE!</v>
      </c>
      <c r="HX11" s="90" t="e">
        <v>#VALUE!</v>
      </c>
      <c r="HY11" s="90" t="e">
        <v>#VALUE!</v>
      </c>
      <c r="HZ11" s="90" t="e">
        <v>#VALUE!</v>
      </c>
      <c r="IA11" s="90" t="e">
        <v>#VALUE!</v>
      </c>
      <c r="IB11" s="90" t="e">
        <v>#VALUE!</v>
      </c>
      <c r="IC11" s="90" t="e">
        <v>#VALUE!</v>
      </c>
      <c r="ID11" s="90" t="e">
        <v>#VALUE!</v>
      </c>
      <c r="IE11" s="90" t="e">
        <v>#VALUE!</v>
      </c>
      <c r="IF11" s="90" t="e">
        <v>#VALUE!</v>
      </c>
      <c r="IG11" s="90" t="e">
        <v>#VALUE!</v>
      </c>
      <c r="IH11" s="90" t="e">
        <v>#VALUE!</v>
      </c>
      <c r="II11" s="90" t="e">
        <v>#VALUE!</v>
      </c>
      <c r="IJ11" s="90" t="e">
        <v>#VALUE!</v>
      </c>
      <c r="IK11" s="90" t="e">
        <v>#VALUE!</v>
      </c>
      <c r="IL11" s="90" t="e">
        <v>#VALUE!</v>
      </c>
      <c r="IM11" s="90" t="e">
        <v>#VALUE!</v>
      </c>
      <c r="IN11" s="90" t="e">
        <v>#VALUE!</v>
      </c>
      <c r="IO11" s="90" t="e">
        <v>#VALUE!</v>
      </c>
      <c r="IP11" s="90" t="e">
        <v>#VALUE!</v>
      </c>
      <c r="IQ11" s="90" t="e">
        <v>#VALUE!</v>
      </c>
      <c r="IR11" s="90" t="e">
        <v>#VALUE!</v>
      </c>
      <c r="IS11" s="90" t="e">
        <v>#VALUE!</v>
      </c>
      <c r="IT11" s="90" t="e">
        <v>#VALUE!</v>
      </c>
      <c r="IU11" s="90" t="e">
        <v>#VALUE!</v>
      </c>
      <c r="IV11" s="90" t="e">
        <v>#VALUE!</v>
      </c>
      <c r="IW11" s="90" t="e">
        <v>#VALUE!</v>
      </c>
      <c r="IX11" s="90" t="e">
        <v>#VALUE!</v>
      </c>
      <c r="IY11" s="90" t="e">
        <v>#VALUE!</v>
      </c>
      <c r="IZ11" s="90" t="e">
        <v>#VALUE!</v>
      </c>
      <c r="JA11" s="90" t="e">
        <v>#VALUE!</v>
      </c>
      <c r="JB11" s="90" t="e">
        <v>#VALUE!</v>
      </c>
      <c r="JC11" s="90" t="e">
        <v>#VALUE!</v>
      </c>
      <c r="JD11" s="90" t="e">
        <v>#VALUE!</v>
      </c>
      <c r="JE11" s="90" t="e">
        <v>#VALUE!</v>
      </c>
      <c r="JF11" s="90" t="e">
        <v>#VALUE!</v>
      </c>
      <c r="JG11" s="90" t="e">
        <v>#VALUE!</v>
      </c>
      <c r="JH11" s="90" t="e">
        <v>#VALUE!</v>
      </c>
      <c r="JI11" s="90" t="e">
        <v>#VALUE!</v>
      </c>
      <c r="JJ11" s="90" t="e">
        <v>#VALUE!</v>
      </c>
      <c r="JK11" s="90" t="e">
        <v>#VALUE!</v>
      </c>
      <c r="JL11" s="90" t="e">
        <v>#VALUE!</v>
      </c>
      <c r="JM11" s="90" t="e">
        <v>#VALUE!</v>
      </c>
      <c r="JN11" s="90" t="e">
        <v>#VALUE!</v>
      </c>
      <c r="JO11" s="90" t="e">
        <v>#VALUE!</v>
      </c>
      <c r="JP11" s="90" t="e">
        <v>#VALUE!</v>
      </c>
      <c r="JQ11" s="90" t="e">
        <v>#VALUE!</v>
      </c>
      <c r="JR11" s="90" t="e">
        <v>#VALUE!</v>
      </c>
      <c r="JS11" s="90" t="e">
        <v>#VALUE!</v>
      </c>
      <c r="JT11" s="90" t="e">
        <v>#VALUE!</v>
      </c>
      <c r="JU11" s="90" t="e">
        <v>#VALUE!</v>
      </c>
      <c r="JV11" s="90" t="e">
        <v>#VALUE!</v>
      </c>
      <c r="JW11" s="90" t="e">
        <v>#VALUE!</v>
      </c>
      <c r="JX11" s="90" t="e">
        <v>#VALUE!</v>
      </c>
      <c r="JY11" s="90" t="e">
        <v>#VALUE!</v>
      </c>
      <c r="JZ11" s="90" t="e">
        <v>#VALUE!</v>
      </c>
      <c r="KA11" s="90" t="e">
        <v>#VALUE!</v>
      </c>
      <c r="KB11" s="90" t="e">
        <v>#VALUE!</v>
      </c>
      <c r="KC11" s="90" t="e">
        <v>#VALUE!</v>
      </c>
      <c r="KD11" s="90" t="e">
        <v>#VALUE!</v>
      </c>
      <c r="KE11" s="90" t="e">
        <v>#VALUE!</v>
      </c>
      <c r="KF11" s="90" t="e">
        <v>#VALUE!</v>
      </c>
      <c r="KG11" s="90" t="e">
        <v>#VALUE!</v>
      </c>
      <c r="KH11" s="90" t="e">
        <v>#VALUE!</v>
      </c>
      <c r="KI11" s="90" t="e">
        <v>#VALUE!</v>
      </c>
      <c r="KJ11" s="90" t="e">
        <v>#VALUE!</v>
      </c>
      <c r="KK11" s="90" t="e">
        <v>#VALUE!</v>
      </c>
      <c r="KL11" s="90" t="e">
        <v>#VALUE!</v>
      </c>
      <c r="KM11" s="90" t="e">
        <v>#VALUE!</v>
      </c>
      <c r="KN11" s="90" t="e">
        <v>#VALUE!</v>
      </c>
      <c r="KO11" s="90" t="e">
        <v>#VALUE!</v>
      </c>
      <c r="KP11" s="90" t="e">
        <v>#VALUE!</v>
      </c>
      <c r="KQ11" s="90" t="e">
        <v>#VALUE!</v>
      </c>
      <c r="KR11" s="90" t="e">
        <v>#VALUE!</v>
      </c>
      <c r="KS11" s="90" t="e">
        <v>#VALUE!</v>
      </c>
      <c r="KT11" s="90" t="e">
        <v>#VALUE!</v>
      </c>
      <c r="KU11" s="90" t="e">
        <v>#VALUE!</v>
      </c>
      <c r="KV11" s="90" t="e">
        <v>#VALUE!</v>
      </c>
      <c r="KW11" s="90" t="e">
        <v>#VALUE!</v>
      </c>
      <c r="KX11" s="90" t="e">
        <v>#VALUE!</v>
      </c>
      <c r="KY11" s="90" t="e">
        <v>#VALUE!</v>
      </c>
      <c r="KZ11" s="90" t="e">
        <v>#VALUE!</v>
      </c>
      <c r="LA11" s="90" t="e">
        <v>#VALUE!</v>
      </c>
      <c r="LB11" s="90" t="e">
        <v>#VALUE!</v>
      </c>
      <c r="LC11" s="90" t="e">
        <v>#VALUE!</v>
      </c>
      <c r="LD11" s="90" t="e">
        <v>#VALUE!</v>
      </c>
      <c r="LE11" s="90" t="e">
        <v>#VALUE!</v>
      </c>
      <c r="LF11" s="90" t="e">
        <v>#VALUE!</v>
      </c>
      <c r="LG11" s="90" t="e">
        <v>#VALUE!</v>
      </c>
      <c r="LH11" s="90" t="e">
        <v>#VALUE!</v>
      </c>
      <c r="LI11" s="90" t="e">
        <v>#VALUE!</v>
      </c>
      <c r="LJ11" s="90" t="e">
        <v>#VALUE!</v>
      </c>
      <c r="LK11" s="90" t="e">
        <v>#VALUE!</v>
      </c>
      <c r="LL11" s="90" t="e">
        <v>#VALUE!</v>
      </c>
      <c r="LM11" s="90" t="e">
        <v>#VALUE!</v>
      </c>
      <c r="LN11" s="90" t="e">
        <v>#VALUE!</v>
      </c>
      <c r="LO11" s="90" t="e">
        <v>#VALUE!</v>
      </c>
      <c r="LP11" s="90" t="e">
        <v>#VALUE!</v>
      </c>
      <c r="LQ11" s="90" t="e">
        <v>#VALUE!</v>
      </c>
      <c r="LR11" s="90" t="e">
        <v>#VALUE!</v>
      </c>
      <c r="LS11" s="90" t="e">
        <v>#VALUE!</v>
      </c>
      <c r="LT11" s="90" t="e">
        <v>#VALUE!</v>
      </c>
      <c r="LU11" s="90" t="e">
        <v>#VALUE!</v>
      </c>
      <c r="LV11" s="90" t="e">
        <v>#VALUE!</v>
      </c>
      <c r="LW11" s="90" t="e">
        <v>#VALUE!</v>
      </c>
      <c r="LX11" s="90" t="e">
        <v>#VALUE!</v>
      </c>
      <c r="LY11" s="90" t="e">
        <v>#VALUE!</v>
      </c>
      <c r="LZ11" s="90" t="e">
        <v>#VALUE!</v>
      </c>
      <c r="MA11" s="90" t="e">
        <v>#VALUE!</v>
      </c>
      <c r="MB11" s="90" t="e">
        <v>#VALUE!</v>
      </c>
      <c r="MC11" s="90" t="e">
        <v>#VALUE!</v>
      </c>
      <c r="MD11" s="90" t="e">
        <v>#VALUE!</v>
      </c>
      <c r="ME11" s="90" t="e">
        <v>#VALUE!</v>
      </c>
      <c r="MF11" s="90" t="e">
        <v>#VALUE!</v>
      </c>
      <c r="MG11" s="90" t="e">
        <v>#VALUE!</v>
      </c>
      <c r="MH11" s="90" t="e">
        <v>#VALUE!</v>
      </c>
      <c r="MI11" s="90" t="e">
        <v>#VALUE!</v>
      </c>
      <c r="MJ11" s="90" t="e">
        <v>#VALUE!</v>
      </c>
      <c r="MK11" s="90" t="e">
        <v>#VALUE!</v>
      </c>
      <c r="ML11" s="90" t="e">
        <v>#VALUE!</v>
      </c>
      <c r="MM11" s="90" t="e">
        <v>#VALUE!</v>
      </c>
      <c r="MN11" s="90" t="e">
        <v>#VALUE!</v>
      </c>
      <c r="MO11" s="90" t="e">
        <v>#VALUE!</v>
      </c>
      <c r="MP11" s="90" t="e">
        <v>#VALUE!</v>
      </c>
      <c r="MQ11" s="90" t="e">
        <v>#VALUE!</v>
      </c>
      <c r="MR11" s="90" t="e">
        <v>#VALUE!</v>
      </c>
      <c r="MS11" s="90" t="e">
        <v>#VALUE!</v>
      </c>
      <c r="MT11" s="90" t="e">
        <v>#VALUE!</v>
      </c>
      <c r="MU11" s="90" t="e">
        <v>#VALUE!</v>
      </c>
      <c r="MV11" s="90" t="e">
        <v>#VALUE!</v>
      </c>
      <c r="MW11" s="90" t="e">
        <v>#VALUE!</v>
      </c>
      <c r="MX11" s="90" t="e">
        <v>#VALUE!</v>
      </c>
      <c r="MY11" s="90" t="e">
        <v>#VALUE!</v>
      </c>
      <c r="MZ11" s="90" t="e">
        <v>#VALUE!</v>
      </c>
      <c r="NA11" s="90" t="e">
        <v>#VALUE!</v>
      </c>
      <c r="NB11" s="90" t="e">
        <v>#VALUE!</v>
      </c>
      <c r="NC11" s="90" t="e">
        <v>#VALUE!</v>
      </c>
      <c r="ND11" s="90" t="e">
        <v>#VALUE!</v>
      </c>
      <c r="NE11" s="90" t="e">
        <v>#VALUE!</v>
      </c>
      <c r="NF11" s="90" t="e">
        <v>#VALUE!</v>
      </c>
      <c r="NG11" s="90" t="e">
        <v>#VALUE!</v>
      </c>
    </row>
    <row r="12" spans="1:371" x14ac:dyDescent="0.3">
      <c r="A12" s="394" t="s">
        <v>410</v>
      </c>
      <c r="D12" s="137" t="e">
        <v>#VALUE!</v>
      </c>
      <c r="E12" s="137" t="e">
        <v>#VALUE!</v>
      </c>
      <c r="F12" s="137" t="e">
        <v>#VALUE!</v>
      </c>
      <c r="G12" s="137" t="e">
        <v>#VALUE!</v>
      </c>
      <c r="H12" s="137" t="e">
        <v>#VALUE!</v>
      </c>
      <c r="I12" s="137" t="e">
        <v>#VALUE!</v>
      </c>
      <c r="J12" s="137" t="e">
        <v>#VALUE!</v>
      </c>
      <c r="K12" s="137" t="e">
        <v>#VALUE!</v>
      </c>
      <c r="L12" s="137" t="e">
        <v>#VALUE!</v>
      </c>
      <c r="M12" s="137" t="e">
        <v>#VALUE!</v>
      </c>
      <c r="N12" s="137" t="e">
        <v>#VALUE!</v>
      </c>
      <c r="O12" s="137" t="e">
        <v>#VALUE!</v>
      </c>
      <c r="P12" s="137" t="e">
        <v>#VALUE!</v>
      </c>
      <c r="Q12" s="137" t="e">
        <v>#VALUE!</v>
      </c>
      <c r="R12" s="137" t="e">
        <v>#VALUE!</v>
      </c>
      <c r="S12" s="137" t="e">
        <v>#VALUE!</v>
      </c>
      <c r="T12" s="137" t="e">
        <v>#VALUE!</v>
      </c>
      <c r="U12" s="137" t="e">
        <v>#VALUE!</v>
      </c>
      <c r="V12" s="137" t="e">
        <v>#VALUE!</v>
      </c>
      <c r="W12" s="137" t="e">
        <v>#VALUE!</v>
      </c>
      <c r="X12" s="137" t="e">
        <v>#VALUE!</v>
      </c>
      <c r="Y12" s="137" t="e">
        <v>#VALUE!</v>
      </c>
      <c r="Z12" s="137" t="e">
        <v>#VALUE!</v>
      </c>
      <c r="AA12" s="137" t="e">
        <v>#VALUE!</v>
      </c>
      <c r="AB12" s="137" t="e">
        <v>#VALUE!</v>
      </c>
      <c r="AC12" s="137" t="e">
        <v>#VALUE!</v>
      </c>
      <c r="AD12" s="137" t="e">
        <v>#VALUE!</v>
      </c>
      <c r="AE12" s="137" t="e">
        <v>#VALUE!</v>
      </c>
      <c r="AF12" s="137" t="e">
        <v>#VALUE!</v>
      </c>
      <c r="AG12" s="137" t="e">
        <v>#VALUE!</v>
      </c>
      <c r="AH12" s="137" t="e">
        <v>#VALUE!</v>
      </c>
      <c r="AI12" s="137" t="e">
        <v>#VALUE!</v>
      </c>
      <c r="AJ12" s="137" t="e">
        <v>#VALUE!</v>
      </c>
      <c r="AK12" s="137" t="e">
        <v>#VALUE!</v>
      </c>
      <c r="AL12" s="137" t="e">
        <v>#VALUE!</v>
      </c>
      <c r="AM12" s="137" t="e">
        <v>#VALUE!</v>
      </c>
      <c r="AN12" s="137" t="e">
        <v>#VALUE!</v>
      </c>
      <c r="AO12" s="137" t="e">
        <v>#VALUE!</v>
      </c>
      <c r="AP12" s="137" t="e">
        <v>#VALUE!</v>
      </c>
      <c r="AQ12" s="137" t="e">
        <v>#VALUE!</v>
      </c>
      <c r="AR12" s="137" t="e">
        <v>#VALUE!</v>
      </c>
      <c r="AS12" s="137" t="e">
        <v>#VALUE!</v>
      </c>
      <c r="AT12" s="137" t="e">
        <v>#VALUE!</v>
      </c>
      <c r="AU12" s="137" t="e">
        <v>#VALUE!</v>
      </c>
      <c r="AV12" s="137" t="e">
        <v>#VALUE!</v>
      </c>
      <c r="AW12" s="137" t="e">
        <v>#VALUE!</v>
      </c>
      <c r="AX12" s="137" t="e">
        <v>#VALUE!</v>
      </c>
      <c r="AY12" s="137" t="e">
        <v>#VALUE!</v>
      </c>
      <c r="AZ12" s="137" t="e">
        <v>#VALUE!</v>
      </c>
      <c r="BA12" s="137" t="e">
        <v>#VALUE!</v>
      </c>
      <c r="BB12" s="137" t="e">
        <v>#VALUE!</v>
      </c>
      <c r="BC12" s="137" t="e">
        <v>#VALUE!</v>
      </c>
      <c r="BD12" s="137" t="e">
        <v>#VALUE!</v>
      </c>
      <c r="BE12" s="137" t="e">
        <v>#VALUE!</v>
      </c>
      <c r="BF12" s="137" t="e">
        <v>#VALUE!</v>
      </c>
      <c r="BG12" s="137" t="e">
        <v>#VALUE!</v>
      </c>
      <c r="BH12" s="137" t="e">
        <v>#VALUE!</v>
      </c>
      <c r="BI12" s="137" t="e">
        <v>#VALUE!</v>
      </c>
      <c r="BJ12" s="137" t="e">
        <v>#VALUE!</v>
      </c>
      <c r="BK12" s="137" t="e">
        <v>#VALUE!</v>
      </c>
      <c r="BL12" s="137" t="e">
        <v>#VALUE!</v>
      </c>
      <c r="BM12" s="137" t="e">
        <v>#VALUE!</v>
      </c>
      <c r="BN12" s="137" t="e">
        <v>#VALUE!</v>
      </c>
      <c r="BO12" s="137" t="e">
        <v>#VALUE!</v>
      </c>
      <c r="BP12" s="137" t="e">
        <v>#VALUE!</v>
      </c>
      <c r="BQ12" s="137" t="e">
        <v>#VALUE!</v>
      </c>
      <c r="BR12" s="137" t="e">
        <v>#VALUE!</v>
      </c>
      <c r="BS12" s="137" t="e">
        <v>#VALUE!</v>
      </c>
      <c r="BT12" s="137" t="e">
        <v>#VALUE!</v>
      </c>
      <c r="BU12" s="137" t="e">
        <v>#VALUE!</v>
      </c>
      <c r="BV12" s="137" t="e">
        <v>#VALUE!</v>
      </c>
      <c r="BW12" s="137" t="e">
        <v>#VALUE!</v>
      </c>
      <c r="BX12" s="137" t="e">
        <v>#VALUE!</v>
      </c>
      <c r="BY12" s="137" t="e">
        <v>#VALUE!</v>
      </c>
      <c r="BZ12" s="137" t="e">
        <v>#VALUE!</v>
      </c>
      <c r="CA12" s="137" t="e">
        <v>#VALUE!</v>
      </c>
      <c r="CB12" s="137" t="e">
        <v>#VALUE!</v>
      </c>
      <c r="CC12" s="137" t="e">
        <v>#VALUE!</v>
      </c>
      <c r="CD12" s="137" t="e">
        <v>#VALUE!</v>
      </c>
      <c r="CE12" s="137" t="e">
        <v>#VALUE!</v>
      </c>
      <c r="CF12" s="137" t="e">
        <v>#VALUE!</v>
      </c>
      <c r="CG12" s="137" t="e">
        <v>#VALUE!</v>
      </c>
      <c r="CH12" s="137" t="e">
        <v>#VALUE!</v>
      </c>
      <c r="CI12" s="137" t="e">
        <v>#VALUE!</v>
      </c>
      <c r="CJ12" s="137" t="e">
        <v>#VALUE!</v>
      </c>
      <c r="CK12" s="137" t="e">
        <v>#VALUE!</v>
      </c>
      <c r="CL12" s="137" t="e">
        <v>#VALUE!</v>
      </c>
      <c r="CM12" s="137" t="e">
        <v>#VALUE!</v>
      </c>
      <c r="CN12" s="137" t="e">
        <v>#VALUE!</v>
      </c>
      <c r="CO12" s="137" t="e">
        <v>#VALUE!</v>
      </c>
      <c r="CP12" s="137" t="e">
        <v>#VALUE!</v>
      </c>
      <c r="CQ12" s="137" t="e">
        <v>#VALUE!</v>
      </c>
      <c r="CR12" s="137" t="e">
        <v>#VALUE!</v>
      </c>
      <c r="CS12" s="137" t="e">
        <v>#VALUE!</v>
      </c>
      <c r="CT12" s="137" t="e">
        <v>#VALUE!</v>
      </c>
      <c r="CU12" s="137" t="e">
        <v>#VALUE!</v>
      </c>
      <c r="CV12" s="137" t="e">
        <v>#VALUE!</v>
      </c>
      <c r="CW12" s="137" t="e">
        <v>#VALUE!</v>
      </c>
      <c r="CX12" s="137" t="e">
        <v>#VALUE!</v>
      </c>
      <c r="CY12" s="137" t="e">
        <v>#VALUE!</v>
      </c>
      <c r="CZ12" s="137" t="e">
        <v>#VALUE!</v>
      </c>
      <c r="DA12" s="137" t="e">
        <v>#VALUE!</v>
      </c>
      <c r="DB12" s="137" t="e">
        <v>#VALUE!</v>
      </c>
      <c r="DC12" s="137" t="e">
        <v>#VALUE!</v>
      </c>
      <c r="DD12" s="137" t="e">
        <v>#VALUE!</v>
      </c>
      <c r="DE12" s="137" t="e">
        <v>#VALUE!</v>
      </c>
      <c r="DF12" s="137" t="e">
        <v>#VALUE!</v>
      </c>
      <c r="DG12" s="137" t="e">
        <v>#VALUE!</v>
      </c>
      <c r="DH12" s="137" t="e">
        <v>#VALUE!</v>
      </c>
      <c r="DI12" s="137" t="e">
        <v>#VALUE!</v>
      </c>
      <c r="DJ12" s="137" t="e">
        <v>#VALUE!</v>
      </c>
      <c r="DK12" s="137" t="e">
        <v>#VALUE!</v>
      </c>
      <c r="DL12" s="137" t="e">
        <v>#VALUE!</v>
      </c>
      <c r="DM12" s="137" t="e">
        <v>#VALUE!</v>
      </c>
      <c r="DN12" s="137" t="e">
        <v>#VALUE!</v>
      </c>
      <c r="DO12" s="137" t="e">
        <v>#VALUE!</v>
      </c>
      <c r="DP12" s="137" t="e">
        <v>#VALUE!</v>
      </c>
      <c r="DQ12" s="137" t="e">
        <v>#VALUE!</v>
      </c>
      <c r="DR12" s="137" t="e">
        <v>#VALUE!</v>
      </c>
      <c r="DS12" s="137" t="e">
        <v>#VALUE!</v>
      </c>
      <c r="DT12" s="137" t="e">
        <v>#VALUE!</v>
      </c>
      <c r="DU12" s="137" t="e">
        <v>#VALUE!</v>
      </c>
      <c r="DV12" s="137" t="e">
        <v>#VALUE!</v>
      </c>
      <c r="DW12" s="137" t="e">
        <v>#VALUE!</v>
      </c>
      <c r="DX12" s="137" t="e">
        <v>#VALUE!</v>
      </c>
      <c r="DY12" s="137" t="e">
        <v>#VALUE!</v>
      </c>
      <c r="DZ12" s="137" t="e">
        <v>#VALUE!</v>
      </c>
      <c r="EA12" s="137" t="e">
        <v>#VALUE!</v>
      </c>
      <c r="EB12" s="137" t="e">
        <v>#VALUE!</v>
      </c>
      <c r="EC12" s="137" t="e">
        <v>#VALUE!</v>
      </c>
      <c r="ED12" s="137" t="e">
        <v>#VALUE!</v>
      </c>
      <c r="EE12" s="137" t="e">
        <v>#VALUE!</v>
      </c>
      <c r="EF12" s="137" t="e">
        <v>#VALUE!</v>
      </c>
      <c r="EG12" s="137" t="e">
        <v>#VALUE!</v>
      </c>
      <c r="EH12" s="137" t="e">
        <v>#VALUE!</v>
      </c>
      <c r="EI12" s="137" t="e">
        <v>#VALUE!</v>
      </c>
      <c r="EJ12" s="137" t="e">
        <v>#VALUE!</v>
      </c>
      <c r="EK12" s="137" t="e">
        <v>#VALUE!</v>
      </c>
      <c r="EL12" s="137" t="e">
        <v>#VALUE!</v>
      </c>
      <c r="EM12" s="137" t="e">
        <v>#VALUE!</v>
      </c>
      <c r="EN12" s="137" t="e">
        <v>#VALUE!</v>
      </c>
      <c r="EO12" s="137" t="e">
        <v>#VALUE!</v>
      </c>
      <c r="EP12" s="137" t="e">
        <v>#VALUE!</v>
      </c>
      <c r="EQ12" s="137" t="e">
        <v>#VALUE!</v>
      </c>
      <c r="ER12" s="137" t="e">
        <v>#VALUE!</v>
      </c>
      <c r="ES12" s="137" t="e">
        <v>#VALUE!</v>
      </c>
      <c r="ET12" s="137" t="e">
        <v>#VALUE!</v>
      </c>
      <c r="EU12" s="137" t="e">
        <v>#VALUE!</v>
      </c>
      <c r="EV12" s="137" t="e">
        <v>#VALUE!</v>
      </c>
      <c r="EW12" s="137" t="e">
        <v>#VALUE!</v>
      </c>
      <c r="EX12" s="137" t="e">
        <v>#VALUE!</v>
      </c>
      <c r="EY12" s="137" t="e">
        <v>#VALUE!</v>
      </c>
      <c r="EZ12" s="137" t="e">
        <v>#VALUE!</v>
      </c>
      <c r="FA12" s="137" t="e">
        <v>#VALUE!</v>
      </c>
      <c r="FB12" s="137" t="e">
        <v>#VALUE!</v>
      </c>
      <c r="FC12" s="137" t="e">
        <v>#VALUE!</v>
      </c>
      <c r="FD12" s="137" t="e">
        <v>#VALUE!</v>
      </c>
      <c r="FE12" s="137" t="e">
        <v>#VALUE!</v>
      </c>
      <c r="FF12" s="137" t="e">
        <v>#VALUE!</v>
      </c>
      <c r="FG12" s="137" t="e">
        <v>#VALUE!</v>
      </c>
      <c r="FH12" s="137" t="e">
        <v>#VALUE!</v>
      </c>
      <c r="FI12" s="137" t="e">
        <v>#VALUE!</v>
      </c>
      <c r="FJ12" s="137" t="e">
        <v>#VALUE!</v>
      </c>
      <c r="FK12" s="137" t="e">
        <v>#VALUE!</v>
      </c>
      <c r="FL12" s="137" t="e">
        <v>#VALUE!</v>
      </c>
      <c r="FM12" s="137" t="e">
        <v>#VALUE!</v>
      </c>
      <c r="FN12" s="137" t="e">
        <v>#VALUE!</v>
      </c>
      <c r="FO12" s="137" t="e">
        <v>#VALUE!</v>
      </c>
      <c r="FP12" s="137" t="e">
        <v>#VALUE!</v>
      </c>
      <c r="FQ12" s="137" t="e">
        <v>#VALUE!</v>
      </c>
      <c r="FR12" s="137" t="e">
        <v>#VALUE!</v>
      </c>
      <c r="FS12" s="137" t="e">
        <v>#VALUE!</v>
      </c>
      <c r="FT12" s="137" t="e">
        <v>#VALUE!</v>
      </c>
      <c r="FU12" s="137" t="e">
        <v>#VALUE!</v>
      </c>
      <c r="FV12" s="137" t="e">
        <v>#VALUE!</v>
      </c>
      <c r="FW12" s="137" t="e">
        <v>#VALUE!</v>
      </c>
      <c r="FX12" s="137" t="e">
        <v>#VALUE!</v>
      </c>
      <c r="FY12" s="137" t="e">
        <v>#VALUE!</v>
      </c>
      <c r="FZ12" s="137" t="e">
        <v>#VALUE!</v>
      </c>
      <c r="GA12" s="137" t="e">
        <v>#VALUE!</v>
      </c>
      <c r="GB12" s="137" t="e">
        <v>#VALUE!</v>
      </c>
      <c r="GC12" s="137" t="e">
        <v>#VALUE!</v>
      </c>
      <c r="GD12" s="137" t="e">
        <v>#VALUE!</v>
      </c>
      <c r="GE12" s="137" t="e">
        <v>#VALUE!</v>
      </c>
      <c r="GF12" s="137" t="e">
        <v>#VALUE!</v>
      </c>
      <c r="GG12" s="137" t="e">
        <v>#VALUE!</v>
      </c>
      <c r="GH12" s="137" t="e">
        <v>#VALUE!</v>
      </c>
      <c r="GI12" s="137" t="e">
        <v>#VALUE!</v>
      </c>
      <c r="GJ12" s="137" t="e">
        <v>#VALUE!</v>
      </c>
      <c r="GK12" s="137" t="e">
        <v>#VALUE!</v>
      </c>
      <c r="GL12" s="137" t="e">
        <v>#VALUE!</v>
      </c>
      <c r="GM12" s="137" t="e">
        <v>#VALUE!</v>
      </c>
      <c r="GN12" s="137" t="e">
        <v>#VALUE!</v>
      </c>
      <c r="GO12" s="137" t="e">
        <v>#VALUE!</v>
      </c>
      <c r="GP12" s="137" t="e">
        <v>#VALUE!</v>
      </c>
      <c r="GQ12" s="137" t="e">
        <v>#VALUE!</v>
      </c>
      <c r="GR12" s="137" t="e">
        <v>#VALUE!</v>
      </c>
      <c r="GS12" s="137" t="e">
        <v>#VALUE!</v>
      </c>
      <c r="GT12" s="137" t="e">
        <v>#VALUE!</v>
      </c>
      <c r="GU12" s="137" t="e">
        <v>#VALUE!</v>
      </c>
      <c r="GV12" s="137" t="e">
        <v>#VALUE!</v>
      </c>
      <c r="GW12" s="137" t="e">
        <v>#VALUE!</v>
      </c>
      <c r="GX12" s="137" t="e">
        <v>#VALUE!</v>
      </c>
      <c r="GY12" s="137" t="e">
        <v>#VALUE!</v>
      </c>
      <c r="GZ12" s="137" t="e">
        <v>#VALUE!</v>
      </c>
      <c r="HA12" s="137" t="e">
        <v>#VALUE!</v>
      </c>
      <c r="HB12" s="137" t="e">
        <v>#VALUE!</v>
      </c>
      <c r="HC12" s="137" t="e">
        <v>#VALUE!</v>
      </c>
      <c r="HD12" s="137" t="e">
        <v>#VALUE!</v>
      </c>
      <c r="HE12" s="137" t="e">
        <v>#VALUE!</v>
      </c>
      <c r="HF12" s="137" t="e">
        <v>#VALUE!</v>
      </c>
      <c r="HG12" s="137" t="e">
        <v>#VALUE!</v>
      </c>
      <c r="HH12" s="137" t="e">
        <v>#VALUE!</v>
      </c>
      <c r="HI12" s="137" t="e">
        <v>#VALUE!</v>
      </c>
      <c r="HJ12" s="137" t="e">
        <v>#VALUE!</v>
      </c>
      <c r="HK12" s="137" t="e">
        <v>#VALUE!</v>
      </c>
      <c r="HL12" s="137" t="e">
        <v>#VALUE!</v>
      </c>
      <c r="HM12" s="137" t="e">
        <v>#VALUE!</v>
      </c>
      <c r="HN12" s="137" t="e">
        <v>#VALUE!</v>
      </c>
      <c r="HO12" s="137" t="e">
        <v>#VALUE!</v>
      </c>
      <c r="HP12" s="137" t="e">
        <v>#VALUE!</v>
      </c>
      <c r="HQ12" s="137" t="e">
        <v>#VALUE!</v>
      </c>
      <c r="HR12" s="137" t="e">
        <v>#VALUE!</v>
      </c>
      <c r="HS12" s="137" t="e">
        <v>#VALUE!</v>
      </c>
      <c r="HT12" s="137" t="e">
        <v>#VALUE!</v>
      </c>
      <c r="HU12" s="137" t="e">
        <v>#VALUE!</v>
      </c>
      <c r="HV12" s="137" t="e">
        <v>#VALUE!</v>
      </c>
      <c r="HW12" s="137" t="e">
        <v>#VALUE!</v>
      </c>
      <c r="HX12" s="137" t="e">
        <v>#VALUE!</v>
      </c>
      <c r="HY12" s="137" t="e">
        <v>#VALUE!</v>
      </c>
      <c r="HZ12" s="137" t="e">
        <v>#VALUE!</v>
      </c>
      <c r="IA12" s="137" t="e">
        <v>#VALUE!</v>
      </c>
      <c r="IB12" s="137" t="e">
        <v>#VALUE!</v>
      </c>
      <c r="IC12" s="137" t="e">
        <v>#VALUE!</v>
      </c>
      <c r="ID12" s="137" t="e">
        <v>#VALUE!</v>
      </c>
      <c r="IE12" s="137" t="e">
        <v>#VALUE!</v>
      </c>
      <c r="IF12" s="137" t="e">
        <v>#VALUE!</v>
      </c>
      <c r="IG12" s="137" t="e">
        <v>#VALUE!</v>
      </c>
      <c r="IH12" s="137" t="e">
        <v>#VALUE!</v>
      </c>
      <c r="II12" s="137" t="e">
        <v>#VALUE!</v>
      </c>
      <c r="IJ12" s="137" t="e">
        <v>#VALUE!</v>
      </c>
      <c r="IK12" s="137" t="e">
        <v>#VALUE!</v>
      </c>
      <c r="IL12" s="137" t="e">
        <v>#VALUE!</v>
      </c>
      <c r="IM12" s="137" t="e">
        <v>#VALUE!</v>
      </c>
      <c r="IN12" s="137" t="e">
        <v>#VALUE!</v>
      </c>
      <c r="IO12" s="137" t="e">
        <v>#VALUE!</v>
      </c>
      <c r="IP12" s="137" t="e">
        <v>#VALUE!</v>
      </c>
      <c r="IQ12" s="137" t="e">
        <v>#VALUE!</v>
      </c>
      <c r="IR12" s="137" t="e">
        <v>#VALUE!</v>
      </c>
      <c r="IS12" s="137" t="e">
        <v>#VALUE!</v>
      </c>
      <c r="IT12" s="137" t="e">
        <v>#VALUE!</v>
      </c>
      <c r="IU12" s="137" t="e">
        <v>#VALUE!</v>
      </c>
      <c r="IV12" s="137" t="e">
        <v>#VALUE!</v>
      </c>
      <c r="IW12" s="137" t="e">
        <v>#VALUE!</v>
      </c>
      <c r="IX12" s="137" t="e">
        <v>#VALUE!</v>
      </c>
      <c r="IY12" s="137" t="e">
        <v>#VALUE!</v>
      </c>
      <c r="IZ12" s="137" t="e">
        <v>#VALUE!</v>
      </c>
      <c r="JA12" s="137" t="e">
        <v>#VALUE!</v>
      </c>
      <c r="JB12" s="137" t="e">
        <v>#VALUE!</v>
      </c>
      <c r="JC12" s="137" t="e">
        <v>#VALUE!</v>
      </c>
      <c r="JD12" s="137" t="e">
        <v>#VALUE!</v>
      </c>
      <c r="JE12" s="137" t="e">
        <v>#VALUE!</v>
      </c>
      <c r="JF12" s="137" t="e">
        <v>#VALUE!</v>
      </c>
      <c r="JG12" s="137" t="e">
        <v>#VALUE!</v>
      </c>
      <c r="JH12" s="137" t="e">
        <v>#VALUE!</v>
      </c>
      <c r="JI12" s="137" t="e">
        <v>#VALUE!</v>
      </c>
      <c r="JJ12" s="137" t="e">
        <v>#VALUE!</v>
      </c>
      <c r="JK12" s="137" t="e">
        <v>#VALUE!</v>
      </c>
      <c r="JL12" s="137" t="e">
        <v>#VALUE!</v>
      </c>
      <c r="JM12" s="137" t="e">
        <v>#VALUE!</v>
      </c>
      <c r="JN12" s="137" t="e">
        <v>#VALUE!</v>
      </c>
      <c r="JO12" s="137" t="e">
        <v>#VALUE!</v>
      </c>
      <c r="JP12" s="137" t="e">
        <v>#VALUE!</v>
      </c>
      <c r="JQ12" s="137" t="e">
        <v>#VALUE!</v>
      </c>
      <c r="JR12" s="137" t="e">
        <v>#VALUE!</v>
      </c>
      <c r="JS12" s="137" t="e">
        <v>#VALUE!</v>
      </c>
      <c r="JT12" s="137" t="e">
        <v>#VALUE!</v>
      </c>
      <c r="JU12" s="137" t="e">
        <v>#VALUE!</v>
      </c>
      <c r="JV12" s="137" t="e">
        <v>#VALUE!</v>
      </c>
      <c r="JW12" s="137" t="e">
        <v>#VALUE!</v>
      </c>
      <c r="JX12" s="137" t="e">
        <v>#VALUE!</v>
      </c>
      <c r="JY12" s="137" t="e">
        <v>#VALUE!</v>
      </c>
      <c r="JZ12" s="137" t="e">
        <v>#VALUE!</v>
      </c>
      <c r="KA12" s="137" t="e">
        <v>#VALUE!</v>
      </c>
      <c r="KB12" s="137" t="e">
        <v>#VALUE!</v>
      </c>
      <c r="KC12" s="137" t="e">
        <v>#VALUE!</v>
      </c>
      <c r="KD12" s="137" t="e">
        <v>#VALUE!</v>
      </c>
      <c r="KE12" s="137" t="e">
        <v>#VALUE!</v>
      </c>
      <c r="KF12" s="137" t="e">
        <v>#VALUE!</v>
      </c>
      <c r="KG12" s="137" t="e">
        <v>#VALUE!</v>
      </c>
      <c r="KH12" s="137" t="e">
        <v>#VALUE!</v>
      </c>
      <c r="KI12" s="137" t="e">
        <v>#VALUE!</v>
      </c>
      <c r="KJ12" s="137" t="e">
        <v>#VALUE!</v>
      </c>
      <c r="KK12" s="137" t="e">
        <v>#VALUE!</v>
      </c>
      <c r="KL12" s="137" t="e">
        <v>#VALUE!</v>
      </c>
      <c r="KM12" s="137" t="e">
        <v>#VALUE!</v>
      </c>
      <c r="KN12" s="137" t="e">
        <v>#VALUE!</v>
      </c>
      <c r="KO12" s="137" t="e">
        <v>#VALUE!</v>
      </c>
      <c r="KP12" s="137" t="e">
        <v>#VALUE!</v>
      </c>
      <c r="KQ12" s="137" t="e">
        <v>#VALUE!</v>
      </c>
      <c r="KR12" s="137" t="e">
        <v>#VALUE!</v>
      </c>
      <c r="KS12" s="137" t="e">
        <v>#VALUE!</v>
      </c>
      <c r="KT12" s="137" t="e">
        <v>#VALUE!</v>
      </c>
      <c r="KU12" s="137" t="e">
        <v>#VALUE!</v>
      </c>
      <c r="KV12" s="137" t="e">
        <v>#VALUE!</v>
      </c>
      <c r="KW12" s="137" t="e">
        <v>#VALUE!</v>
      </c>
      <c r="KX12" s="137" t="e">
        <v>#VALUE!</v>
      </c>
      <c r="KY12" s="137" t="e">
        <v>#VALUE!</v>
      </c>
      <c r="KZ12" s="137" t="e">
        <v>#VALUE!</v>
      </c>
      <c r="LA12" s="137" t="e">
        <v>#VALUE!</v>
      </c>
      <c r="LB12" s="137" t="e">
        <v>#VALUE!</v>
      </c>
      <c r="LC12" s="137" t="e">
        <v>#VALUE!</v>
      </c>
      <c r="LD12" s="137" t="e">
        <v>#VALUE!</v>
      </c>
      <c r="LE12" s="137" t="e">
        <v>#VALUE!</v>
      </c>
      <c r="LF12" s="137" t="e">
        <v>#VALUE!</v>
      </c>
      <c r="LG12" s="137" t="e">
        <v>#VALUE!</v>
      </c>
      <c r="LH12" s="137" t="e">
        <v>#VALUE!</v>
      </c>
      <c r="LI12" s="137" t="e">
        <v>#VALUE!</v>
      </c>
      <c r="LJ12" s="137" t="e">
        <v>#VALUE!</v>
      </c>
      <c r="LK12" s="137" t="e">
        <v>#VALUE!</v>
      </c>
      <c r="LL12" s="137" t="e">
        <v>#VALUE!</v>
      </c>
      <c r="LM12" s="137" t="e">
        <v>#VALUE!</v>
      </c>
      <c r="LN12" s="137" t="e">
        <v>#VALUE!</v>
      </c>
      <c r="LO12" s="137" t="e">
        <v>#VALUE!</v>
      </c>
      <c r="LP12" s="137" t="e">
        <v>#VALUE!</v>
      </c>
      <c r="LQ12" s="137" t="e">
        <v>#VALUE!</v>
      </c>
      <c r="LR12" s="137" t="e">
        <v>#VALUE!</v>
      </c>
      <c r="LS12" s="137" t="e">
        <v>#VALUE!</v>
      </c>
      <c r="LT12" s="137" t="e">
        <v>#VALUE!</v>
      </c>
      <c r="LU12" s="137" t="e">
        <v>#VALUE!</v>
      </c>
      <c r="LV12" s="137" t="e">
        <v>#VALUE!</v>
      </c>
      <c r="LW12" s="137" t="e">
        <v>#VALUE!</v>
      </c>
      <c r="LX12" s="137" t="e">
        <v>#VALUE!</v>
      </c>
      <c r="LY12" s="137" t="e">
        <v>#VALUE!</v>
      </c>
      <c r="LZ12" s="137" t="e">
        <v>#VALUE!</v>
      </c>
      <c r="MA12" s="137" t="e">
        <v>#VALUE!</v>
      </c>
      <c r="MB12" s="137" t="e">
        <v>#VALUE!</v>
      </c>
      <c r="MC12" s="137" t="e">
        <v>#VALUE!</v>
      </c>
      <c r="MD12" s="137" t="e">
        <v>#VALUE!</v>
      </c>
      <c r="ME12" s="137" t="e">
        <v>#VALUE!</v>
      </c>
      <c r="MF12" s="137" t="e">
        <v>#VALUE!</v>
      </c>
      <c r="MG12" s="137" t="e">
        <v>#VALUE!</v>
      </c>
      <c r="MH12" s="137" t="e">
        <v>#VALUE!</v>
      </c>
      <c r="MI12" s="137" t="e">
        <v>#VALUE!</v>
      </c>
      <c r="MJ12" s="137" t="e">
        <v>#VALUE!</v>
      </c>
      <c r="MK12" s="137" t="e">
        <v>#VALUE!</v>
      </c>
      <c r="ML12" s="137" t="e">
        <v>#VALUE!</v>
      </c>
      <c r="MM12" s="137" t="e">
        <v>#VALUE!</v>
      </c>
      <c r="MN12" s="137" t="e">
        <v>#VALUE!</v>
      </c>
      <c r="MO12" s="137" t="e">
        <v>#VALUE!</v>
      </c>
      <c r="MP12" s="137" t="e">
        <v>#VALUE!</v>
      </c>
      <c r="MQ12" s="137" t="e">
        <v>#VALUE!</v>
      </c>
      <c r="MR12" s="137" t="e">
        <v>#VALUE!</v>
      </c>
      <c r="MS12" s="137" t="e">
        <v>#VALUE!</v>
      </c>
      <c r="MT12" s="137" t="e">
        <v>#VALUE!</v>
      </c>
      <c r="MU12" s="137" t="e">
        <v>#VALUE!</v>
      </c>
      <c r="MV12" s="137" t="e">
        <v>#VALUE!</v>
      </c>
      <c r="MW12" s="137" t="e">
        <v>#VALUE!</v>
      </c>
      <c r="MX12" s="137" t="e">
        <v>#VALUE!</v>
      </c>
      <c r="MY12" s="137" t="e">
        <v>#VALUE!</v>
      </c>
      <c r="MZ12" s="137" t="e">
        <v>#VALUE!</v>
      </c>
      <c r="NA12" s="137" t="e">
        <v>#VALUE!</v>
      </c>
      <c r="NB12" s="137" t="e">
        <v>#VALUE!</v>
      </c>
      <c r="NC12" s="137" t="e">
        <v>#VALUE!</v>
      </c>
      <c r="ND12" s="137" t="e">
        <v>#VALUE!</v>
      </c>
      <c r="NE12" s="137" t="e">
        <v>#VALUE!</v>
      </c>
      <c r="NF12" s="137" t="e">
        <v>#VALUE!</v>
      </c>
      <c r="NG12" s="137" t="e">
        <v>#VALUE!</v>
      </c>
    </row>
    <row r="13" spans="1:371" x14ac:dyDescent="0.3">
      <c r="A13" s="394"/>
    </row>
    <row r="14" spans="1:371" x14ac:dyDescent="0.3">
      <c r="A14" s="394" t="s">
        <v>411</v>
      </c>
      <c r="D14" s="137" t="e">
        <v>#VALUE!</v>
      </c>
      <c r="E14" s="137" t="e">
        <v>#VALUE!</v>
      </c>
      <c r="F14" s="137" t="e">
        <v>#VALUE!</v>
      </c>
      <c r="G14" s="137" t="e">
        <v>#VALUE!</v>
      </c>
      <c r="H14" s="137" t="e">
        <v>#VALUE!</v>
      </c>
      <c r="I14" s="137" t="e">
        <v>#VALUE!</v>
      </c>
      <c r="J14" s="137" t="e">
        <v>#VALUE!</v>
      </c>
      <c r="K14" s="137" t="e">
        <v>#VALUE!</v>
      </c>
      <c r="L14" s="137" t="e">
        <v>#VALUE!</v>
      </c>
      <c r="M14" s="137" t="e">
        <v>#VALUE!</v>
      </c>
      <c r="N14" s="137" t="e">
        <v>#VALUE!</v>
      </c>
      <c r="O14" s="137" t="e">
        <v>#VALUE!</v>
      </c>
      <c r="P14" s="137" t="e">
        <v>#VALUE!</v>
      </c>
      <c r="Q14" s="137" t="e">
        <v>#VALUE!</v>
      </c>
      <c r="R14" s="137" t="e">
        <v>#VALUE!</v>
      </c>
      <c r="S14" s="137" t="e">
        <v>#VALUE!</v>
      </c>
      <c r="T14" s="137" t="e">
        <v>#VALUE!</v>
      </c>
      <c r="U14" s="137" t="e">
        <v>#VALUE!</v>
      </c>
      <c r="V14" s="137" t="e">
        <v>#VALUE!</v>
      </c>
      <c r="W14" s="137" t="e">
        <v>#VALUE!</v>
      </c>
      <c r="X14" s="137" t="e">
        <v>#VALUE!</v>
      </c>
      <c r="Y14" s="137" t="e">
        <v>#VALUE!</v>
      </c>
      <c r="Z14" s="137" t="e">
        <v>#VALUE!</v>
      </c>
      <c r="AA14" s="137" t="e">
        <v>#VALUE!</v>
      </c>
      <c r="AB14" s="137" t="e">
        <v>#VALUE!</v>
      </c>
      <c r="AC14" s="137" t="e">
        <v>#VALUE!</v>
      </c>
      <c r="AD14" s="137" t="e">
        <v>#VALUE!</v>
      </c>
      <c r="AE14" s="137" t="e">
        <v>#VALUE!</v>
      </c>
      <c r="AF14" s="137" t="e">
        <v>#VALUE!</v>
      </c>
      <c r="AG14" s="137" t="e">
        <v>#VALUE!</v>
      </c>
      <c r="AH14" s="137" t="e">
        <v>#VALUE!</v>
      </c>
      <c r="AI14" s="137" t="e">
        <v>#VALUE!</v>
      </c>
      <c r="AJ14" s="137" t="e">
        <v>#VALUE!</v>
      </c>
      <c r="AK14" s="137" t="e">
        <v>#VALUE!</v>
      </c>
      <c r="AL14" s="137" t="e">
        <v>#VALUE!</v>
      </c>
      <c r="AM14" s="137" t="e">
        <v>#VALUE!</v>
      </c>
      <c r="AN14" s="137" t="e">
        <v>#VALUE!</v>
      </c>
      <c r="AO14" s="137" t="e">
        <v>#VALUE!</v>
      </c>
      <c r="AP14" s="137" t="e">
        <v>#VALUE!</v>
      </c>
      <c r="AQ14" s="137" t="e">
        <v>#VALUE!</v>
      </c>
      <c r="AR14" s="137" t="e">
        <v>#VALUE!</v>
      </c>
      <c r="AS14" s="137" t="e">
        <v>#VALUE!</v>
      </c>
      <c r="AT14" s="137" t="e">
        <v>#VALUE!</v>
      </c>
      <c r="AU14" s="137" t="e">
        <v>#VALUE!</v>
      </c>
      <c r="AV14" s="137" t="e">
        <v>#VALUE!</v>
      </c>
      <c r="AW14" s="137" t="e">
        <v>#VALUE!</v>
      </c>
      <c r="AX14" s="137" t="e">
        <v>#VALUE!</v>
      </c>
      <c r="AY14" s="137" t="e">
        <v>#VALUE!</v>
      </c>
      <c r="AZ14" s="137" t="e">
        <v>#VALUE!</v>
      </c>
      <c r="BA14" s="137" t="e">
        <v>#VALUE!</v>
      </c>
      <c r="BB14" s="137" t="e">
        <v>#VALUE!</v>
      </c>
      <c r="BC14" s="137" t="e">
        <v>#VALUE!</v>
      </c>
      <c r="BD14" s="137" t="e">
        <v>#VALUE!</v>
      </c>
      <c r="BE14" s="137" t="e">
        <v>#VALUE!</v>
      </c>
      <c r="BF14" s="137" t="e">
        <v>#VALUE!</v>
      </c>
      <c r="BG14" s="137" t="e">
        <v>#VALUE!</v>
      </c>
      <c r="BH14" s="137" t="e">
        <v>#VALUE!</v>
      </c>
      <c r="BI14" s="137" t="e">
        <v>#VALUE!</v>
      </c>
      <c r="BJ14" s="137" t="e">
        <v>#VALUE!</v>
      </c>
      <c r="BK14" s="137" t="e">
        <v>#VALUE!</v>
      </c>
      <c r="BL14" s="137" t="e">
        <v>#VALUE!</v>
      </c>
      <c r="BM14" s="137" t="e">
        <v>#VALUE!</v>
      </c>
      <c r="BN14" s="137" t="e">
        <v>#VALUE!</v>
      </c>
      <c r="BO14" s="137" t="e">
        <v>#VALUE!</v>
      </c>
      <c r="BP14" s="137" t="e">
        <v>#VALUE!</v>
      </c>
      <c r="BQ14" s="137" t="e">
        <v>#VALUE!</v>
      </c>
      <c r="BR14" s="137" t="e">
        <v>#VALUE!</v>
      </c>
      <c r="BS14" s="137" t="e">
        <v>#VALUE!</v>
      </c>
      <c r="BT14" s="137" t="e">
        <v>#VALUE!</v>
      </c>
      <c r="BU14" s="137" t="e">
        <v>#VALUE!</v>
      </c>
      <c r="BV14" s="137" t="e">
        <v>#VALUE!</v>
      </c>
      <c r="BW14" s="137" t="e">
        <v>#VALUE!</v>
      </c>
      <c r="BX14" s="137" t="e">
        <v>#VALUE!</v>
      </c>
      <c r="BY14" s="137" t="e">
        <v>#VALUE!</v>
      </c>
      <c r="BZ14" s="137" t="e">
        <v>#VALUE!</v>
      </c>
      <c r="CA14" s="137" t="e">
        <v>#VALUE!</v>
      </c>
      <c r="CB14" s="137" t="e">
        <v>#VALUE!</v>
      </c>
      <c r="CC14" s="137" t="e">
        <v>#VALUE!</v>
      </c>
      <c r="CD14" s="137" t="e">
        <v>#VALUE!</v>
      </c>
      <c r="CE14" s="137" t="e">
        <v>#VALUE!</v>
      </c>
      <c r="CF14" s="137" t="e">
        <v>#VALUE!</v>
      </c>
      <c r="CG14" s="137" t="e">
        <v>#VALUE!</v>
      </c>
      <c r="CH14" s="137" t="e">
        <v>#VALUE!</v>
      </c>
      <c r="CI14" s="137" t="e">
        <v>#VALUE!</v>
      </c>
      <c r="CJ14" s="137" t="e">
        <v>#VALUE!</v>
      </c>
      <c r="CK14" s="137" t="e">
        <v>#VALUE!</v>
      </c>
      <c r="CL14" s="137" t="e">
        <v>#VALUE!</v>
      </c>
      <c r="CM14" s="137" t="e">
        <v>#VALUE!</v>
      </c>
      <c r="CN14" s="137" t="e">
        <v>#VALUE!</v>
      </c>
      <c r="CO14" s="137" t="e">
        <v>#VALUE!</v>
      </c>
      <c r="CP14" s="137" t="e">
        <v>#VALUE!</v>
      </c>
      <c r="CQ14" s="137" t="e">
        <v>#VALUE!</v>
      </c>
      <c r="CR14" s="137" t="e">
        <v>#VALUE!</v>
      </c>
      <c r="CS14" s="137" t="e">
        <v>#VALUE!</v>
      </c>
      <c r="CT14" s="137" t="e">
        <v>#VALUE!</v>
      </c>
      <c r="CU14" s="137" t="e">
        <v>#VALUE!</v>
      </c>
      <c r="CV14" s="137" t="e">
        <v>#VALUE!</v>
      </c>
      <c r="CW14" s="137" t="e">
        <v>#VALUE!</v>
      </c>
      <c r="CX14" s="137" t="e">
        <v>#VALUE!</v>
      </c>
      <c r="CY14" s="137" t="e">
        <v>#VALUE!</v>
      </c>
      <c r="CZ14" s="137" t="e">
        <v>#VALUE!</v>
      </c>
      <c r="DA14" s="137" t="e">
        <v>#VALUE!</v>
      </c>
      <c r="DB14" s="137" t="e">
        <v>#VALUE!</v>
      </c>
      <c r="DC14" s="137" t="e">
        <v>#VALUE!</v>
      </c>
      <c r="DD14" s="137" t="e">
        <v>#VALUE!</v>
      </c>
      <c r="DE14" s="137" t="e">
        <v>#VALUE!</v>
      </c>
      <c r="DF14" s="137" t="e">
        <v>#VALUE!</v>
      </c>
      <c r="DG14" s="137" t="e">
        <v>#VALUE!</v>
      </c>
      <c r="DH14" s="137" t="e">
        <v>#VALUE!</v>
      </c>
      <c r="DI14" s="137" t="e">
        <v>#VALUE!</v>
      </c>
      <c r="DJ14" s="137" t="e">
        <v>#VALUE!</v>
      </c>
      <c r="DK14" s="137" t="e">
        <v>#VALUE!</v>
      </c>
      <c r="DL14" s="137" t="e">
        <v>#VALUE!</v>
      </c>
      <c r="DM14" s="137" t="e">
        <v>#VALUE!</v>
      </c>
      <c r="DN14" s="137" t="e">
        <v>#VALUE!</v>
      </c>
      <c r="DO14" s="137" t="e">
        <v>#VALUE!</v>
      </c>
      <c r="DP14" s="137" t="e">
        <v>#VALUE!</v>
      </c>
      <c r="DQ14" s="137" t="e">
        <v>#VALUE!</v>
      </c>
      <c r="DR14" s="137" t="e">
        <v>#VALUE!</v>
      </c>
      <c r="DS14" s="137" t="e">
        <v>#VALUE!</v>
      </c>
      <c r="DT14" s="137" t="e">
        <v>#VALUE!</v>
      </c>
      <c r="DU14" s="137" t="e">
        <v>#VALUE!</v>
      </c>
      <c r="DV14" s="137" t="e">
        <v>#VALUE!</v>
      </c>
      <c r="DW14" s="137" t="e">
        <v>#VALUE!</v>
      </c>
      <c r="DX14" s="137" t="e">
        <v>#VALUE!</v>
      </c>
      <c r="DY14" s="137" t="e">
        <v>#VALUE!</v>
      </c>
      <c r="DZ14" s="137" t="e">
        <v>#VALUE!</v>
      </c>
      <c r="EA14" s="137" t="e">
        <v>#VALUE!</v>
      </c>
      <c r="EB14" s="137" t="e">
        <v>#VALUE!</v>
      </c>
      <c r="EC14" s="137" t="e">
        <v>#VALUE!</v>
      </c>
      <c r="ED14" s="137" t="e">
        <v>#VALUE!</v>
      </c>
      <c r="EE14" s="137" t="e">
        <v>#VALUE!</v>
      </c>
      <c r="EF14" s="137" t="e">
        <v>#VALUE!</v>
      </c>
      <c r="EG14" s="137" t="e">
        <v>#VALUE!</v>
      </c>
      <c r="EH14" s="137" t="e">
        <v>#VALUE!</v>
      </c>
      <c r="EI14" s="137" t="e">
        <v>#VALUE!</v>
      </c>
      <c r="EJ14" s="137" t="e">
        <v>#VALUE!</v>
      </c>
      <c r="EK14" s="137" t="e">
        <v>#VALUE!</v>
      </c>
      <c r="EL14" s="137" t="e">
        <v>#VALUE!</v>
      </c>
      <c r="EM14" s="137" t="e">
        <v>#VALUE!</v>
      </c>
      <c r="EN14" s="137" t="e">
        <v>#VALUE!</v>
      </c>
      <c r="EO14" s="137" t="e">
        <v>#VALUE!</v>
      </c>
      <c r="EP14" s="137" t="e">
        <v>#VALUE!</v>
      </c>
      <c r="EQ14" s="137" t="e">
        <v>#VALUE!</v>
      </c>
      <c r="ER14" s="137" t="e">
        <v>#VALUE!</v>
      </c>
      <c r="ES14" s="137" t="e">
        <v>#VALUE!</v>
      </c>
      <c r="ET14" s="137" t="e">
        <v>#VALUE!</v>
      </c>
      <c r="EU14" s="137" t="e">
        <v>#VALUE!</v>
      </c>
      <c r="EV14" s="137" t="e">
        <v>#VALUE!</v>
      </c>
      <c r="EW14" s="137" t="e">
        <v>#VALUE!</v>
      </c>
      <c r="EX14" s="137" t="e">
        <v>#VALUE!</v>
      </c>
      <c r="EY14" s="137" t="e">
        <v>#VALUE!</v>
      </c>
      <c r="EZ14" s="137" t="e">
        <v>#VALUE!</v>
      </c>
      <c r="FA14" s="137" t="e">
        <v>#VALUE!</v>
      </c>
      <c r="FB14" s="137" t="e">
        <v>#VALUE!</v>
      </c>
      <c r="FC14" s="137" t="e">
        <v>#VALUE!</v>
      </c>
      <c r="FD14" s="137" t="e">
        <v>#VALUE!</v>
      </c>
      <c r="FE14" s="137" t="e">
        <v>#VALUE!</v>
      </c>
      <c r="FF14" s="137" t="e">
        <v>#VALUE!</v>
      </c>
      <c r="FG14" s="137" t="e">
        <v>#VALUE!</v>
      </c>
      <c r="FH14" s="137" t="e">
        <v>#VALUE!</v>
      </c>
      <c r="FI14" s="137" t="e">
        <v>#VALUE!</v>
      </c>
      <c r="FJ14" s="137" t="e">
        <v>#VALUE!</v>
      </c>
      <c r="FK14" s="137" t="e">
        <v>#VALUE!</v>
      </c>
      <c r="FL14" s="137" t="e">
        <v>#VALUE!</v>
      </c>
      <c r="FM14" s="137" t="e">
        <v>#VALUE!</v>
      </c>
      <c r="FN14" s="137" t="e">
        <v>#VALUE!</v>
      </c>
      <c r="FO14" s="137" t="e">
        <v>#VALUE!</v>
      </c>
      <c r="FP14" s="137" t="e">
        <v>#VALUE!</v>
      </c>
      <c r="FQ14" s="137" t="e">
        <v>#VALUE!</v>
      </c>
      <c r="FR14" s="137" t="e">
        <v>#VALUE!</v>
      </c>
      <c r="FS14" s="137" t="e">
        <v>#VALUE!</v>
      </c>
      <c r="FT14" s="137" t="e">
        <v>#VALUE!</v>
      </c>
      <c r="FU14" s="137" t="e">
        <v>#VALUE!</v>
      </c>
      <c r="FV14" s="137" t="e">
        <v>#VALUE!</v>
      </c>
      <c r="FW14" s="137" t="e">
        <v>#VALUE!</v>
      </c>
      <c r="FX14" s="137" t="e">
        <v>#VALUE!</v>
      </c>
      <c r="FY14" s="137" t="e">
        <v>#VALUE!</v>
      </c>
      <c r="FZ14" s="137" t="e">
        <v>#VALUE!</v>
      </c>
      <c r="GA14" s="137" t="e">
        <v>#VALUE!</v>
      </c>
      <c r="GB14" s="137" t="e">
        <v>#VALUE!</v>
      </c>
      <c r="GC14" s="137" t="e">
        <v>#VALUE!</v>
      </c>
      <c r="GD14" s="137" t="e">
        <v>#VALUE!</v>
      </c>
      <c r="GE14" s="137" t="e">
        <v>#VALUE!</v>
      </c>
      <c r="GF14" s="137" t="e">
        <v>#VALUE!</v>
      </c>
      <c r="GG14" s="137" t="e">
        <v>#VALUE!</v>
      </c>
      <c r="GH14" s="137" t="e">
        <v>#VALUE!</v>
      </c>
      <c r="GI14" s="137" t="e">
        <v>#VALUE!</v>
      </c>
      <c r="GJ14" s="137" t="e">
        <v>#VALUE!</v>
      </c>
      <c r="GK14" s="137" t="e">
        <v>#VALUE!</v>
      </c>
      <c r="GL14" s="137" t="e">
        <v>#VALUE!</v>
      </c>
      <c r="GM14" s="137" t="e">
        <v>#VALUE!</v>
      </c>
      <c r="GN14" s="137" t="e">
        <v>#VALUE!</v>
      </c>
      <c r="GO14" s="137" t="e">
        <v>#VALUE!</v>
      </c>
      <c r="GP14" s="137" t="e">
        <v>#VALUE!</v>
      </c>
      <c r="GQ14" s="137" t="e">
        <v>#VALUE!</v>
      </c>
      <c r="GR14" s="137" t="e">
        <v>#VALUE!</v>
      </c>
      <c r="GS14" s="137" t="e">
        <v>#VALUE!</v>
      </c>
      <c r="GT14" s="137" t="e">
        <v>#VALUE!</v>
      </c>
      <c r="GU14" s="137" t="e">
        <v>#VALUE!</v>
      </c>
      <c r="GV14" s="137" t="e">
        <v>#VALUE!</v>
      </c>
      <c r="GW14" s="137" t="e">
        <v>#VALUE!</v>
      </c>
      <c r="GX14" s="137" t="e">
        <v>#VALUE!</v>
      </c>
      <c r="GY14" s="137" t="e">
        <v>#VALUE!</v>
      </c>
      <c r="GZ14" s="137" t="e">
        <v>#VALUE!</v>
      </c>
      <c r="HA14" s="137" t="e">
        <v>#VALUE!</v>
      </c>
      <c r="HB14" s="137" t="e">
        <v>#VALUE!</v>
      </c>
      <c r="HC14" s="137" t="e">
        <v>#VALUE!</v>
      </c>
      <c r="HD14" s="137" t="e">
        <v>#VALUE!</v>
      </c>
      <c r="HE14" s="137" t="e">
        <v>#VALUE!</v>
      </c>
      <c r="HF14" s="137" t="e">
        <v>#VALUE!</v>
      </c>
      <c r="HG14" s="137" t="e">
        <v>#VALUE!</v>
      </c>
      <c r="HH14" s="137" t="e">
        <v>#VALUE!</v>
      </c>
      <c r="HI14" s="137" t="e">
        <v>#VALUE!</v>
      </c>
      <c r="HJ14" s="137" t="e">
        <v>#VALUE!</v>
      </c>
      <c r="HK14" s="137" t="e">
        <v>#VALUE!</v>
      </c>
      <c r="HL14" s="137" t="e">
        <v>#VALUE!</v>
      </c>
      <c r="HM14" s="137" t="e">
        <v>#VALUE!</v>
      </c>
      <c r="HN14" s="137" t="e">
        <v>#VALUE!</v>
      </c>
      <c r="HO14" s="137" t="e">
        <v>#VALUE!</v>
      </c>
      <c r="HP14" s="137" t="e">
        <v>#VALUE!</v>
      </c>
      <c r="HQ14" s="137" t="e">
        <v>#VALUE!</v>
      </c>
      <c r="HR14" s="137" t="e">
        <v>#VALUE!</v>
      </c>
      <c r="HS14" s="137" t="e">
        <v>#VALUE!</v>
      </c>
      <c r="HT14" s="137" t="e">
        <v>#VALUE!</v>
      </c>
      <c r="HU14" s="137" t="e">
        <v>#VALUE!</v>
      </c>
      <c r="HV14" s="137" t="e">
        <v>#VALUE!</v>
      </c>
      <c r="HW14" s="137" t="e">
        <v>#VALUE!</v>
      </c>
      <c r="HX14" s="137" t="e">
        <v>#VALUE!</v>
      </c>
      <c r="HY14" s="137" t="e">
        <v>#VALUE!</v>
      </c>
      <c r="HZ14" s="137" t="e">
        <v>#VALUE!</v>
      </c>
      <c r="IA14" s="137" t="e">
        <v>#VALUE!</v>
      </c>
      <c r="IB14" s="137" t="e">
        <v>#VALUE!</v>
      </c>
      <c r="IC14" s="137" t="e">
        <v>#VALUE!</v>
      </c>
      <c r="ID14" s="137" t="e">
        <v>#VALUE!</v>
      </c>
      <c r="IE14" s="137" t="e">
        <v>#VALUE!</v>
      </c>
      <c r="IF14" s="137" t="e">
        <v>#VALUE!</v>
      </c>
      <c r="IG14" s="137" t="e">
        <v>#VALUE!</v>
      </c>
      <c r="IH14" s="137" t="e">
        <v>#VALUE!</v>
      </c>
      <c r="II14" s="137" t="e">
        <v>#VALUE!</v>
      </c>
      <c r="IJ14" s="137" t="e">
        <v>#VALUE!</v>
      </c>
      <c r="IK14" s="137" t="e">
        <v>#VALUE!</v>
      </c>
      <c r="IL14" s="137" t="e">
        <v>#VALUE!</v>
      </c>
      <c r="IM14" s="137" t="e">
        <v>#VALUE!</v>
      </c>
      <c r="IN14" s="137" t="e">
        <v>#VALUE!</v>
      </c>
      <c r="IO14" s="137" t="e">
        <v>#VALUE!</v>
      </c>
      <c r="IP14" s="137" t="e">
        <v>#VALUE!</v>
      </c>
      <c r="IQ14" s="137" t="e">
        <v>#VALUE!</v>
      </c>
      <c r="IR14" s="137" t="e">
        <v>#VALUE!</v>
      </c>
      <c r="IS14" s="137" t="e">
        <v>#VALUE!</v>
      </c>
      <c r="IT14" s="137" t="e">
        <v>#VALUE!</v>
      </c>
      <c r="IU14" s="137" t="e">
        <v>#VALUE!</v>
      </c>
      <c r="IV14" s="137" t="e">
        <v>#VALUE!</v>
      </c>
      <c r="IW14" s="137" t="e">
        <v>#VALUE!</v>
      </c>
      <c r="IX14" s="137" t="e">
        <v>#VALUE!</v>
      </c>
      <c r="IY14" s="137" t="e">
        <v>#VALUE!</v>
      </c>
      <c r="IZ14" s="137" t="e">
        <v>#VALUE!</v>
      </c>
      <c r="JA14" s="137" t="e">
        <v>#VALUE!</v>
      </c>
      <c r="JB14" s="137" t="e">
        <v>#VALUE!</v>
      </c>
      <c r="JC14" s="137" t="e">
        <v>#VALUE!</v>
      </c>
      <c r="JD14" s="137" t="e">
        <v>#VALUE!</v>
      </c>
      <c r="JE14" s="137" t="e">
        <v>#VALUE!</v>
      </c>
      <c r="JF14" s="137" t="e">
        <v>#VALUE!</v>
      </c>
      <c r="JG14" s="137" t="e">
        <v>#VALUE!</v>
      </c>
      <c r="JH14" s="137" t="e">
        <v>#VALUE!</v>
      </c>
      <c r="JI14" s="137" t="e">
        <v>#VALUE!</v>
      </c>
      <c r="JJ14" s="137" t="e">
        <v>#VALUE!</v>
      </c>
      <c r="JK14" s="137" t="e">
        <v>#VALUE!</v>
      </c>
      <c r="JL14" s="137" t="e">
        <v>#VALUE!</v>
      </c>
      <c r="JM14" s="137" t="e">
        <v>#VALUE!</v>
      </c>
      <c r="JN14" s="137" t="e">
        <v>#VALUE!</v>
      </c>
      <c r="JO14" s="137" t="e">
        <v>#VALUE!</v>
      </c>
      <c r="JP14" s="137" t="e">
        <v>#VALUE!</v>
      </c>
      <c r="JQ14" s="137" t="e">
        <v>#VALUE!</v>
      </c>
      <c r="JR14" s="137" t="e">
        <v>#VALUE!</v>
      </c>
      <c r="JS14" s="137" t="e">
        <v>#VALUE!</v>
      </c>
      <c r="JT14" s="137" t="e">
        <v>#VALUE!</v>
      </c>
      <c r="JU14" s="137" t="e">
        <v>#VALUE!</v>
      </c>
      <c r="JV14" s="137" t="e">
        <v>#VALUE!</v>
      </c>
      <c r="JW14" s="137" t="e">
        <v>#VALUE!</v>
      </c>
      <c r="JX14" s="137" t="e">
        <v>#VALUE!</v>
      </c>
      <c r="JY14" s="137" t="e">
        <v>#VALUE!</v>
      </c>
      <c r="JZ14" s="137" t="e">
        <v>#VALUE!</v>
      </c>
      <c r="KA14" s="137" t="e">
        <v>#VALUE!</v>
      </c>
      <c r="KB14" s="137" t="e">
        <v>#VALUE!</v>
      </c>
      <c r="KC14" s="137" t="e">
        <v>#VALUE!</v>
      </c>
      <c r="KD14" s="137" t="e">
        <v>#VALUE!</v>
      </c>
      <c r="KE14" s="137" t="e">
        <v>#VALUE!</v>
      </c>
      <c r="KF14" s="137" t="e">
        <v>#VALUE!</v>
      </c>
      <c r="KG14" s="137" t="e">
        <v>#VALUE!</v>
      </c>
      <c r="KH14" s="137" t="e">
        <v>#VALUE!</v>
      </c>
      <c r="KI14" s="137" t="e">
        <v>#VALUE!</v>
      </c>
      <c r="KJ14" s="137" t="e">
        <v>#VALUE!</v>
      </c>
      <c r="KK14" s="137" t="e">
        <v>#VALUE!</v>
      </c>
      <c r="KL14" s="137" t="e">
        <v>#VALUE!</v>
      </c>
      <c r="KM14" s="137" t="e">
        <v>#VALUE!</v>
      </c>
      <c r="KN14" s="137" t="e">
        <v>#VALUE!</v>
      </c>
      <c r="KO14" s="137" t="e">
        <v>#VALUE!</v>
      </c>
      <c r="KP14" s="137" t="e">
        <v>#VALUE!</v>
      </c>
      <c r="KQ14" s="137" t="e">
        <v>#VALUE!</v>
      </c>
      <c r="KR14" s="137" t="e">
        <v>#VALUE!</v>
      </c>
      <c r="KS14" s="137" t="e">
        <v>#VALUE!</v>
      </c>
      <c r="KT14" s="137" t="e">
        <v>#VALUE!</v>
      </c>
      <c r="KU14" s="137" t="e">
        <v>#VALUE!</v>
      </c>
      <c r="KV14" s="137" t="e">
        <v>#VALUE!</v>
      </c>
      <c r="KW14" s="137" t="e">
        <v>#VALUE!</v>
      </c>
      <c r="KX14" s="137" t="e">
        <v>#VALUE!</v>
      </c>
      <c r="KY14" s="137" t="e">
        <v>#VALUE!</v>
      </c>
      <c r="KZ14" s="137" t="e">
        <v>#VALUE!</v>
      </c>
      <c r="LA14" s="137" t="e">
        <v>#VALUE!</v>
      </c>
      <c r="LB14" s="137" t="e">
        <v>#VALUE!</v>
      </c>
      <c r="LC14" s="137" t="e">
        <v>#VALUE!</v>
      </c>
      <c r="LD14" s="137" t="e">
        <v>#VALUE!</v>
      </c>
      <c r="LE14" s="137" t="e">
        <v>#VALUE!</v>
      </c>
      <c r="LF14" s="137" t="e">
        <v>#VALUE!</v>
      </c>
      <c r="LG14" s="137" t="e">
        <v>#VALUE!</v>
      </c>
      <c r="LH14" s="137" t="e">
        <v>#VALUE!</v>
      </c>
      <c r="LI14" s="137" t="e">
        <v>#VALUE!</v>
      </c>
      <c r="LJ14" s="137" t="e">
        <v>#VALUE!</v>
      </c>
      <c r="LK14" s="137" t="e">
        <v>#VALUE!</v>
      </c>
      <c r="LL14" s="137" t="e">
        <v>#VALUE!</v>
      </c>
      <c r="LM14" s="137" t="e">
        <v>#VALUE!</v>
      </c>
      <c r="LN14" s="137" t="e">
        <v>#VALUE!</v>
      </c>
      <c r="LO14" s="137" t="e">
        <v>#VALUE!</v>
      </c>
      <c r="LP14" s="137" t="e">
        <v>#VALUE!</v>
      </c>
      <c r="LQ14" s="137" t="e">
        <v>#VALUE!</v>
      </c>
      <c r="LR14" s="137" t="e">
        <v>#VALUE!</v>
      </c>
      <c r="LS14" s="137" t="e">
        <v>#VALUE!</v>
      </c>
      <c r="LT14" s="137" t="e">
        <v>#VALUE!</v>
      </c>
      <c r="LU14" s="137" t="e">
        <v>#VALUE!</v>
      </c>
      <c r="LV14" s="137" t="e">
        <v>#VALUE!</v>
      </c>
      <c r="LW14" s="137" t="e">
        <v>#VALUE!</v>
      </c>
      <c r="LX14" s="137" t="e">
        <v>#VALUE!</v>
      </c>
      <c r="LY14" s="137" t="e">
        <v>#VALUE!</v>
      </c>
      <c r="LZ14" s="137" t="e">
        <v>#VALUE!</v>
      </c>
      <c r="MA14" s="137" t="e">
        <v>#VALUE!</v>
      </c>
      <c r="MB14" s="137" t="e">
        <v>#VALUE!</v>
      </c>
      <c r="MC14" s="137" t="e">
        <v>#VALUE!</v>
      </c>
      <c r="MD14" s="137" t="e">
        <v>#VALUE!</v>
      </c>
      <c r="ME14" s="137" t="e">
        <v>#VALUE!</v>
      </c>
      <c r="MF14" s="137" t="e">
        <v>#VALUE!</v>
      </c>
      <c r="MG14" s="137" t="e">
        <v>#VALUE!</v>
      </c>
      <c r="MH14" s="137" t="e">
        <v>#VALUE!</v>
      </c>
      <c r="MI14" s="137" t="e">
        <v>#VALUE!</v>
      </c>
      <c r="MJ14" s="137" t="e">
        <v>#VALUE!</v>
      </c>
      <c r="MK14" s="137" t="e">
        <v>#VALUE!</v>
      </c>
      <c r="ML14" s="137" t="e">
        <v>#VALUE!</v>
      </c>
      <c r="MM14" s="137" t="e">
        <v>#VALUE!</v>
      </c>
      <c r="MN14" s="137" t="e">
        <v>#VALUE!</v>
      </c>
      <c r="MO14" s="137" t="e">
        <v>#VALUE!</v>
      </c>
      <c r="MP14" s="137" t="e">
        <v>#VALUE!</v>
      </c>
      <c r="MQ14" s="137" t="e">
        <v>#VALUE!</v>
      </c>
      <c r="MR14" s="137" t="e">
        <v>#VALUE!</v>
      </c>
      <c r="MS14" s="137" t="e">
        <v>#VALUE!</v>
      </c>
      <c r="MT14" s="137" t="e">
        <v>#VALUE!</v>
      </c>
      <c r="MU14" s="137" t="e">
        <v>#VALUE!</v>
      </c>
      <c r="MV14" s="137" t="e">
        <v>#VALUE!</v>
      </c>
      <c r="MW14" s="137" t="e">
        <v>#VALUE!</v>
      </c>
      <c r="MX14" s="137" t="e">
        <v>#VALUE!</v>
      </c>
      <c r="MY14" s="137" t="e">
        <v>#VALUE!</v>
      </c>
      <c r="MZ14" s="137" t="e">
        <v>#VALUE!</v>
      </c>
      <c r="NA14" s="137" t="e">
        <v>#VALUE!</v>
      </c>
      <c r="NB14" s="137" t="e">
        <v>#VALUE!</v>
      </c>
      <c r="NC14" s="137" t="e">
        <v>#VALUE!</v>
      </c>
      <c r="ND14" s="137" t="e">
        <v>#VALUE!</v>
      </c>
      <c r="NE14" s="137" t="e">
        <v>#VALUE!</v>
      </c>
      <c r="NF14" s="137" t="e">
        <v>#VALUE!</v>
      </c>
      <c r="NG14" s="137" t="e">
        <v>#VALUE!</v>
      </c>
    </row>
    <row r="15" spans="1:371" x14ac:dyDescent="0.3">
      <c r="A15" s="394" t="s">
        <v>412</v>
      </c>
      <c r="D15" s="137" t="e">
        <v>#VALUE!</v>
      </c>
      <c r="E15" s="137" t="e">
        <v>#VALUE!</v>
      </c>
      <c r="F15" s="137" t="e">
        <v>#VALUE!</v>
      </c>
      <c r="G15" s="137" t="e">
        <v>#VALUE!</v>
      </c>
      <c r="H15" s="137" t="e">
        <v>#VALUE!</v>
      </c>
      <c r="I15" s="137" t="e">
        <v>#VALUE!</v>
      </c>
      <c r="J15" s="137" t="e">
        <v>#VALUE!</v>
      </c>
      <c r="K15" s="137" t="e">
        <v>#VALUE!</v>
      </c>
      <c r="L15" s="137" t="e">
        <v>#VALUE!</v>
      </c>
      <c r="M15" s="137" t="e">
        <v>#VALUE!</v>
      </c>
      <c r="N15" s="137" t="e">
        <v>#VALUE!</v>
      </c>
      <c r="O15" s="137" t="e">
        <v>#VALUE!</v>
      </c>
      <c r="P15" s="137" t="e">
        <v>#VALUE!</v>
      </c>
      <c r="Q15" s="137" t="e">
        <v>#VALUE!</v>
      </c>
      <c r="R15" s="137" t="e">
        <v>#VALUE!</v>
      </c>
      <c r="S15" s="137" t="e">
        <v>#VALUE!</v>
      </c>
      <c r="T15" s="137" t="e">
        <v>#VALUE!</v>
      </c>
      <c r="U15" s="137" t="e">
        <v>#VALUE!</v>
      </c>
      <c r="V15" s="137" t="e">
        <v>#VALUE!</v>
      </c>
      <c r="W15" s="137" t="e">
        <v>#VALUE!</v>
      </c>
      <c r="X15" s="137" t="e">
        <v>#VALUE!</v>
      </c>
      <c r="Y15" s="137" t="e">
        <v>#VALUE!</v>
      </c>
      <c r="Z15" s="137" t="e">
        <v>#VALUE!</v>
      </c>
      <c r="AA15" s="137" t="e">
        <v>#VALUE!</v>
      </c>
      <c r="AB15" s="137" t="e">
        <v>#VALUE!</v>
      </c>
      <c r="AC15" s="137" t="e">
        <v>#VALUE!</v>
      </c>
      <c r="AD15" s="137" t="e">
        <v>#VALUE!</v>
      </c>
      <c r="AE15" s="137" t="e">
        <v>#VALUE!</v>
      </c>
      <c r="AF15" s="137" t="e">
        <v>#VALUE!</v>
      </c>
      <c r="AG15" s="137" t="e">
        <v>#VALUE!</v>
      </c>
      <c r="AH15" s="137" t="e">
        <v>#VALUE!</v>
      </c>
      <c r="AI15" s="137" t="e">
        <v>#VALUE!</v>
      </c>
      <c r="AJ15" s="137" t="e">
        <v>#VALUE!</v>
      </c>
      <c r="AK15" s="137" t="e">
        <v>#VALUE!</v>
      </c>
      <c r="AL15" s="137" t="e">
        <v>#VALUE!</v>
      </c>
      <c r="AM15" s="137" t="e">
        <v>#VALUE!</v>
      </c>
      <c r="AN15" s="137" t="e">
        <v>#VALUE!</v>
      </c>
      <c r="AO15" s="137" t="e">
        <v>#VALUE!</v>
      </c>
      <c r="AP15" s="137" t="e">
        <v>#VALUE!</v>
      </c>
      <c r="AQ15" s="137" t="e">
        <v>#VALUE!</v>
      </c>
      <c r="AR15" s="137" t="e">
        <v>#VALUE!</v>
      </c>
      <c r="AS15" s="137" t="e">
        <v>#VALUE!</v>
      </c>
      <c r="AT15" s="137" t="e">
        <v>#VALUE!</v>
      </c>
      <c r="AU15" s="137" t="e">
        <v>#VALUE!</v>
      </c>
      <c r="AV15" s="137" t="e">
        <v>#VALUE!</v>
      </c>
      <c r="AW15" s="137" t="e">
        <v>#VALUE!</v>
      </c>
      <c r="AX15" s="137" t="e">
        <v>#VALUE!</v>
      </c>
      <c r="AY15" s="137" t="e">
        <v>#VALUE!</v>
      </c>
      <c r="AZ15" s="137" t="e">
        <v>#VALUE!</v>
      </c>
      <c r="BA15" s="137" t="e">
        <v>#VALUE!</v>
      </c>
      <c r="BB15" s="137" t="e">
        <v>#VALUE!</v>
      </c>
      <c r="BC15" s="137" t="e">
        <v>#VALUE!</v>
      </c>
      <c r="BD15" s="137" t="e">
        <v>#VALUE!</v>
      </c>
      <c r="BE15" s="137" t="e">
        <v>#VALUE!</v>
      </c>
      <c r="BF15" s="137" t="e">
        <v>#VALUE!</v>
      </c>
      <c r="BG15" s="137" t="e">
        <v>#VALUE!</v>
      </c>
      <c r="BH15" s="137" t="e">
        <v>#VALUE!</v>
      </c>
      <c r="BI15" s="137" t="e">
        <v>#VALUE!</v>
      </c>
      <c r="BJ15" s="137" t="e">
        <v>#VALUE!</v>
      </c>
      <c r="BK15" s="137" t="e">
        <v>#VALUE!</v>
      </c>
      <c r="BL15" s="137" t="e">
        <v>#VALUE!</v>
      </c>
      <c r="BM15" s="137" t="e">
        <v>#VALUE!</v>
      </c>
      <c r="BN15" s="137" t="e">
        <v>#VALUE!</v>
      </c>
      <c r="BO15" s="137" t="e">
        <v>#VALUE!</v>
      </c>
      <c r="BP15" s="137" t="e">
        <v>#VALUE!</v>
      </c>
      <c r="BQ15" s="137" t="e">
        <v>#VALUE!</v>
      </c>
      <c r="BR15" s="137" t="e">
        <v>#VALUE!</v>
      </c>
      <c r="BS15" s="137" t="e">
        <v>#VALUE!</v>
      </c>
      <c r="BT15" s="137" t="e">
        <v>#VALUE!</v>
      </c>
      <c r="BU15" s="137" t="e">
        <v>#VALUE!</v>
      </c>
      <c r="BV15" s="137" t="e">
        <v>#VALUE!</v>
      </c>
      <c r="BW15" s="137" t="e">
        <v>#VALUE!</v>
      </c>
      <c r="BX15" s="137" t="e">
        <v>#VALUE!</v>
      </c>
      <c r="BY15" s="137" t="e">
        <v>#VALUE!</v>
      </c>
      <c r="BZ15" s="137" t="e">
        <v>#VALUE!</v>
      </c>
      <c r="CA15" s="137" t="e">
        <v>#VALUE!</v>
      </c>
      <c r="CB15" s="137" t="e">
        <v>#VALUE!</v>
      </c>
      <c r="CC15" s="137" t="e">
        <v>#VALUE!</v>
      </c>
      <c r="CD15" s="137" t="e">
        <v>#VALUE!</v>
      </c>
      <c r="CE15" s="137" t="e">
        <v>#VALUE!</v>
      </c>
      <c r="CF15" s="137" t="e">
        <v>#VALUE!</v>
      </c>
      <c r="CG15" s="137" t="e">
        <v>#VALUE!</v>
      </c>
      <c r="CH15" s="137" t="e">
        <v>#VALUE!</v>
      </c>
      <c r="CI15" s="137" t="e">
        <v>#VALUE!</v>
      </c>
      <c r="CJ15" s="137" t="e">
        <v>#VALUE!</v>
      </c>
      <c r="CK15" s="137" t="e">
        <v>#VALUE!</v>
      </c>
      <c r="CL15" s="137" t="e">
        <v>#VALUE!</v>
      </c>
      <c r="CM15" s="137" t="e">
        <v>#VALUE!</v>
      </c>
      <c r="CN15" s="137" t="e">
        <v>#VALUE!</v>
      </c>
      <c r="CO15" s="137" t="e">
        <v>#VALUE!</v>
      </c>
      <c r="CP15" s="137" t="e">
        <v>#VALUE!</v>
      </c>
      <c r="CQ15" s="137" t="e">
        <v>#VALUE!</v>
      </c>
      <c r="CR15" s="137" t="e">
        <v>#VALUE!</v>
      </c>
      <c r="CS15" s="137" t="e">
        <v>#VALUE!</v>
      </c>
      <c r="CT15" s="137" t="e">
        <v>#VALUE!</v>
      </c>
      <c r="CU15" s="137" t="e">
        <v>#VALUE!</v>
      </c>
      <c r="CV15" s="137" t="e">
        <v>#VALUE!</v>
      </c>
      <c r="CW15" s="137" t="e">
        <v>#VALUE!</v>
      </c>
      <c r="CX15" s="137" t="e">
        <v>#VALUE!</v>
      </c>
      <c r="CY15" s="137" t="e">
        <v>#VALUE!</v>
      </c>
      <c r="CZ15" s="137" t="e">
        <v>#VALUE!</v>
      </c>
      <c r="DA15" s="137" t="e">
        <v>#VALUE!</v>
      </c>
      <c r="DB15" s="137" t="e">
        <v>#VALUE!</v>
      </c>
      <c r="DC15" s="137" t="e">
        <v>#VALUE!</v>
      </c>
      <c r="DD15" s="137" t="e">
        <v>#VALUE!</v>
      </c>
      <c r="DE15" s="137" t="e">
        <v>#VALUE!</v>
      </c>
      <c r="DF15" s="137" t="e">
        <v>#VALUE!</v>
      </c>
      <c r="DG15" s="137" t="e">
        <v>#VALUE!</v>
      </c>
      <c r="DH15" s="137" t="e">
        <v>#VALUE!</v>
      </c>
      <c r="DI15" s="137" t="e">
        <v>#VALUE!</v>
      </c>
      <c r="DJ15" s="137" t="e">
        <v>#VALUE!</v>
      </c>
      <c r="DK15" s="137" t="e">
        <v>#VALUE!</v>
      </c>
      <c r="DL15" s="137" t="e">
        <v>#VALUE!</v>
      </c>
      <c r="DM15" s="137" t="e">
        <v>#VALUE!</v>
      </c>
      <c r="DN15" s="137" t="e">
        <v>#VALUE!</v>
      </c>
      <c r="DO15" s="137" t="e">
        <v>#VALUE!</v>
      </c>
      <c r="DP15" s="137" t="e">
        <v>#VALUE!</v>
      </c>
      <c r="DQ15" s="137" t="e">
        <v>#VALUE!</v>
      </c>
      <c r="DR15" s="137" t="e">
        <v>#VALUE!</v>
      </c>
      <c r="DS15" s="137" t="e">
        <v>#VALUE!</v>
      </c>
      <c r="DT15" s="137" t="e">
        <v>#VALUE!</v>
      </c>
      <c r="DU15" s="137" t="e">
        <v>#VALUE!</v>
      </c>
      <c r="DV15" s="137" t="e">
        <v>#VALUE!</v>
      </c>
      <c r="DW15" s="137" t="e">
        <v>#VALUE!</v>
      </c>
      <c r="DX15" s="137" t="e">
        <v>#VALUE!</v>
      </c>
      <c r="DY15" s="137" t="e">
        <v>#VALUE!</v>
      </c>
      <c r="DZ15" s="137" t="e">
        <v>#VALUE!</v>
      </c>
      <c r="EA15" s="137" t="e">
        <v>#VALUE!</v>
      </c>
      <c r="EB15" s="137" t="e">
        <v>#VALUE!</v>
      </c>
      <c r="EC15" s="137" t="e">
        <v>#VALUE!</v>
      </c>
      <c r="ED15" s="137" t="e">
        <v>#VALUE!</v>
      </c>
      <c r="EE15" s="137" t="e">
        <v>#VALUE!</v>
      </c>
      <c r="EF15" s="137" t="e">
        <v>#VALUE!</v>
      </c>
      <c r="EG15" s="137" t="e">
        <v>#VALUE!</v>
      </c>
      <c r="EH15" s="137" t="e">
        <v>#VALUE!</v>
      </c>
      <c r="EI15" s="137" t="e">
        <v>#VALUE!</v>
      </c>
      <c r="EJ15" s="137" t="e">
        <v>#VALUE!</v>
      </c>
      <c r="EK15" s="137" t="e">
        <v>#VALUE!</v>
      </c>
      <c r="EL15" s="137" t="e">
        <v>#VALUE!</v>
      </c>
      <c r="EM15" s="137" t="e">
        <v>#VALUE!</v>
      </c>
      <c r="EN15" s="137" t="e">
        <v>#VALUE!</v>
      </c>
      <c r="EO15" s="137" t="e">
        <v>#VALUE!</v>
      </c>
      <c r="EP15" s="137" t="e">
        <v>#VALUE!</v>
      </c>
      <c r="EQ15" s="137" t="e">
        <v>#VALUE!</v>
      </c>
      <c r="ER15" s="137" t="e">
        <v>#VALUE!</v>
      </c>
      <c r="ES15" s="137" t="e">
        <v>#VALUE!</v>
      </c>
      <c r="ET15" s="137" t="e">
        <v>#VALUE!</v>
      </c>
      <c r="EU15" s="137" t="e">
        <v>#VALUE!</v>
      </c>
      <c r="EV15" s="137" t="e">
        <v>#VALUE!</v>
      </c>
      <c r="EW15" s="137" t="e">
        <v>#VALUE!</v>
      </c>
      <c r="EX15" s="137" t="e">
        <v>#VALUE!</v>
      </c>
      <c r="EY15" s="137" t="e">
        <v>#VALUE!</v>
      </c>
      <c r="EZ15" s="137" t="e">
        <v>#VALUE!</v>
      </c>
      <c r="FA15" s="137" t="e">
        <v>#VALUE!</v>
      </c>
      <c r="FB15" s="137" t="e">
        <v>#VALUE!</v>
      </c>
      <c r="FC15" s="137" t="e">
        <v>#VALUE!</v>
      </c>
      <c r="FD15" s="137" t="e">
        <v>#VALUE!</v>
      </c>
      <c r="FE15" s="137" t="e">
        <v>#VALUE!</v>
      </c>
      <c r="FF15" s="137" t="e">
        <v>#VALUE!</v>
      </c>
      <c r="FG15" s="137" t="e">
        <v>#VALUE!</v>
      </c>
      <c r="FH15" s="137" t="e">
        <v>#VALUE!</v>
      </c>
      <c r="FI15" s="137" t="e">
        <v>#VALUE!</v>
      </c>
      <c r="FJ15" s="137" t="e">
        <v>#VALUE!</v>
      </c>
      <c r="FK15" s="137" t="e">
        <v>#VALUE!</v>
      </c>
      <c r="FL15" s="137" t="e">
        <v>#VALUE!</v>
      </c>
      <c r="FM15" s="137" t="e">
        <v>#VALUE!</v>
      </c>
      <c r="FN15" s="137" t="e">
        <v>#VALUE!</v>
      </c>
      <c r="FO15" s="137" t="e">
        <v>#VALUE!</v>
      </c>
      <c r="FP15" s="137" t="e">
        <v>#VALUE!</v>
      </c>
      <c r="FQ15" s="137" t="e">
        <v>#VALUE!</v>
      </c>
      <c r="FR15" s="137" t="e">
        <v>#VALUE!</v>
      </c>
      <c r="FS15" s="137" t="e">
        <v>#VALUE!</v>
      </c>
      <c r="FT15" s="137" t="e">
        <v>#VALUE!</v>
      </c>
      <c r="FU15" s="137" t="e">
        <v>#VALUE!</v>
      </c>
      <c r="FV15" s="137" t="e">
        <v>#VALUE!</v>
      </c>
      <c r="FW15" s="137" t="e">
        <v>#VALUE!</v>
      </c>
      <c r="FX15" s="137" t="e">
        <v>#VALUE!</v>
      </c>
      <c r="FY15" s="137" t="e">
        <v>#VALUE!</v>
      </c>
      <c r="FZ15" s="137" t="e">
        <v>#VALUE!</v>
      </c>
      <c r="GA15" s="137" t="e">
        <v>#VALUE!</v>
      </c>
      <c r="GB15" s="137" t="e">
        <v>#VALUE!</v>
      </c>
      <c r="GC15" s="137" t="e">
        <v>#VALUE!</v>
      </c>
      <c r="GD15" s="137" t="e">
        <v>#VALUE!</v>
      </c>
      <c r="GE15" s="137" t="e">
        <v>#VALUE!</v>
      </c>
      <c r="GF15" s="137" t="e">
        <v>#VALUE!</v>
      </c>
      <c r="GG15" s="137" t="e">
        <v>#VALUE!</v>
      </c>
      <c r="GH15" s="137" t="e">
        <v>#VALUE!</v>
      </c>
      <c r="GI15" s="137" t="e">
        <v>#VALUE!</v>
      </c>
      <c r="GJ15" s="137" t="e">
        <v>#VALUE!</v>
      </c>
      <c r="GK15" s="137" t="e">
        <v>#VALUE!</v>
      </c>
      <c r="GL15" s="137" t="e">
        <v>#VALUE!</v>
      </c>
      <c r="GM15" s="137" t="e">
        <v>#VALUE!</v>
      </c>
      <c r="GN15" s="137" t="e">
        <v>#VALUE!</v>
      </c>
      <c r="GO15" s="137" t="e">
        <v>#VALUE!</v>
      </c>
      <c r="GP15" s="137" t="e">
        <v>#VALUE!</v>
      </c>
      <c r="GQ15" s="137" t="e">
        <v>#VALUE!</v>
      </c>
      <c r="GR15" s="137" t="e">
        <v>#VALUE!</v>
      </c>
      <c r="GS15" s="137" t="e">
        <v>#VALUE!</v>
      </c>
      <c r="GT15" s="137" t="e">
        <v>#VALUE!</v>
      </c>
      <c r="GU15" s="137" t="e">
        <v>#VALUE!</v>
      </c>
      <c r="GV15" s="137" t="e">
        <v>#VALUE!</v>
      </c>
      <c r="GW15" s="137" t="e">
        <v>#VALUE!</v>
      </c>
      <c r="GX15" s="137" t="e">
        <v>#VALUE!</v>
      </c>
      <c r="GY15" s="137" t="e">
        <v>#VALUE!</v>
      </c>
      <c r="GZ15" s="137" t="e">
        <v>#VALUE!</v>
      </c>
      <c r="HA15" s="137" t="e">
        <v>#VALUE!</v>
      </c>
      <c r="HB15" s="137" t="e">
        <v>#VALUE!</v>
      </c>
      <c r="HC15" s="137" t="e">
        <v>#VALUE!</v>
      </c>
      <c r="HD15" s="137" t="e">
        <v>#VALUE!</v>
      </c>
      <c r="HE15" s="137" t="e">
        <v>#VALUE!</v>
      </c>
      <c r="HF15" s="137" t="e">
        <v>#VALUE!</v>
      </c>
      <c r="HG15" s="137" t="e">
        <v>#VALUE!</v>
      </c>
      <c r="HH15" s="137" t="e">
        <v>#VALUE!</v>
      </c>
      <c r="HI15" s="137" t="e">
        <v>#VALUE!</v>
      </c>
      <c r="HJ15" s="137" t="e">
        <v>#VALUE!</v>
      </c>
      <c r="HK15" s="137" t="e">
        <v>#VALUE!</v>
      </c>
      <c r="HL15" s="137" t="e">
        <v>#VALUE!</v>
      </c>
      <c r="HM15" s="137" t="e">
        <v>#VALUE!</v>
      </c>
      <c r="HN15" s="137" t="e">
        <v>#VALUE!</v>
      </c>
      <c r="HO15" s="137" t="e">
        <v>#VALUE!</v>
      </c>
      <c r="HP15" s="137" t="e">
        <v>#VALUE!</v>
      </c>
      <c r="HQ15" s="137" t="e">
        <v>#VALUE!</v>
      </c>
      <c r="HR15" s="137" t="e">
        <v>#VALUE!</v>
      </c>
      <c r="HS15" s="137" t="e">
        <v>#VALUE!</v>
      </c>
      <c r="HT15" s="137" t="e">
        <v>#VALUE!</v>
      </c>
      <c r="HU15" s="137" t="e">
        <v>#VALUE!</v>
      </c>
      <c r="HV15" s="137" t="e">
        <v>#VALUE!</v>
      </c>
      <c r="HW15" s="137" t="e">
        <v>#VALUE!</v>
      </c>
      <c r="HX15" s="137" t="e">
        <v>#VALUE!</v>
      </c>
      <c r="HY15" s="137" t="e">
        <v>#VALUE!</v>
      </c>
      <c r="HZ15" s="137" t="e">
        <v>#VALUE!</v>
      </c>
      <c r="IA15" s="137" t="e">
        <v>#VALUE!</v>
      </c>
      <c r="IB15" s="137" t="e">
        <v>#VALUE!</v>
      </c>
      <c r="IC15" s="137" t="e">
        <v>#VALUE!</v>
      </c>
      <c r="ID15" s="137" t="e">
        <v>#VALUE!</v>
      </c>
      <c r="IE15" s="137" t="e">
        <v>#VALUE!</v>
      </c>
      <c r="IF15" s="137" t="e">
        <v>#VALUE!</v>
      </c>
      <c r="IG15" s="137" t="e">
        <v>#VALUE!</v>
      </c>
      <c r="IH15" s="137" t="e">
        <v>#VALUE!</v>
      </c>
      <c r="II15" s="137" t="e">
        <v>#VALUE!</v>
      </c>
      <c r="IJ15" s="137" t="e">
        <v>#VALUE!</v>
      </c>
      <c r="IK15" s="137" t="e">
        <v>#VALUE!</v>
      </c>
      <c r="IL15" s="137" t="e">
        <v>#VALUE!</v>
      </c>
      <c r="IM15" s="137" t="e">
        <v>#VALUE!</v>
      </c>
      <c r="IN15" s="137" t="e">
        <v>#VALUE!</v>
      </c>
      <c r="IO15" s="137" t="e">
        <v>#VALUE!</v>
      </c>
      <c r="IP15" s="137" t="e">
        <v>#VALUE!</v>
      </c>
      <c r="IQ15" s="137" t="e">
        <v>#VALUE!</v>
      </c>
      <c r="IR15" s="137" t="e">
        <v>#VALUE!</v>
      </c>
      <c r="IS15" s="137" t="e">
        <v>#VALUE!</v>
      </c>
      <c r="IT15" s="137" t="e">
        <v>#VALUE!</v>
      </c>
      <c r="IU15" s="137" t="e">
        <v>#VALUE!</v>
      </c>
      <c r="IV15" s="137" t="e">
        <v>#VALUE!</v>
      </c>
      <c r="IW15" s="137" t="e">
        <v>#VALUE!</v>
      </c>
      <c r="IX15" s="137" t="e">
        <v>#VALUE!</v>
      </c>
      <c r="IY15" s="137" t="e">
        <v>#VALUE!</v>
      </c>
      <c r="IZ15" s="137" t="e">
        <v>#VALUE!</v>
      </c>
      <c r="JA15" s="137" t="e">
        <v>#VALUE!</v>
      </c>
      <c r="JB15" s="137" t="e">
        <v>#VALUE!</v>
      </c>
      <c r="JC15" s="137" t="e">
        <v>#VALUE!</v>
      </c>
      <c r="JD15" s="137" t="e">
        <v>#VALUE!</v>
      </c>
      <c r="JE15" s="137" t="e">
        <v>#VALUE!</v>
      </c>
      <c r="JF15" s="137" t="e">
        <v>#VALUE!</v>
      </c>
      <c r="JG15" s="137" t="e">
        <v>#VALUE!</v>
      </c>
      <c r="JH15" s="137" t="e">
        <v>#VALUE!</v>
      </c>
      <c r="JI15" s="137" t="e">
        <v>#VALUE!</v>
      </c>
      <c r="JJ15" s="137" t="e">
        <v>#VALUE!</v>
      </c>
      <c r="JK15" s="137" t="e">
        <v>#VALUE!</v>
      </c>
      <c r="JL15" s="137" t="e">
        <v>#VALUE!</v>
      </c>
      <c r="JM15" s="137" t="e">
        <v>#VALUE!</v>
      </c>
      <c r="JN15" s="137" t="e">
        <v>#VALUE!</v>
      </c>
      <c r="JO15" s="137" t="e">
        <v>#VALUE!</v>
      </c>
      <c r="JP15" s="137" t="e">
        <v>#VALUE!</v>
      </c>
      <c r="JQ15" s="137" t="e">
        <v>#VALUE!</v>
      </c>
      <c r="JR15" s="137" t="e">
        <v>#VALUE!</v>
      </c>
      <c r="JS15" s="137" t="e">
        <v>#VALUE!</v>
      </c>
      <c r="JT15" s="137" t="e">
        <v>#VALUE!</v>
      </c>
      <c r="JU15" s="137" t="e">
        <v>#VALUE!</v>
      </c>
      <c r="JV15" s="137" t="e">
        <v>#VALUE!</v>
      </c>
      <c r="JW15" s="137" t="e">
        <v>#VALUE!</v>
      </c>
      <c r="JX15" s="137" t="e">
        <v>#VALUE!</v>
      </c>
      <c r="JY15" s="137" t="e">
        <v>#VALUE!</v>
      </c>
      <c r="JZ15" s="137" t="e">
        <v>#VALUE!</v>
      </c>
      <c r="KA15" s="137" t="e">
        <v>#VALUE!</v>
      </c>
      <c r="KB15" s="137" t="e">
        <v>#VALUE!</v>
      </c>
      <c r="KC15" s="137" t="e">
        <v>#VALUE!</v>
      </c>
      <c r="KD15" s="137" t="e">
        <v>#VALUE!</v>
      </c>
      <c r="KE15" s="137" t="e">
        <v>#VALUE!</v>
      </c>
      <c r="KF15" s="137" t="e">
        <v>#VALUE!</v>
      </c>
      <c r="KG15" s="137" t="e">
        <v>#VALUE!</v>
      </c>
      <c r="KH15" s="137" t="e">
        <v>#VALUE!</v>
      </c>
      <c r="KI15" s="137" t="e">
        <v>#VALUE!</v>
      </c>
      <c r="KJ15" s="137" t="e">
        <v>#VALUE!</v>
      </c>
      <c r="KK15" s="137" t="e">
        <v>#VALUE!</v>
      </c>
      <c r="KL15" s="137" t="e">
        <v>#VALUE!</v>
      </c>
      <c r="KM15" s="137" t="e">
        <v>#VALUE!</v>
      </c>
      <c r="KN15" s="137" t="e">
        <v>#VALUE!</v>
      </c>
      <c r="KO15" s="137" t="e">
        <v>#VALUE!</v>
      </c>
      <c r="KP15" s="137" t="e">
        <v>#VALUE!</v>
      </c>
      <c r="KQ15" s="137" t="e">
        <v>#VALUE!</v>
      </c>
      <c r="KR15" s="137" t="e">
        <v>#VALUE!</v>
      </c>
      <c r="KS15" s="137" t="e">
        <v>#VALUE!</v>
      </c>
      <c r="KT15" s="137" t="e">
        <v>#VALUE!</v>
      </c>
      <c r="KU15" s="137" t="e">
        <v>#VALUE!</v>
      </c>
      <c r="KV15" s="137" t="e">
        <v>#VALUE!</v>
      </c>
      <c r="KW15" s="137" t="e">
        <v>#VALUE!</v>
      </c>
      <c r="KX15" s="137" t="e">
        <v>#VALUE!</v>
      </c>
      <c r="KY15" s="137" t="e">
        <v>#VALUE!</v>
      </c>
      <c r="KZ15" s="137" t="e">
        <v>#VALUE!</v>
      </c>
      <c r="LA15" s="137" t="e">
        <v>#VALUE!</v>
      </c>
      <c r="LB15" s="137" t="e">
        <v>#VALUE!</v>
      </c>
      <c r="LC15" s="137" t="e">
        <v>#VALUE!</v>
      </c>
      <c r="LD15" s="137" t="e">
        <v>#VALUE!</v>
      </c>
      <c r="LE15" s="137" t="e">
        <v>#VALUE!</v>
      </c>
      <c r="LF15" s="137" t="e">
        <v>#VALUE!</v>
      </c>
      <c r="LG15" s="137" t="e">
        <v>#VALUE!</v>
      </c>
      <c r="LH15" s="137" t="e">
        <v>#VALUE!</v>
      </c>
      <c r="LI15" s="137" t="e">
        <v>#VALUE!</v>
      </c>
      <c r="LJ15" s="137" t="e">
        <v>#VALUE!</v>
      </c>
      <c r="LK15" s="137" t="e">
        <v>#VALUE!</v>
      </c>
      <c r="LL15" s="137" t="e">
        <v>#VALUE!</v>
      </c>
      <c r="LM15" s="137" t="e">
        <v>#VALUE!</v>
      </c>
      <c r="LN15" s="137" t="e">
        <v>#VALUE!</v>
      </c>
      <c r="LO15" s="137" t="e">
        <v>#VALUE!</v>
      </c>
      <c r="LP15" s="137" t="e">
        <v>#VALUE!</v>
      </c>
      <c r="LQ15" s="137" t="e">
        <v>#VALUE!</v>
      </c>
      <c r="LR15" s="137" t="e">
        <v>#VALUE!</v>
      </c>
      <c r="LS15" s="137" t="e">
        <v>#VALUE!</v>
      </c>
      <c r="LT15" s="137" t="e">
        <v>#VALUE!</v>
      </c>
      <c r="LU15" s="137" t="e">
        <v>#VALUE!</v>
      </c>
      <c r="LV15" s="137" t="e">
        <v>#VALUE!</v>
      </c>
      <c r="LW15" s="137" t="e">
        <v>#VALUE!</v>
      </c>
      <c r="LX15" s="137" t="e">
        <v>#VALUE!</v>
      </c>
      <c r="LY15" s="137" t="e">
        <v>#VALUE!</v>
      </c>
      <c r="LZ15" s="137" t="e">
        <v>#VALUE!</v>
      </c>
      <c r="MA15" s="137" t="e">
        <v>#VALUE!</v>
      </c>
      <c r="MB15" s="137" t="e">
        <v>#VALUE!</v>
      </c>
      <c r="MC15" s="137" t="e">
        <v>#VALUE!</v>
      </c>
      <c r="MD15" s="137" t="e">
        <v>#VALUE!</v>
      </c>
      <c r="ME15" s="137" t="e">
        <v>#VALUE!</v>
      </c>
      <c r="MF15" s="137" t="e">
        <v>#VALUE!</v>
      </c>
      <c r="MG15" s="137" t="e">
        <v>#VALUE!</v>
      </c>
      <c r="MH15" s="137" t="e">
        <v>#VALUE!</v>
      </c>
      <c r="MI15" s="137" t="e">
        <v>#VALUE!</v>
      </c>
      <c r="MJ15" s="137" t="e">
        <v>#VALUE!</v>
      </c>
      <c r="MK15" s="137" t="e">
        <v>#VALUE!</v>
      </c>
      <c r="ML15" s="137" t="e">
        <v>#VALUE!</v>
      </c>
      <c r="MM15" s="137" t="e">
        <v>#VALUE!</v>
      </c>
      <c r="MN15" s="137" t="e">
        <v>#VALUE!</v>
      </c>
      <c r="MO15" s="137" t="e">
        <v>#VALUE!</v>
      </c>
      <c r="MP15" s="137" t="e">
        <v>#VALUE!</v>
      </c>
      <c r="MQ15" s="137" t="e">
        <v>#VALUE!</v>
      </c>
      <c r="MR15" s="137" t="e">
        <v>#VALUE!</v>
      </c>
      <c r="MS15" s="137" t="e">
        <v>#VALUE!</v>
      </c>
      <c r="MT15" s="137" t="e">
        <v>#VALUE!</v>
      </c>
      <c r="MU15" s="137" t="e">
        <v>#VALUE!</v>
      </c>
      <c r="MV15" s="137" t="e">
        <v>#VALUE!</v>
      </c>
      <c r="MW15" s="137" t="e">
        <v>#VALUE!</v>
      </c>
      <c r="MX15" s="137" t="e">
        <v>#VALUE!</v>
      </c>
      <c r="MY15" s="137" t="e">
        <v>#VALUE!</v>
      </c>
      <c r="MZ15" s="137" t="e">
        <v>#VALUE!</v>
      </c>
      <c r="NA15" s="137" t="e">
        <v>#VALUE!</v>
      </c>
      <c r="NB15" s="137" t="e">
        <v>#VALUE!</v>
      </c>
      <c r="NC15" s="137" t="e">
        <v>#VALUE!</v>
      </c>
      <c r="ND15" s="137" t="e">
        <v>#VALUE!</v>
      </c>
      <c r="NE15" s="137" t="e">
        <v>#VALUE!</v>
      </c>
      <c r="NF15" s="137" t="e">
        <v>#VALUE!</v>
      </c>
      <c r="NG15" s="137" t="e">
        <v>#VALUE!</v>
      </c>
    </row>
    <row r="16" spans="1:371" x14ac:dyDescent="0.3">
      <c r="A16" s="397"/>
    </row>
    <row r="17" spans="1:371" x14ac:dyDescent="0.3">
      <c r="A17" s="398" t="s">
        <v>413</v>
      </c>
      <c r="D17" s="137" t="e">
        <f t="shared" ref="D17:AH17" si="19">SUM(D9:D15)</f>
        <v>#VALUE!</v>
      </c>
      <c r="E17" s="137" t="e">
        <f t="shared" si="19"/>
        <v>#VALUE!</v>
      </c>
      <c r="F17" s="137" t="e">
        <f t="shared" si="19"/>
        <v>#VALUE!</v>
      </c>
      <c r="G17" s="137" t="e">
        <f t="shared" si="19"/>
        <v>#VALUE!</v>
      </c>
      <c r="H17" s="137" t="e">
        <f t="shared" si="19"/>
        <v>#VALUE!</v>
      </c>
      <c r="I17" s="137" t="e">
        <f t="shared" si="19"/>
        <v>#VALUE!</v>
      </c>
      <c r="J17" s="137" t="e">
        <f>SUM(J9:J15)</f>
        <v>#VALUE!</v>
      </c>
      <c r="K17" s="137" t="e">
        <f t="shared" si="19"/>
        <v>#VALUE!</v>
      </c>
      <c r="L17" s="137" t="e">
        <f t="shared" si="19"/>
        <v>#VALUE!</v>
      </c>
      <c r="M17" s="137" t="e">
        <f t="shared" si="19"/>
        <v>#VALUE!</v>
      </c>
      <c r="N17" s="137" t="e">
        <f t="shared" si="19"/>
        <v>#VALUE!</v>
      </c>
      <c r="O17" s="137" t="e">
        <f t="shared" si="19"/>
        <v>#VALUE!</v>
      </c>
      <c r="P17" s="137" t="e">
        <f t="shared" si="19"/>
        <v>#VALUE!</v>
      </c>
      <c r="Q17" s="137" t="e">
        <f t="shared" si="19"/>
        <v>#VALUE!</v>
      </c>
      <c r="R17" s="137" t="e">
        <f t="shared" si="19"/>
        <v>#VALUE!</v>
      </c>
      <c r="S17" s="137" t="e">
        <f t="shared" si="19"/>
        <v>#VALUE!</v>
      </c>
      <c r="T17" s="137" t="e">
        <f t="shared" si="19"/>
        <v>#VALUE!</v>
      </c>
      <c r="U17" s="137" t="e">
        <f t="shared" si="19"/>
        <v>#VALUE!</v>
      </c>
      <c r="V17" s="137" t="e">
        <f t="shared" si="19"/>
        <v>#VALUE!</v>
      </c>
      <c r="W17" s="137" t="e">
        <f t="shared" si="19"/>
        <v>#VALUE!</v>
      </c>
      <c r="X17" s="137" t="e">
        <f t="shared" si="19"/>
        <v>#VALUE!</v>
      </c>
      <c r="Y17" s="137" t="e">
        <f t="shared" si="19"/>
        <v>#VALUE!</v>
      </c>
      <c r="Z17" s="137" t="e">
        <f t="shared" si="19"/>
        <v>#VALUE!</v>
      </c>
      <c r="AA17" s="137" t="e">
        <f t="shared" si="19"/>
        <v>#VALUE!</v>
      </c>
      <c r="AB17" s="137" t="e">
        <f t="shared" si="19"/>
        <v>#VALUE!</v>
      </c>
      <c r="AC17" s="137" t="e">
        <f t="shared" si="19"/>
        <v>#VALUE!</v>
      </c>
      <c r="AD17" s="137" t="e">
        <f t="shared" si="19"/>
        <v>#VALUE!</v>
      </c>
      <c r="AE17" s="137" t="e">
        <f t="shared" si="19"/>
        <v>#VALUE!</v>
      </c>
      <c r="AF17" s="137" t="e">
        <f t="shared" si="19"/>
        <v>#VALUE!</v>
      </c>
      <c r="AG17" s="137" t="e">
        <f t="shared" si="19"/>
        <v>#VALUE!</v>
      </c>
      <c r="AH17" s="137" t="e">
        <f t="shared" si="19"/>
        <v>#VALUE!</v>
      </c>
      <c r="AI17" s="137" t="e">
        <f>SUM(AI9:AI15)</f>
        <v>#VALUE!</v>
      </c>
      <c r="AJ17" s="137" t="e">
        <f t="shared" ref="AJ17:CU17" si="20">SUM(AJ9:AJ15)</f>
        <v>#VALUE!</v>
      </c>
      <c r="AK17" s="137" t="e">
        <f t="shared" si="20"/>
        <v>#VALUE!</v>
      </c>
      <c r="AL17" s="137" t="e">
        <f t="shared" si="20"/>
        <v>#VALUE!</v>
      </c>
      <c r="AM17" s="137" t="e">
        <f t="shared" si="20"/>
        <v>#VALUE!</v>
      </c>
      <c r="AN17" s="137" t="e">
        <f t="shared" si="20"/>
        <v>#VALUE!</v>
      </c>
      <c r="AO17" s="137" t="e">
        <f t="shared" si="20"/>
        <v>#VALUE!</v>
      </c>
      <c r="AP17" s="137" t="e">
        <f t="shared" si="20"/>
        <v>#VALUE!</v>
      </c>
      <c r="AQ17" s="137" t="e">
        <f t="shared" si="20"/>
        <v>#VALUE!</v>
      </c>
      <c r="AR17" s="137" t="e">
        <f t="shared" si="20"/>
        <v>#VALUE!</v>
      </c>
      <c r="AS17" s="137" t="e">
        <f t="shared" si="20"/>
        <v>#VALUE!</v>
      </c>
      <c r="AT17" s="137" t="e">
        <f t="shared" si="20"/>
        <v>#VALUE!</v>
      </c>
      <c r="AU17" s="137" t="e">
        <f t="shared" si="20"/>
        <v>#VALUE!</v>
      </c>
      <c r="AV17" s="137" t="e">
        <f t="shared" si="20"/>
        <v>#VALUE!</v>
      </c>
      <c r="AW17" s="137" t="e">
        <f t="shared" si="20"/>
        <v>#VALUE!</v>
      </c>
      <c r="AX17" s="137" t="e">
        <f t="shared" si="20"/>
        <v>#VALUE!</v>
      </c>
      <c r="AY17" s="137" t="e">
        <f t="shared" si="20"/>
        <v>#VALUE!</v>
      </c>
      <c r="AZ17" s="137" t="e">
        <f t="shared" si="20"/>
        <v>#VALUE!</v>
      </c>
      <c r="BA17" s="137" t="e">
        <f t="shared" si="20"/>
        <v>#VALUE!</v>
      </c>
      <c r="BB17" s="137" t="e">
        <f t="shared" si="20"/>
        <v>#VALUE!</v>
      </c>
      <c r="BC17" s="137" t="e">
        <f t="shared" si="20"/>
        <v>#VALUE!</v>
      </c>
      <c r="BD17" s="137" t="e">
        <f t="shared" si="20"/>
        <v>#VALUE!</v>
      </c>
      <c r="BE17" s="137" t="e">
        <f t="shared" si="20"/>
        <v>#VALUE!</v>
      </c>
      <c r="BF17" s="137" t="e">
        <f t="shared" si="20"/>
        <v>#VALUE!</v>
      </c>
      <c r="BG17" s="137" t="e">
        <f t="shared" si="20"/>
        <v>#VALUE!</v>
      </c>
      <c r="BH17" s="137" t="e">
        <f t="shared" si="20"/>
        <v>#VALUE!</v>
      </c>
      <c r="BI17" s="137" t="e">
        <f t="shared" si="20"/>
        <v>#VALUE!</v>
      </c>
      <c r="BJ17" s="137" t="e">
        <f t="shared" si="20"/>
        <v>#VALUE!</v>
      </c>
      <c r="BK17" s="137" t="e">
        <f t="shared" si="20"/>
        <v>#VALUE!</v>
      </c>
      <c r="BL17" s="137" t="e">
        <f t="shared" si="20"/>
        <v>#VALUE!</v>
      </c>
      <c r="BM17" s="137" t="e">
        <f t="shared" si="20"/>
        <v>#VALUE!</v>
      </c>
      <c r="BN17" s="137" t="e">
        <f t="shared" si="20"/>
        <v>#VALUE!</v>
      </c>
      <c r="BO17" s="137" t="e">
        <f t="shared" si="20"/>
        <v>#VALUE!</v>
      </c>
      <c r="BP17" s="137" t="e">
        <f t="shared" si="20"/>
        <v>#VALUE!</v>
      </c>
      <c r="BQ17" s="137" t="e">
        <f t="shared" si="20"/>
        <v>#VALUE!</v>
      </c>
      <c r="BR17" s="137" t="e">
        <f t="shared" si="20"/>
        <v>#VALUE!</v>
      </c>
      <c r="BS17" s="137" t="e">
        <f t="shared" si="20"/>
        <v>#VALUE!</v>
      </c>
      <c r="BT17" s="137" t="e">
        <f t="shared" si="20"/>
        <v>#VALUE!</v>
      </c>
      <c r="BU17" s="137" t="e">
        <f t="shared" si="20"/>
        <v>#VALUE!</v>
      </c>
      <c r="BV17" s="137" t="e">
        <f t="shared" si="20"/>
        <v>#VALUE!</v>
      </c>
      <c r="BW17" s="137" t="e">
        <f t="shared" si="20"/>
        <v>#VALUE!</v>
      </c>
      <c r="BX17" s="137" t="e">
        <f t="shared" si="20"/>
        <v>#VALUE!</v>
      </c>
      <c r="BY17" s="137" t="e">
        <f t="shared" si="20"/>
        <v>#VALUE!</v>
      </c>
      <c r="BZ17" s="137" t="e">
        <f t="shared" si="20"/>
        <v>#VALUE!</v>
      </c>
      <c r="CA17" s="137" t="e">
        <f t="shared" si="20"/>
        <v>#VALUE!</v>
      </c>
      <c r="CB17" s="137" t="e">
        <f t="shared" si="20"/>
        <v>#VALUE!</v>
      </c>
      <c r="CC17" s="137" t="e">
        <f t="shared" si="20"/>
        <v>#VALUE!</v>
      </c>
      <c r="CD17" s="137" t="e">
        <f t="shared" si="20"/>
        <v>#VALUE!</v>
      </c>
      <c r="CE17" s="137" t="e">
        <f t="shared" si="20"/>
        <v>#VALUE!</v>
      </c>
      <c r="CF17" s="137" t="e">
        <f t="shared" si="20"/>
        <v>#VALUE!</v>
      </c>
      <c r="CG17" s="137" t="e">
        <f t="shared" si="20"/>
        <v>#VALUE!</v>
      </c>
      <c r="CH17" s="137" t="e">
        <f t="shared" si="20"/>
        <v>#VALUE!</v>
      </c>
      <c r="CI17" s="137" t="e">
        <f t="shared" si="20"/>
        <v>#VALUE!</v>
      </c>
      <c r="CJ17" s="137" t="e">
        <f t="shared" si="20"/>
        <v>#VALUE!</v>
      </c>
      <c r="CK17" s="137" t="e">
        <f t="shared" si="20"/>
        <v>#VALUE!</v>
      </c>
      <c r="CL17" s="137" t="e">
        <f t="shared" si="20"/>
        <v>#VALUE!</v>
      </c>
      <c r="CM17" s="137" t="e">
        <f t="shared" si="20"/>
        <v>#VALUE!</v>
      </c>
      <c r="CN17" s="137" t="e">
        <f t="shared" si="20"/>
        <v>#VALUE!</v>
      </c>
      <c r="CO17" s="137" t="e">
        <f t="shared" si="20"/>
        <v>#VALUE!</v>
      </c>
      <c r="CP17" s="137" t="e">
        <f t="shared" si="20"/>
        <v>#VALUE!</v>
      </c>
      <c r="CQ17" s="137" t="e">
        <f t="shared" si="20"/>
        <v>#VALUE!</v>
      </c>
      <c r="CR17" s="137" t="e">
        <f t="shared" si="20"/>
        <v>#VALUE!</v>
      </c>
      <c r="CS17" s="137" t="e">
        <f t="shared" si="20"/>
        <v>#VALUE!</v>
      </c>
      <c r="CT17" s="137" t="e">
        <f t="shared" si="20"/>
        <v>#VALUE!</v>
      </c>
      <c r="CU17" s="137" t="e">
        <f t="shared" si="20"/>
        <v>#VALUE!</v>
      </c>
      <c r="CV17" s="137" t="e">
        <f t="shared" ref="CV17:FG17" si="21">SUM(CV9:CV15)</f>
        <v>#VALUE!</v>
      </c>
      <c r="CW17" s="137" t="e">
        <f t="shared" si="21"/>
        <v>#VALUE!</v>
      </c>
      <c r="CX17" s="137" t="e">
        <f t="shared" si="21"/>
        <v>#VALUE!</v>
      </c>
      <c r="CY17" s="137" t="e">
        <f t="shared" si="21"/>
        <v>#VALUE!</v>
      </c>
      <c r="CZ17" s="137" t="e">
        <f t="shared" si="21"/>
        <v>#VALUE!</v>
      </c>
      <c r="DA17" s="137" t="e">
        <f t="shared" si="21"/>
        <v>#VALUE!</v>
      </c>
      <c r="DB17" s="137" t="e">
        <f t="shared" si="21"/>
        <v>#VALUE!</v>
      </c>
      <c r="DC17" s="137" t="e">
        <f t="shared" si="21"/>
        <v>#VALUE!</v>
      </c>
      <c r="DD17" s="137" t="e">
        <f t="shared" si="21"/>
        <v>#VALUE!</v>
      </c>
      <c r="DE17" s="137" t="e">
        <f t="shared" si="21"/>
        <v>#VALUE!</v>
      </c>
      <c r="DF17" s="137" t="e">
        <f t="shared" si="21"/>
        <v>#VALUE!</v>
      </c>
      <c r="DG17" s="137" t="e">
        <f t="shared" si="21"/>
        <v>#VALUE!</v>
      </c>
      <c r="DH17" s="137" t="e">
        <f t="shared" si="21"/>
        <v>#VALUE!</v>
      </c>
      <c r="DI17" s="137" t="e">
        <f t="shared" si="21"/>
        <v>#VALUE!</v>
      </c>
      <c r="DJ17" s="137" t="e">
        <f t="shared" si="21"/>
        <v>#VALUE!</v>
      </c>
      <c r="DK17" s="137" t="e">
        <f t="shared" si="21"/>
        <v>#VALUE!</v>
      </c>
      <c r="DL17" s="137" t="e">
        <f t="shared" si="21"/>
        <v>#VALUE!</v>
      </c>
      <c r="DM17" s="137" t="e">
        <f t="shared" si="21"/>
        <v>#VALUE!</v>
      </c>
      <c r="DN17" s="137" t="e">
        <f t="shared" si="21"/>
        <v>#VALUE!</v>
      </c>
      <c r="DO17" s="137" t="e">
        <f t="shared" si="21"/>
        <v>#VALUE!</v>
      </c>
      <c r="DP17" s="137" t="e">
        <f t="shared" si="21"/>
        <v>#VALUE!</v>
      </c>
      <c r="DQ17" s="137" t="e">
        <f t="shared" si="21"/>
        <v>#VALUE!</v>
      </c>
      <c r="DR17" s="137" t="e">
        <f t="shared" si="21"/>
        <v>#VALUE!</v>
      </c>
      <c r="DS17" s="137" t="e">
        <f t="shared" si="21"/>
        <v>#VALUE!</v>
      </c>
      <c r="DT17" s="137" t="e">
        <f t="shared" si="21"/>
        <v>#VALUE!</v>
      </c>
      <c r="DU17" s="137" t="e">
        <f t="shared" si="21"/>
        <v>#VALUE!</v>
      </c>
      <c r="DV17" s="137" t="e">
        <f t="shared" si="21"/>
        <v>#VALUE!</v>
      </c>
      <c r="DW17" s="137" t="e">
        <f t="shared" si="21"/>
        <v>#VALUE!</v>
      </c>
      <c r="DX17" s="137" t="e">
        <f t="shared" si="21"/>
        <v>#VALUE!</v>
      </c>
      <c r="DY17" s="137" t="e">
        <f t="shared" si="21"/>
        <v>#VALUE!</v>
      </c>
      <c r="DZ17" s="137" t="e">
        <f t="shared" si="21"/>
        <v>#VALUE!</v>
      </c>
      <c r="EA17" s="137" t="e">
        <f t="shared" si="21"/>
        <v>#VALUE!</v>
      </c>
      <c r="EB17" s="137" t="e">
        <f t="shared" si="21"/>
        <v>#VALUE!</v>
      </c>
      <c r="EC17" s="137" t="e">
        <f t="shared" si="21"/>
        <v>#VALUE!</v>
      </c>
      <c r="ED17" s="137" t="e">
        <f t="shared" si="21"/>
        <v>#VALUE!</v>
      </c>
      <c r="EE17" s="137" t="e">
        <f t="shared" si="21"/>
        <v>#VALUE!</v>
      </c>
      <c r="EF17" s="137" t="e">
        <f t="shared" si="21"/>
        <v>#VALUE!</v>
      </c>
      <c r="EG17" s="137" t="e">
        <f t="shared" si="21"/>
        <v>#VALUE!</v>
      </c>
      <c r="EH17" s="137" t="e">
        <f t="shared" si="21"/>
        <v>#VALUE!</v>
      </c>
      <c r="EI17" s="137" t="e">
        <f t="shared" si="21"/>
        <v>#VALUE!</v>
      </c>
      <c r="EJ17" s="137" t="e">
        <f t="shared" si="21"/>
        <v>#VALUE!</v>
      </c>
      <c r="EK17" s="137" t="e">
        <f t="shared" si="21"/>
        <v>#VALUE!</v>
      </c>
      <c r="EL17" s="137" t="e">
        <f t="shared" si="21"/>
        <v>#VALUE!</v>
      </c>
      <c r="EM17" s="137" t="e">
        <f t="shared" si="21"/>
        <v>#VALUE!</v>
      </c>
      <c r="EN17" s="137" t="e">
        <f t="shared" si="21"/>
        <v>#VALUE!</v>
      </c>
      <c r="EO17" s="137" t="e">
        <f t="shared" si="21"/>
        <v>#VALUE!</v>
      </c>
      <c r="EP17" s="137" t="e">
        <f t="shared" si="21"/>
        <v>#VALUE!</v>
      </c>
      <c r="EQ17" s="137" t="e">
        <f t="shared" si="21"/>
        <v>#VALUE!</v>
      </c>
      <c r="ER17" s="137" t="e">
        <f t="shared" si="21"/>
        <v>#VALUE!</v>
      </c>
      <c r="ES17" s="137" t="e">
        <f t="shared" si="21"/>
        <v>#VALUE!</v>
      </c>
      <c r="ET17" s="137" t="e">
        <f t="shared" si="21"/>
        <v>#VALUE!</v>
      </c>
      <c r="EU17" s="137" t="e">
        <f t="shared" si="21"/>
        <v>#VALUE!</v>
      </c>
      <c r="EV17" s="137" t="e">
        <f t="shared" si="21"/>
        <v>#VALUE!</v>
      </c>
      <c r="EW17" s="137" t="e">
        <f t="shared" si="21"/>
        <v>#VALUE!</v>
      </c>
      <c r="EX17" s="137" t="e">
        <f t="shared" si="21"/>
        <v>#VALUE!</v>
      </c>
      <c r="EY17" s="137" t="e">
        <f t="shared" si="21"/>
        <v>#VALUE!</v>
      </c>
      <c r="EZ17" s="137" t="e">
        <f t="shared" si="21"/>
        <v>#VALUE!</v>
      </c>
      <c r="FA17" s="137" t="e">
        <f t="shared" si="21"/>
        <v>#VALUE!</v>
      </c>
      <c r="FB17" s="137" t="e">
        <f t="shared" si="21"/>
        <v>#VALUE!</v>
      </c>
      <c r="FC17" s="137" t="e">
        <f t="shared" si="21"/>
        <v>#VALUE!</v>
      </c>
      <c r="FD17" s="137" t="e">
        <f t="shared" si="21"/>
        <v>#VALUE!</v>
      </c>
      <c r="FE17" s="137" t="e">
        <f t="shared" si="21"/>
        <v>#VALUE!</v>
      </c>
      <c r="FF17" s="137" t="e">
        <f t="shared" si="21"/>
        <v>#VALUE!</v>
      </c>
      <c r="FG17" s="137" t="e">
        <f t="shared" si="21"/>
        <v>#VALUE!</v>
      </c>
      <c r="FH17" s="137" t="e">
        <f t="shared" ref="FH17:HS17" si="22">SUM(FH9:FH15)</f>
        <v>#VALUE!</v>
      </c>
      <c r="FI17" s="137" t="e">
        <f t="shared" si="22"/>
        <v>#VALUE!</v>
      </c>
      <c r="FJ17" s="137" t="e">
        <f t="shared" si="22"/>
        <v>#VALUE!</v>
      </c>
      <c r="FK17" s="137" t="e">
        <f t="shared" si="22"/>
        <v>#VALUE!</v>
      </c>
      <c r="FL17" s="137" t="e">
        <f t="shared" si="22"/>
        <v>#VALUE!</v>
      </c>
      <c r="FM17" s="137" t="e">
        <f t="shared" si="22"/>
        <v>#VALUE!</v>
      </c>
      <c r="FN17" s="137" t="e">
        <f t="shared" si="22"/>
        <v>#VALUE!</v>
      </c>
      <c r="FO17" s="137" t="e">
        <f t="shared" si="22"/>
        <v>#VALUE!</v>
      </c>
      <c r="FP17" s="137" t="e">
        <f t="shared" si="22"/>
        <v>#VALUE!</v>
      </c>
      <c r="FQ17" s="137" t="e">
        <f t="shared" si="22"/>
        <v>#VALUE!</v>
      </c>
      <c r="FR17" s="137" t="e">
        <f t="shared" si="22"/>
        <v>#VALUE!</v>
      </c>
      <c r="FS17" s="137" t="e">
        <f t="shared" si="22"/>
        <v>#VALUE!</v>
      </c>
      <c r="FT17" s="137" t="e">
        <f t="shared" si="22"/>
        <v>#VALUE!</v>
      </c>
      <c r="FU17" s="137" t="e">
        <f t="shared" si="22"/>
        <v>#VALUE!</v>
      </c>
      <c r="FV17" s="137" t="e">
        <f t="shared" si="22"/>
        <v>#VALUE!</v>
      </c>
      <c r="FW17" s="137" t="e">
        <f t="shared" si="22"/>
        <v>#VALUE!</v>
      </c>
      <c r="FX17" s="137" t="e">
        <f t="shared" si="22"/>
        <v>#VALUE!</v>
      </c>
      <c r="FY17" s="137" t="e">
        <f t="shared" si="22"/>
        <v>#VALUE!</v>
      </c>
      <c r="FZ17" s="137" t="e">
        <f t="shared" si="22"/>
        <v>#VALUE!</v>
      </c>
      <c r="GA17" s="137" t="e">
        <f t="shared" si="22"/>
        <v>#VALUE!</v>
      </c>
      <c r="GB17" s="137" t="e">
        <f t="shared" si="22"/>
        <v>#VALUE!</v>
      </c>
      <c r="GC17" s="137" t="e">
        <f t="shared" si="22"/>
        <v>#VALUE!</v>
      </c>
      <c r="GD17" s="137" t="e">
        <f t="shared" si="22"/>
        <v>#VALUE!</v>
      </c>
      <c r="GE17" s="137" t="e">
        <f t="shared" si="22"/>
        <v>#VALUE!</v>
      </c>
      <c r="GF17" s="137" t="e">
        <f t="shared" si="22"/>
        <v>#VALUE!</v>
      </c>
      <c r="GG17" s="137" t="e">
        <f t="shared" si="22"/>
        <v>#VALUE!</v>
      </c>
      <c r="GH17" s="137" t="e">
        <f t="shared" si="22"/>
        <v>#VALUE!</v>
      </c>
      <c r="GI17" s="137" t="e">
        <f t="shared" si="22"/>
        <v>#VALUE!</v>
      </c>
      <c r="GJ17" s="137" t="e">
        <f t="shared" si="22"/>
        <v>#VALUE!</v>
      </c>
      <c r="GK17" s="137" t="e">
        <f t="shared" si="22"/>
        <v>#VALUE!</v>
      </c>
      <c r="GL17" s="137" t="e">
        <f t="shared" si="22"/>
        <v>#VALUE!</v>
      </c>
      <c r="GM17" s="137" t="e">
        <f t="shared" si="22"/>
        <v>#VALUE!</v>
      </c>
      <c r="GN17" s="137" t="e">
        <f t="shared" si="22"/>
        <v>#VALUE!</v>
      </c>
      <c r="GO17" s="137" t="e">
        <f t="shared" si="22"/>
        <v>#VALUE!</v>
      </c>
      <c r="GP17" s="137" t="e">
        <f t="shared" si="22"/>
        <v>#VALUE!</v>
      </c>
      <c r="GQ17" s="137" t="e">
        <f t="shared" si="22"/>
        <v>#VALUE!</v>
      </c>
      <c r="GR17" s="137" t="e">
        <f t="shared" si="22"/>
        <v>#VALUE!</v>
      </c>
      <c r="GS17" s="137" t="e">
        <f t="shared" si="22"/>
        <v>#VALUE!</v>
      </c>
      <c r="GT17" s="137" t="e">
        <f t="shared" si="22"/>
        <v>#VALUE!</v>
      </c>
      <c r="GU17" s="137" t="e">
        <f t="shared" si="22"/>
        <v>#VALUE!</v>
      </c>
      <c r="GV17" s="137" t="e">
        <f t="shared" si="22"/>
        <v>#VALUE!</v>
      </c>
      <c r="GW17" s="137" t="e">
        <f t="shared" si="22"/>
        <v>#VALUE!</v>
      </c>
      <c r="GX17" s="137" t="e">
        <f t="shared" si="22"/>
        <v>#VALUE!</v>
      </c>
      <c r="GY17" s="137" t="e">
        <f t="shared" si="22"/>
        <v>#VALUE!</v>
      </c>
      <c r="GZ17" s="137" t="e">
        <f t="shared" si="22"/>
        <v>#VALUE!</v>
      </c>
      <c r="HA17" s="137" t="e">
        <f t="shared" si="22"/>
        <v>#VALUE!</v>
      </c>
      <c r="HB17" s="137" t="e">
        <f t="shared" si="22"/>
        <v>#VALUE!</v>
      </c>
      <c r="HC17" s="137" t="e">
        <f t="shared" si="22"/>
        <v>#VALUE!</v>
      </c>
      <c r="HD17" s="137" t="e">
        <f t="shared" si="22"/>
        <v>#VALUE!</v>
      </c>
      <c r="HE17" s="137" t="e">
        <f t="shared" si="22"/>
        <v>#VALUE!</v>
      </c>
      <c r="HF17" s="137" t="e">
        <f t="shared" si="22"/>
        <v>#VALUE!</v>
      </c>
      <c r="HG17" s="137" t="e">
        <f t="shared" si="22"/>
        <v>#VALUE!</v>
      </c>
      <c r="HH17" s="137" t="e">
        <f t="shared" si="22"/>
        <v>#VALUE!</v>
      </c>
      <c r="HI17" s="137" t="e">
        <f t="shared" si="22"/>
        <v>#VALUE!</v>
      </c>
      <c r="HJ17" s="137" t="e">
        <f t="shared" si="22"/>
        <v>#VALUE!</v>
      </c>
      <c r="HK17" s="137" t="e">
        <f t="shared" si="22"/>
        <v>#VALUE!</v>
      </c>
      <c r="HL17" s="137" t="e">
        <f t="shared" si="22"/>
        <v>#VALUE!</v>
      </c>
      <c r="HM17" s="137" t="e">
        <f t="shared" si="22"/>
        <v>#VALUE!</v>
      </c>
      <c r="HN17" s="137" t="e">
        <f t="shared" si="22"/>
        <v>#VALUE!</v>
      </c>
      <c r="HO17" s="137" t="e">
        <f t="shared" si="22"/>
        <v>#VALUE!</v>
      </c>
      <c r="HP17" s="137" t="e">
        <f t="shared" si="22"/>
        <v>#VALUE!</v>
      </c>
      <c r="HQ17" s="137" t="e">
        <f t="shared" si="22"/>
        <v>#VALUE!</v>
      </c>
      <c r="HR17" s="137" t="e">
        <f t="shared" si="22"/>
        <v>#VALUE!</v>
      </c>
      <c r="HS17" s="137" t="e">
        <f t="shared" si="22"/>
        <v>#VALUE!</v>
      </c>
      <c r="HT17" s="137" t="e">
        <f t="shared" ref="HT17:KE17" si="23">SUM(HT9:HT15)</f>
        <v>#VALUE!</v>
      </c>
      <c r="HU17" s="137" t="e">
        <f t="shared" si="23"/>
        <v>#VALUE!</v>
      </c>
      <c r="HV17" s="137" t="e">
        <f t="shared" si="23"/>
        <v>#VALUE!</v>
      </c>
      <c r="HW17" s="137" t="e">
        <f t="shared" si="23"/>
        <v>#VALUE!</v>
      </c>
      <c r="HX17" s="137" t="e">
        <f t="shared" si="23"/>
        <v>#VALUE!</v>
      </c>
      <c r="HY17" s="137" t="e">
        <f t="shared" si="23"/>
        <v>#VALUE!</v>
      </c>
      <c r="HZ17" s="137" t="e">
        <f t="shared" si="23"/>
        <v>#VALUE!</v>
      </c>
      <c r="IA17" s="137" t="e">
        <f t="shared" si="23"/>
        <v>#VALUE!</v>
      </c>
      <c r="IB17" s="137" t="e">
        <f t="shared" si="23"/>
        <v>#VALUE!</v>
      </c>
      <c r="IC17" s="137" t="e">
        <f t="shared" si="23"/>
        <v>#VALUE!</v>
      </c>
      <c r="ID17" s="137" t="e">
        <f t="shared" si="23"/>
        <v>#VALUE!</v>
      </c>
      <c r="IE17" s="137" t="e">
        <f t="shared" si="23"/>
        <v>#VALUE!</v>
      </c>
      <c r="IF17" s="137" t="e">
        <f t="shared" si="23"/>
        <v>#VALUE!</v>
      </c>
      <c r="IG17" s="137" t="e">
        <f t="shared" si="23"/>
        <v>#VALUE!</v>
      </c>
      <c r="IH17" s="137" t="e">
        <f t="shared" si="23"/>
        <v>#VALUE!</v>
      </c>
      <c r="II17" s="137" t="e">
        <f t="shared" si="23"/>
        <v>#VALUE!</v>
      </c>
      <c r="IJ17" s="137" t="e">
        <f t="shared" si="23"/>
        <v>#VALUE!</v>
      </c>
      <c r="IK17" s="137" t="e">
        <f t="shared" si="23"/>
        <v>#VALUE!</v>
      </c>
      <c r="IL17" s="137" t="e">
        <f t="shared" si="23"/>
        <v>#VALUE!</v>
      </c>
      <c r="IM17" s="137" t="e">
        <f t="shared" si="23"/>
        <v>#VALUE!</v>
      </c>
      <c r="IN17" s="137" t="e">
        <f t="shared" si="23"/>
        <v>#VALUE!</v>
      </c>
      <c r="IO17" s="137" t="e">
        <f t="shared" si="23"/>
        <v>#VALUE!</v>
      </c>
      <c r="IP17" s="137" t="e">
        <f t="shared" si="23"/>
        <v>#VALUE!</v>
      </c>
      <c r="IQ17" s="137" t="e">
        <f t="shared" si="23"/>
        <v>#VALUE!</v>
      </c>
      <c r="IR17" s="137" t="e">
        <f t="shared" si="23"/>
        <v>#VALUE!</v>
      </c>
      <c r="IS17" s="137" t="e">
        <f t="shared" si="23"/>
        <v>#VALUE!</v>
      </c>
      <c r="IT17" s="137" t="e">
        <f t="shared" si="23"/>
        <v>#VALUE!</v>
      </c>
      <c r="IU17" s="137" t="e">
        <f t="shared" si="23"/>
        <v>#VALUE!</v>
      </c>
      <c r="IV17" s="137" t="e">
        <f t="shared" si="23"/>
        <v>#VALUE!</v>
      </c>
      <c r="IW17" s="137" t="e">
        <f t="shared" si="23"/>
        <v>#VALUE!</v>
      </c>
      <c r="IX17" s="137" t="e">
        <f t="shared" si="23"/>
        <v>#VALUE!</v>
      </c>
      <c r="IY17" s="137" t="e">
        <f t="shared" si="23"/>
        <v>#VALUE!</v>
      </c>
      <c r="IZ17" s="137" t="e">
        <f t="shared" si="23"/>
        <v>#VALUE!</v>
      </c>
      <c r="JA17" s="137" t="e">
        <f t="shared" si="23"/>
        <v>#VALUE!</v>
      </c>
      <c r="JB17" s="137" t="e">
        <f t="shared" si="23"/>
        <v>#VALUE!</v>
      </c>
      <c r="JC17" s="137" t="e">
        <f t="shared" si="23"/>
        <v>#VALUE!</v>
      </c>
      <c r="JD17" s="137" t="e">
        <f t="shared" si="23"/>
        <v>#VALUE!</v>
      </c>
      <c r="JE17" s="137" t="e">
        <f t="shared" si="23"/>
        <v>#VALUE!</v>
      </c>
      <c r="JF17" s="137" t="e">
        <f t="shared" si="23"/>
        <v>#VALUE!</v>
      </c>
      <c r="JG17" s="137" t="e">
        <f t="shared" si="23"/>
        <v>#VALUE!</v>
      </c>
      <c r="JH17" s="137" t="e">
        <f t="shared" si="23"/>
        <v>#VALUE!</v>
      </c>
      <c r="JI17" s="137" t="e">
        <f t="shared" si="23"/>
        <v>#VALUE!</v>
      </c>
      <c r="JJ17" s="137" t="e">
        <f t="shared" si="23"/>
        <v>#VALUE!</v>
      </c>
      <c r="JK17" s="137" t="e">
        <f t="shared" si="23"/>
        <v>#VALUE!</v>
      </c>
      <c r="JL17" s="137" t="e">
        <f t="shared" si="23"/>
        <v>#VALUE!</v>
      </c>
      <c r="JM17" s="137" t="e">
        <f t="shared" si="23"/>
        <v>#VALUE!</v>
      </c>
      <c r="JN17" s="137" t="e">
        <f t="shared" si="23"/>
        <v>#VALUE!</v>
      </c>
      <c r="JO17" s="137" t="e">
        <f t="shared" si="23"/>
        <v>#VALUE!</v>
      </c>
      <c r="JP17" s="137" t="e">
        <f t="shared" si="23"/>
        <v>#VALUE!</v>
      </c>
      <c r="JQ17" s="137" t="e">
        <f t="shared" si="23"/>
        <v>#VALUE!</v>
      </c>
      <c r="JR17" s="137" t="e">
        <f t="shared" si="23"/>
        <v>#VALUE!</v>
      </c>
      <c r="JS17" s="137" t="e">
        <f t="shared" si="23"/>
        <v>#VALUE!</v>
      </c>
      <c r="JT17" s="137" t="e">
        <f t="shared" si="23"/>
        <v>#VALUE!</v>
      </c>
      <c r="JU17" s="137" t="e">
        <f t="shared" si="23"/>
        <v>#VALUE!</v>
      </c>
      <c r="JV17" s="137" t="e">
        <f t="shared" si="23"/>
        <v>#VALUE!</v>
      </c>
      <c r="JW17" s="137" t="e">
        <f t="shared" si="23"/>
        <v>#VALUE!</v>
      </c>
      <c r="JX17" s="137" t="e">
        <f t="shared" si="23"/>
        <v>#VALUE!</v>
      </c>
      <c r="JY17" s="137" t="e">
        <f t="shared" si="23"/>
        <v>#VALUE!</v>
      </c>
      <c r="JZ17" s="137" t="e">
        <f t="shared" si="23"/>
        <v>#VALUE!</v>
      </c>
      <c r="KA17" s="137" t="e">
        <f t="shared" si="23"/>
        <v>#VALUE!</v>
      </c>
      <c r="KB17" s="137" t="e">
        <f t="shared" si="23"/>
        <v>#VALUE!</v>
      </c>
      <c r="KC17" s="137" t="e">
        <f t="shared" si="23"/>
        <v>#VALUE!</v>
      </c>
      <c r="KD17" s="137" t="e">
        <f t="shared" si="23"/>
        <v>#VALUE!</v>
      </c>
      <c r="KE17" s="137" t="e">
        <f t="shared" si="23"/>
        <v>#VALUE!</v>
      </c>
      <c r="KF17" s="137" t="e">
        <f t="shared" ref="KF17:MQ17" si="24">SUM(KF9:KF15)</f>
        <v>#VALUE!</v>
      </c>
      <c r="KG17" s="137" t="e">
        <f t="shared" si="24"/>
        <v>#VALUE!</v>
      </c>
      <c r="KH17" s="137" t="e">
        <f t="shared" si="24"/>
        <v>#VALUE!</v>
      </c>
      <c r="KI17" s="137" t="e">
        <f t="shared" si="24"/>
        <v>#VALUE!</v>
      </c>
      <c r="KJ17" s="137" t="e">
        <f t="shared" si="24"/>
        <v>#VALUE!</v>
      </c>
      <c r="KK17" s="137" t="e">
        <f t="shared" si="24"/>
        <v>#VALUE!</v>
      </c>
      <c r="KL17" s="137" t="e">
        <f t="shared" si="24"/>
        <v>#VALUE!</v>
      </c>
      <c r="KM17" s="137" t="e">
        <f t="shared" si="24"/>
        <v>#VALUE!</v>
      </c>
      <c r="KN17" s="137" t="e">
        <f t="shared" si="24"/>
        <v>#VALUE!</v>
      </c>
      <c r="KO17" s="137" t="e">
        <f t="shared" si="24"/>
        <v>#VALUE!</v>
      </c>
      <c r="KP17" s="137" t="e">
        <f t="shared" si="24"/>
        <v>#VALUE!</v>
      </c>
      <c r="KQ17" s="137" t="e">
        <f t="shared" si="24"/>
        <v>#VALUE!</v>
      </c>
      <c r="KR17" s="137" t="e">
        <f t="shared" si="24"/>
        <v>#VALUE!</v>
      </c>
      <c r="KS17" s="137" t="e">
        <f t="shared" si="24"/>
        <v>#VALUE!</v>
      </c>
      <c r="KT17" s="137" t="e">
        <f t="shared" si="24"/>
        <v>#VALUE!</v>
      </c>
      <c r="KU17" s="137" t="e">
        <f t="shared" si="24"/>
        <v>#VALUE!</v>
      </c>
      <c r="KV17" s="137" t="e">
        <f t="shared" si="24"/>
        <v>#VALUE!</v>
      </c>
      <c r="KW17" s="137" t="e">
        <f t="shared" si="24"/>
        <v>#VALUE!</v>
      </c>
      <c r="KX17" s="137" t="e">
        <f t="shared" si="24"/>
        <v>#VALUE!</v>
      </c>
      <c r="KY17" s="137" t="e">
        <f t="shared" si="24"/>
        <v>#VALUE!</v>
      </c>
      <c r="KZ17" s="137" t="e">
        <f t="shared" si="24"/>
        <v>#VALUE!</v>
      </c>
      <c r="LA17" s="137" t="e">
        <f t="shared" si="24"/>
        <v>#VALUE!</v>
      </c>
      <c r="LB17" s="137" t="e">
        <f t="shared" si="24"/>
        <v>#VALUE!</v>
      </c>
      <c r="LC17" s="137" t="e">
        <f t="shared" si="24"/>
        <v>#VALUE!</v>
      </c>
      <c r="LD17" s="137" t="e">
        <f t="shared" si="24"/>
        <v>#VALUE!</v>
      </c>
      <c r="LE17" s="137" t="e">
        <f t="shared" si="24"/>
        <v>#VALUE!</v>
      </c>
      <c r="LF17" s="137" t="e">
        <f t="shared" si="24"/>
        <v>#VALUE!</v>
      </c>
      <c r="LG17" s="137" t="e">
        <f t="shared" si="24"/>
        <v>#VALUE!</v>
      </c>
      <c r="LH17" s="137" t="e">
        <f t="shared" si="24"/>
        <v>#VALUE!</v>
      </c>
      <c r="LI17" s="137" t="e">
        <f t="shared" si="24"/>
        <v>#VALUE!</v>
      </c>
      <c r="LJ17" s="137" t="e">
        <f t="shared" si="24"/>
        <v>#VALUE!</v>
      </c>
      <c r="LK17" s="137" t="e">
        <f t="shared" si="24"/>
        <v>#VALUE!</v>
      </c>
      <c r="LL17" s="137" t="e">
        <f t="shared" si="24"/>
        <v>#VALUE!</v>
      </c>
      <c r="LM17" s="137" t="e">
        <f t="shared" si="24"/>
        <v>#VALUE!</v>
      </c>
      <c r="LN17" s="137" t="e">
        <f t="shared" si="24"/>
        <v>#VALUE!</v>
      </c>
      <c r="LO17" s="137" t="e">
        <f t="shared" si="24"/>
        <v>#VALUE!</v>
      </c>
      <c r="LP17" s="137" t="e">
        <f t="shared" si="24"/>
        <v>#VALUE!</v>
      </c>
      <c r="LQ17" s="137" t="e">
        <f t="shared" si="24"/>
        <v>#VALUE!</v>
      </c>
      <c r="LR17" s="137" t="e">
        <f t="shared" si="24"/>
        <v>#VALUE!</v>
      </c>
      <c r="LS17" s="137" t="e">
        <f t="shared" si="24"/>
        <v>#VALUE!</v>
      </c>
      <c r="LT17" s="137" t="e">
        <f t="shared" si="24"/>
        <v>#VALUE!</v>
      </c>
      <c r="LU17" s="137" t="e">
        <f t="shared" si="24"/>
        <v>#VALUE!</v>
      </c>
      <c r="LV17" s="137" t="e">
        <f t="shared" si="24"/>
        <v>#VALUE!</v>
      </c>
      <c r="LW17" s="137" t="e">
        <f t="shared" si="24"/>
        <v>#VALUE!</v>
      </c>
      <c r="LX17" s="137" t="e">
        <f t="shared" si="24"/>
        <v>#VALUE!</v>
      </c>
      <c r="LY17" s="137" t="e">
        <f t="shared" si="24"/>
        <v>#VALUE!</v>
      </c>
      <c r="LZ17" s="137" t="e">
        <f t="shared" si="24"/>
        <v>#VALUE!</v>
      </c>
      <c r="MA17" s="137" t="e">
        <f t="shared" si="24"/>
        <v>#VALUE!</v>
      </c>
      <c r="MB17" s="137" t="e">
        <f t="shared" si="24"/>
        <v>#VALUE!</v>
      </c>
      <c r="MC17" s="137" t="e">
        <f t="shared" si="24"/>
        <v>#VALUE!</v>
      </c>
      <c r="MD17" s="137" t="e">
        <f t="shared" si="24"/>
        <v>#VALUE!</v>
      </c>
      <c r="ME17" s="137" t="e">
        <f t="shared" si="24"/>
        <v>#VALUE!</v>
      </c>
      <c r="MF17" s="137" t="e">
        <f t="shared" si="24"/>
        <v>#VALUE!</v>
      </c>
      <c r="MG17" s="137" t="e">
        <f t="shared" si="24"/>
        <v>#VALUE!</v>
      </c>
      <c r="MH17" s="137" t="e">
        <f t="shared" si="24"/>
        <v>#VALUE!</v>
      </c>
      <c r="MI17" s="137" t="e">
        <f t="shared" si="24"/>
        <v>#VALUE!</v>
      </c>
      <c r="MJ17" s="137" t="e">
        <f t="shared" si="24"/>
        <v>#VALUE!</v>
      </c>
      <c r="MK17" s="137" t="e">
        <f t="shared" si="24"/>
        <v>#VALUE!</v>
      </c>
      <c r="ML17" s="137" t="e">
        <f t="shared" si="24"/>
        <v>#VALUE!</v>
      </c>
      <c r="MM17" s="137" t="e">
        <f t="shared" si="24"/>
        <v>#VALUE!</v>
      </c>
      <c r="MN17" s="137" t="e">
        <f t="shared" si="24"/>
        <v>#VALUE!</v>
      </c>
      <c r="MO17" s="137" t="e">
        <f t="shared" si="24"/>
        <v>#VALUE!</v>
      </c>
      <c r="MP17" s="137" t="e">
        <f t="shared" si="24"/>
        <v>#VALUE!</v>
      </c>
      <c r="MQ17" s="137" t="e">
        <f t="shared" si="24"/>
        <v>#VALUE!</v>
      </c>
      <c r="MR17" s="137" t="e">
        <f t="shared" ref="MR17:NG17" si="25">SUM(MR9:MR15)</f>
        <v>#VALUE!</v>
      </c>
      <c r="MS17" s="137" t="e">
        <f t="shared" si="25"/>
        <v>#VALUE!</v>
      </c>
      <c r="MT17" s="137" t="e">
        <f t="shared" si="25"/>
        <v>#VALUE!</v>
      </c>
      <c r="MU17" s="137" t="e">
        <f t="shared" si="25"/>
        <v>#VALUE!</v>
      </c>
      <c r="MV17" s="137" t="e">
        <f t="shared" si="25"/>
        <v>#VALUE!</v>
      </c>
      <c r="MW17" s="137" t="e">
        <f t="shared" si="25"/>
        <v>#VALUE!</v>
      </c>
      <c r="MX17" s="137" t="e">
        <f t="shared" si="25"/>
        <v>#VALUE!</v>
      </c>
      <c r="MY17" s="137" t="e">
        <f t="shared" si="25"/>
        <v>#VALUE!</v>
      </c>
      <c r="MZ17" s="137" t="e">
        <f t="shared" si="25"/>
        <v>#VALUE!</v>
      </c>
      <c r="NA17" s="137" t="e">
        <f t="shared" si="25"/>
        <v>#VALUE!</v>
      </c>
      <c r="NB17" s="137" t="e">
        <f t="shared" si="25"/>
        <v>#VALUE!</v>
      </c>
      <c r="NC17" s="137" t="e">
        <f t="shared" si="25"/>
        <v>#VALUE!</v>
      </c>
      <c r="ND17" s="137" t="e">
        <f t="shared" si="25"/>
        <v>#VALUE!</v>
      </c>
      <c r="NE17" s="137" t="e">
        <f t="shared" si="25"/>
        <v>#VALUE!</v>
      </c>
      <c r="NF17" s="137" t="e">
        <f t="shared" si="25"/>
        <v>#VALUE!</v>
      </c>
      <c r="NG17" s="137" t="e">
        <f t="shared" si="25"/>
        <v>#VALUE!</v>
      </c>
    </row>
    <row r="18" spans="1:371" x14ac:dyDescent="0.3">
      <c r="B18" s="399" t="s">
        <v>414</v>
      </c>
      <c r="C18" s="399"/>
      <c r="E18" s="400" t="e">
        <f>(E17-D17)/ABS(D17)</f>
        <v>#VALUE!</v>
      </c>
      <c r="F18" s="400" t="e">
        <f t="shared" ref="F18:BQ18" si="26">(F17-E17)/ABS(E17)</f>
        <v>#VALUE!</v>
      </c>
      <c r="G18" s="400" t="e">
        <f t="shared" si="26"/>
        <v>#VALUE!</v>
      </c>
      <c r="H18" s="400" t="e">
        <f t="shared" si="26"/>
        <v>#VALUE!</v>
      </c>
      <c r="I18" s="400" t="e">
        <f t="shared" si="26"/>
        <v>#VALUE!</v>
      </c>
      <c r="J18" s="400" t="e">
        <f t="shared" si="26"/>
        <v>#VALUE!</v>
      </c>
      <c r="K18" s="400" t="e">
        <f>(K17-J17)/ABS(J17)</f>
        <v>#VALUE!</v>
      </c>
      <c r="L18" s="400" t="e">
        <f t="shared" si="26"/>
        <v>#VALUE!</v>
      </c>
      <c r="M18" s="400" t="e">
        <f t="shared" si="26"/>
        <v>#VALUE!</v>
      </c>
      <c r="N18" s="400" t="e">
        <f t="shared" si="26"/>
        <v>#VALUE!</v>
      </c>
      <c r="O18" s="400" t="e">
        <f t="shared" si="26"/>
        <v>#VALUE!</v>
      </c>
      <c r="P18" s="400" t="e">
        <f t="shared" si="26"/>
        <v>#VALUE!</v>
      </c>
      <c r="Q18" s="400" t="e">
        <f t="shared" si="26"/>
        <v>#VALUE!</v>
      </c>
      <c r="R18" s="400" t="e">
        <f t="shared" si="26"/>
        <v>#VALUE!</v>
      </c>
      <c r="S18" s="400" t="e">
        <f t="shared" si="26"/>
        <v>#VALUE!</v>
      </c>
      <c r="T18" s="400" t="e">
        <f t="shared" si="26"/>
        <v>#VALUE!</v>
      </c>
      <c r="U18" s="400" t="e">
        <f t="shared" si="26"/>
        <v>#VALUE!</v>
      </c>
      <c r="V18" s="400" t="e">
        <f t="shared" si="26"/>
        <v>#VALUE!</v>
      </c>
      <c r="W18" s="400" t="e">
        <f t="shared" si="26"/>
        <v>#VALUE!</v>
      </c>
      <c r="X18" s="400" t="e">
        <f t="shared" si="26"/>
        <v>#VALUE!</v>
      </c>
      <c r="Y18" s="400" t="e">
        <f t="shared" si="26"/>
        <v>#VALUE!</v>
      </c>
      <c r="Z18" s="400" t="e">
        <f t="shared" si="26"/>
        <v>#VALUE!</v>
      </c>
      <c r="AA18" s="400" t="e">
        <f t="shared" si="26"/>
        <v>#VALUE!</v>
      </c>
      <c r="AB18" s="400" t="e">
        <f t="shared" si="26"/>
        <v>#VALUE!</v>
      </c>
      <c r="AC18" s="400" t="e">
        <f t="shared" si="26"/>
        <v>#VALUE!</v>
      </c>
      <c r="AD18" s="400" t="e">
        <f t="shared" si="26"/>
        <v>#VALUE!</v>
      </c>
      <c r="AE18" s="400" t="e">
        <f t="shared" si="26"/>
        <v>#VALUE!</v>
      </c>
      <c r="AF18" s="400" t="e">
        <f t="shared" si="26"/>
        <v>#VALUE!</v>
      </c>
      <c r="AG18" s="400" t="e">
        <f t="shared" si="26"/>
        <v>#VALUE!</v>
      </c>
      <c r="AH18" s="400" t="e">
        <f t="shared" si="26"/>
        <v>#VALUE!</v>
      </c>
      <c r="AI18" s="400" t="e">
        <f t="shared" si="26"/>
        <v>#VALUE!</v>
      </c>
      <c r="AJ18" s="400" t="e">
        <f t="shared" si="26"/>
        <v>#VALUE!</v>
      </c>
      <c r="AK18" s="400" t="e">
        <f t="shared" si="26"/>
        <v>#VALUE!</v>
      </c>
      <c r="AL18" s="400" t="e">
        <f t="shared" si="26"/>
        <v>#VALUE!</v>
      </c>
      <c r="AM18" s="400" t="e">
        <f t="shared" si="26"/>
        <v>#VALUE!</v>
      </c>
      <c r="AN18" s="400" t="e">
        <f t="shared" si="26"/>
        <v>#VALUE!</v>
      </c>
      <c r="AO18" s="400" t="e">
        <f t="shared" si="26"/>
        <v>#VALUE!</v>
      </c>
      <c r="AP18" s="400" t="e">
        <f t="shared" si="26"/>
        <v>#VALUE!</v>
      </c>
      <c r="AQ18" s="400" t="e">
        <f t="shared" si="26"/>
        <v>#VALUE!</v>
      </c>
      <c r="AR18" s="400" t="e">
        <f t="shared" si="26"/>
        <v>#VALUE!</v>
      </c>
      <c r="AS18" s="400" t="e">
        <f t="shared" si="26"/>
        <v>#VALUE!</v>
      </c>
      <c r="AT18" s="400" t="e">
        <f t="shared" si="26"/>
        <v>#VALUE!</v>
      </c>
      <c r="AU18" s="400" t="e">
        <f t="shared" si="26"/>
        <v>#VALUE!</v>
      </c>
      <c r="AV18" s="400" t="e">
        <f t="shared" si="26"/>
        <v>#VALUE!</v>
      </c>
      <c r="AW18" s="400" t="e">
        <f t="shared" si="26"/>
        <v>#VALUE!</v>
      </c>
      <c r="AX18" s="400" t="e">
        <f t="shared" si="26"/>
        <v>#VALUE!</v>
      </c>
      <c r="AY18" s="400" t="e">
        <f t="shared" si="26"/>
        <v>#VALUE!</v>
      </c>
      <c r="AZ18" s="400" t="e">
        <f t="shared" si="26"/>
        <v>#VALUE!</v>
      </c>
      <c r="BA18" s="400" t="e">
        <f t="shared" si="26"/>
        <v>#VALUE!</v>
      </c>
      <c r="BB18" s="400" t="e">
        <f t="shared" si="26"/>
        <v>#VALUE!</v>
      </c>
      <c r="BC18" s="400" t="e">
        <f t="shared" si="26"/>
        <v>#VALUE!</v>
      </c>
      <c r="BD18" s="400" t="e">
        <f t="shared" si="26"/>
        <v>#VALUE!</v>
      </c>
      <c r="BE18" s="400" t="e">
        <f t="shared" si="26"/>
        <v>#VALUE!</v>
      </c>
      <c r="BF18" s="400" t="e">
        <f t="shared" si="26"/>
        <v>#VALUE!</v>
      </c>
      <c r="BG18" s="400" t="e">
        <f t="shared" si="26"/>
        <v>#VALUE!</v>
      </c>
      <c r="BH18" s="400" t="e">
        <f t="shared" si="26"/>
        <v>#VALUE!</v>
      </c>
      <c r="BI18" s="400" t="e">
        <f t="shared" si="26"/>
        <v>#VALUE!</v>
      </c>
      <c r="BJ18" s="400" t="e">
        <f t="shared" si="26"/>
        <v>#VALUE!</v>
      </c>
      <c r="BK18" s="400" t="e">
        <f t="shared" si="26"/>
        <v>#VALUE!</v>
      </c>
      <c r="BL18" s="400" t="e">
        <f t="shared" si="26"/>
        <v>#VALUE!</v>
      </c>
      <c r="BM18" s="400" t="e">
        <f t="shared" si="26"/>
        <v>#VALUE!</v>
      </c>
      <c r="BN18" s="400" t="e">
        <f t="shared" si="26"/>
        <v>#VALUE!</v>
      </c>
      <c r="BO18" s="400" t="e">
        <f t="shared" si="26"/>
        <v>#VALUE!</v>
      </c>
      <c r="BP18" s="400" t="e">
        <f t="shared" si="26"/>
        <v>#VALUE!</v>
      </c>
      <c r="BQ18" s="400" t="e">
        <f t="shared" si="26"/>
        <v>#VALUE!</v>
      </c>
      <c r="BR18" s="400" t="e">
        <f t="shared" ref="BR18:EC18" si="27">(BR17-BQ17)/ABS(BQ17)</f>
        <v>#VALUE!</v>
      </c>
      <c r="BS18" s="400" t="e">
        <f t="shared" si="27"/>
        <v>#VALUE!</v>
      </c>
      <c r="BT18" s="400" t="e">
        <f t="shared" si="27"/>
        <v>#VALUE!</v>
      </c>
      <c r="BU18" s="400" t="e">
        <f t="shared" si="27"/>
        <v>#VALUE!</v>
      </c>
      <c r="BV18" s="400" t="e">
        <f t="shared" si="27"/>
        <v>#VALUE!</v>
      </c>
      <c r="BW18" s="400" t="e">
        <f t="shared" si="27"/>
        <v>#VALUE!</v>
      </c>
      <c r="BX18" s="400" t="e">
        <f t="shared" si="27"/>
        <v>#VALUE!</v>
      </c>
      <c r="BY18" s="400" t="e">
        <f t="shared" si="27"/>
        <v>#VALUE!</v>
      </c>
      <c r="BZ18" s="400" t="e">
        <f t="shared" si="27"/>
        <v>#VALUE!</v>
      </c>
      <c r="CA18" s="400" t="e">
        <f t="shared" si="27"/>
        <v>#VALUE!</v>
      </c>
      <c r="CB18" s="400" t="e">
        <f t="shared" si="27"/>
        <v>#VALUE!</v>
      </c>
      <c r="CC18" s="400" t="e">
        <f t="shared" si="27"/>
        <v>#VALUE!</v>
      </c>
      <c r="CD18" s="400" t="e">
        <f t="shared" si="27"/>
        <v>#VALUE!</v>
      </c>
      <c r="CE18" s="400" t="e">
        <f t="shared" si="27"/>
        <v>#VALUE!</v>
      </c>
      <c r="CF18" s="400" t="e">
        <f t="shared" si="27"/>
        <v>#VALUE!</v>
      </c>
      <c r="CG18" s="400" t="e">
        <f t="shared" si="27"/>
        <v>#VALUE!</v>
      </c>
      <c r="CH18" s="400" t="e">
        <f t="shared" si="27"/>
        <v>#VALUE!</v>
      </c>
      <c r="CI18" s="400" t="e">
        <f t="shared" si="27"/>
        <v>#VALUE!</v>
      </c>
      <c r="CJ18" s="400" t="e">
        <f t="shared" si="27"/>
        <v>#VALUE!</v>
      </c>
      <c r="CK18" s="400" t="e">
        <f t="shared" si="27"/>
        <v>#VALUE!</v>
      </c>
      <c r="CL18" s="400" t="e">
        <f t="shared" si="27"/>
        <v>#VALUE!</v>
      </c>
      <c r="CM18" s="400" t="e">
        <f t="shared" si="27"/>
        <v>#VALUE!</v>
      </c>
      <c r="CN18" s="400" t="e">
        <f t="shared" si="27"/>
        <v>#VALUE!</v>
      </c>
      <c r="CO18" s="400" t="e">
        <f t="shared" si="27"/>
        <v>#VALUE!</v>
      </c>
      <c r="CP18" s="400" t="e">
        <f t="shared" si="27"/>
        <v>#VALUE!</v>
      </c>
      <c r="CQ18" s="400" t="e">
        <f t="shared" si="27"/>
        <v>#VALUE!</v>
      </c>
      <c r="CR18" s="400" t="e">
        <f t="shared" si="27"/>
        <v>#VALUE!</v>
      </c>
      <c r="CS18" s="400" t="e">
        <f t="shared" si="27"/>
        <v>#VALUE!</v>
      </c>
      <c r="CT18" s="400" t="e">
        <f t="shared" si="27"/>
        <v>#VALUE!</v>
      </c>
      <c r="CU18" s="400" t="e">
        <f t="shared" si="27"/>
        <v>#VALUE!</v>
      </c>
      <c r="CV18" s="400" t="e">
        <f t="shared" si="27"/>
        <v>#VALUE!</v>
      </c>
      <c r="CW18" s="400" t="e">
        <f t="shared" si="27"/>
        <v>#VALUE!</v>
      </c>
      <c r="CX18" s="400" t="e">
        <f t="shared" si="27"/>
        <v>#VALUE!</v>
      </c>
      <c r="CY18" s="400" t="e">
        <f t="shared" si="27"/>
        <v>#VALUE!</v>
      </c>
      <c r="CZ18" s="400" t="e">
        <f t="shared" si="27"/>
        <v>#VALUE!</v>
      </c>
      <c r="DA18" s="400" t="e">
        <f t="shared" si="27"/>
        <v>#VALUE!</v>
      </c>
      <c r="DB18" s="400" t="e">
        <f t="shared" si="27"/>
        <v>#VALUE!</v>
      </c>
      <c r="DC18" s="400" t="e">
        <f t="shared" si="27"/>
        <v>#VALUE!</v>
      </c>
      <c r="DD18" s="400" t="e">
        <f t="shared" si="27"/>
        <v>#VALUE!</v>
      </c>
      <c r="DE18" s="400" t="e">
        <f t="shared" si="27"/>
        <v>#VALUE!</v>
      </c>
      <c r="DF18" s="400" t="e">
        <f t="shared" si="27"/>
        <v>#VALUE!</v>
      </c>
      <c r="DG18" s="400" t="e">
        <f t="shared" si="27"/>
        <v>#VALUE!</v>
      </c>
      <c r="DH18" s="400" t="e">
        <f t="shared" si="27"/>
        <v>#VALUE!</v>
      </c>
      <c r="DI18" s="400" t="e">
        <f t="shared" si="27"/>
        <v>#VALUE!</v>
      </c>
      <c r="DJ18" s="400" t="e">
        <f t="shared" si="27"/>
        <v>#VALUE!</v>
      </c>
      <c r="DK18" s="400" t="e">
        <f t="shared" si="27"/>
        <v>#VALUE!</v>
      </c>
      <c r="DL18" s="400" t="e">
        <f t="shared" si="27"/>
        <v>#VALUE!</v>
      </c>
      <c r="DM18" s="400" t="e">
        <f t="shared" si="27"/>
        <v>#VALUE!</v>
      </c>
      <c r="DN18" s="400" t="e">
        <f t="shared" si="27"/>
        <v>#VALUE!</v>
      </c>
      <c r="DO18" s="400" t="e">
        <f t="shared" si="27"/>
        <v>#VALUE!</v>
      </c>
      <c r="DP18" s="400" t="e">
        <f t="shared" si="27"/>
        <v>#VALUE!</v>
      </c>
      <c r="DQ18" s="400" t="e">
        <f t="shared" si="27"/>
        <v>#VALUE!</v>
      </c>
      <c r="DR18" s="400" t="e">
        <f t="shared" si="27"/>
        <v>#VALUE!</v>
      </c>
      <c r="DS18" s="400" t="e">
        <f t="shared" si="27"/>
        <v>#VALUE!</v>
      </c>
      <c r="DT18" s="400" t="e">
        <f t="shared" si="27"/>
        <v>#VALUE!</v>
      </c>
      <c r="DU18" s="400" t="e">
        <f t="shared" si="27"/>
        <v>#VALUE!</v>
      </c>
      <c r="DV18" s="400" t="e">
        <f t="shared" si="27"/>
        <v>#VALUE!</v>
      </c>
      <c r="DW18" s="400" t="e">
        <f t="shared" si="27"/>
        <v>#VALUE!</v>
      </c>
      <c r="DX18" s="400" t="e">
        <f t="shared" si="27"/>
        <v>#VALUE!</v>
      </c>
      <c r="DY18" s="400" t="e">
        <f t="shared" si="27"/>
        <v>#VALUE!</v>
      </c>
      <c r="DZ18" s="400" t="e">
        <f t="shared" si="27"/>
        <v>#VALUE!</v>
      </c>
      <c r="EA18" s="400" t="e">
        <f t="shared" si="27"/>
        <v>#VALUE!</v>
      </c>
      <c r="EB18" s="400" t="e">
        <f t="shared" si="27"/>
        <v>#VALUE!</v>
      </c>
      <c r="EC18" s="400" t="e">
        <f t="shared" si="27"/>
        <v>#VALUE!</v>
      </c>
      <c r="ED18" s="400" t="e">
        <f t="shared" ref="ED18:GO18" si="28">(ED17-EC17)/ABS(EC17)</f>
        <v>#VALUE!</v>
      </c>
      <c r="EE18" s="400" t="e">
        <f t="shared" si="28"/>
        <v>#VALUE!</v>
      </c>
      <c r="EF18" s="400" t="e">
        <f t="shared" si="28"/>
        <v>#VALUE!</v>
      </c>
      <c r="EG18" s="400" t="e">
        <f t="shared" si="28"/>
        <v>#VALUE!</v>
      </c>
      <c r="EH18" s="400" t="e">
        <f t="shared" si="28"/>
        <v>#VALUE!</v>
      </c>
      <c r="EI18" s="400" t="e">
        <f t="shared" si="28"/>
        <v>#VALUE!</v>
      </c>
      <c r="EJ18" s="400" t="e">
        <f t="shared" si="28"/>
        <v>#VALUE!</v>
      </c>
      <c r="EK18" s="400" t="e">
        <f t="shared" si="28"/>
        <v>#VALUE!</v>
      </c>
      <c r="EL18" s="400" t="e">
        <f t="shared" si="28"/>
        <v>#VALUE!</v>
      </c>
      <c r="EM18" s="400" t="e">
        <f t="shared" si="28"/>
        <v>#VALUE!</v>
      </c>
      <c r="EN18" s="400" t="e">
        <f t="shared" si="28"/>
        <v>#VALUE!</v>
      </c>
      <c r="EO18" s="400" t="e">
        <f t="shared" si="28"/>
        <v>#VALUE!</v>
      </c>
      <c r="EP18" s="400" t="e">
        <f t="shared" si="28"/>
        <v>#VALUE!</v>
      </c>
      <c r="EQ18" s="400" t="e">
        <f t="shared" si="28"/>
        <v>#VALUE!</v>
      </c>
      <c r="ER18" s="400" t="e">
        <f t="shared" si="28"/>
        <v>#VALUE!</v>
      </c>
      <c r="ES18" s="400" t="e">
        <f t="shared" si="28"/>
        <v>#VALUE!</v>
      </c>
      <c r="ET18" s="400" t="e">
        <f t="shared" si="28"/>
        <v>#VALUE!</v>
      </c>
      <c r="EU18" s="400" t="e">
        <f t="shared" si="28"/>
        <v>#VALUE!</v>
      </c>
      <c r="EV18" s="400" t="e">
        <f t="shared" si="28"/>
        <v>#VALUE!</v>
      </c>
      <c r="EW18" s="400" t="e">
        <f t="shared" si="28"/>
        <v>#VALUE!</v>
      </c>
      <c r="EX18" s="400" t="e">
        <f t="shared" si="28"/>
        <v>#VALUE!</v>
      </c>
      <c r="EY18" s="400" t="e">
        <f t="shared" si="28"/>
        <v>#VALUE!</v>
      </c>
      <c r="EZ18" s="400" t="e">
        <f t="shared" si="28"/>
        <v>#VALUE!</v>
      </c>
      <c r="FA18" s="400" t="e">
        <f t="shared" si="28"/>
        <v>#VALUE!</v>
      </c>
      <c r="FB18" s="400" t="e">
        <f t="shared" si="28"/>
        <v>#VALUE!</v>
      </c>
      <c r="FC18" s="400" t="e">
        <f t="shared" si="28"/>
        <v>#VALUE!</v>
      </c>
      <c r="FD18" s="400" t="e">
        <f t="shared" si="28"/>
        <v>#VALUE!</v>
      </c>
      <c r="FE18" s="400" t="e">
        <f t="shared" si="28"/>
        <v>#VALUE!</v>
      </c>
      <c r="FF18" s="400" t="e">
        <f t="shared" si="28"/>
        <v>#VALUE!</v>
      </c>
      <c r="FG18" s="400" t="e">
        <f t="shared" si="28"/>
        <v>#VALUE!</v>
      </c>
      <c r="FH18" s="400" t="e">
        <f t="shared" si="28"/>
        <v>#VALUE!</v>
      </c>
      <c r="FI18" s="400" t="e">
        <f t="shared" si="28"/>
        <v>#VALUE!</v>
      </c>
      <c r="FJ18" s="400" t="e">
        <f t="shared" si="28"/>
        <v>#VALUE!</v>
      </c>
      <c r="FK18" s="400" t="e">
        <f t="shared" si="28"/>
        <v>#VALUE!</v>
      </c>
      <c r="FL18" s="400" t="e">
        <f t="shared" si="28"/>
        <v>#VALUE!</v>
      </c>
      <c r="FM18" s="400" t="e">
        <f t="shared" si="28"/>
        <v>#VALUE!</v>
      </c>
      <c r="FN18" s="400" t="e">
        <f t="shared" si="28"/>
        <v>#VALUE!</v>
      </c>
      <c r="FO18" s="400" t="e">
        <f t="shared" si="28"/>
        <v>#VALUE!</v>
      </c>
      <c r="FP18" s="400" t="e">
        <f t="shared" si="28"/>
        <v>#VALUE!</v>
      </c>
      <c r="FQ18" s="400" t="e">
        <f t="shared" si="28"/>
        <v>#VALUE!</v>
      </c>
      <c r="FR18" s="400" t="e">
        <f t="shared" si="28"/>
        <v>#VALUE!</v>
      </c>
      <c r="FS18" s="400" t="e">
        <f t="shared" si="28"/>
        <v>#VALUE!</v>
      </c>
      <c r="FT18" s="400" t="e">
        <f t="shared" si="28"/>
        <v>#VALUE!</v>
      </c>
      <c r="FU18" s="400" t="e">
        <f t="shared" si="28"/>
        <v>#VALUE!</v>
      </c>
      <c r="FV18" s="400" t="e">
        <f t="shared" si="28"/>
        <v>#VALUE!</v>
      </c>
      <c r="FW18" s="400" t="e">
        <f t="shared" si="28"/>
        <v>#VALUE!</v>
      </c>
      <c r="FX18" s="400" t="e">
        <f t="shared" si="28"/>
        <v>#VALUE!</v>
      </c>
      <c r="FY18" s="400" t="e">
        <f t="shared" si="28"/>
        <v>#VALUE!</v>
      </c>
      <c r="FZ18" s="400" t="e">
        <f t="shared" si="28"/>
        <v>#VALUE!</v>
      </c>
      <c r="GA18" s="400" t="e">
        <f t="shared" si="28"/>
        <v>#VALUE!</v>
      </c>
      <c r="GB18" s="400" t="e">
        <f t="shared" si="28"/>
        <v>#VALUE!</v>
      </c>
      <c r="GC18" s="400" t="e">
        <f t="shared" si="28"/>
        <v>#VALUE!</v>
      </c>
      <c r="GD18" s="400" t="e">
        <f t="shared" si="28"/>
        <v>#VALUE!</v>
      </c>
      <c r="GE18" s="400" t="e">
        <f t="shared" si="28"/>
        <v>#VALUE!</v>
      </c>
      <c r="GF18" s="400" t="e">
        <f t="shared" si="28"/>
        <v>#VALUE!</v>
      </c>
      <c r="GG18" s="400" t="e">
        <f t="shared" si="28"/>
        <v>#VALUE!</v>
      </c>
      <c r="GH18" s="400" t="e">
        <f t="shared" si="28"/>
        <v>#VALUE!</v>
      </c>
      <c r="GI18" s="400" t="e">
        <f t="shared" si="28"/>
        <v>#VALUE!</v>
      </c>
      <c r="GJ18" s="400" t="e">
        <f t="shared" si="28"/>
        <v>#VALUE!</v>
      </c>
      <c r="GK18" s="400" t="e">
        <f t="shared" si="28"/>
        <v>#VALUE!</v>
      </c>
      <c r="GL18" s="400" t="e">
        <f t="shared" si="28"/>
        <v>#VALUE!</v>
      </c>
      <c r="GM18" s="400" t="e">
        <f t="shared" si="28"/>
        <v>#VALUE!</v>
      </c>
      <c r="GN18" s="400" t="e">
        <f t="shared" si="28"/>
        <v>#VALUE!</v>
      </c>
      <c r="GO18" s="400" t="e">
        <f t="shared" si="28"/>
        <v>#VALUE!</v>
      </c>
      <c r="GP18" s="400" t="e">
        <f t="shared" ref="GP18:JA18" si="29">(GP17-GO17)/ABS(GO17)</f>
        <v>#VALUE!</v>
      </c>
      <c r="GQ18" s="400" t="e">
        <f t="shared" si="29"/>
        <v>#VALUE!</v>
      </c>
      <c r="GR18" s="400" t="e">
        <f t="shared" si="29"/>
        <v>#VALUE!</v>
      </c>
      <c r="GS18" s="400" t="e">
        <f t="shared" si="29"/>
        <v>#VALUE!</v>
      </c>
      <c r="GT18" s="400" t="e">
        <f t="shared" si="29"/>
        <v>#VALUE!</v>
      </c>
      <c r="GU18" s="400" t="e">
        <f t="shared" si="29"/>
        <v>#VALUE!</v>
      </c>
      <c r="GV18" s="400" t="e">
        <f t="shared" si="29"/>
        <v>#VALUE!</v>
      </c>
      <c r="GW18" s="400" t="e">
        <f t="shared" si="29"/>
        <v>#VALUE!</v>
      </c>
      <c r="GX18" s="400" t="e">
        <f t="shared" si="29"/>
        <v>#VALUE!</v>
      </c>
      <c r="GY18" s="400" t="e">
        <f t="shared" si="29"/>
        <v>#VALUE!</v>
      </c>
      <c r="GZ18" s="400" t="e">
        <f t="shared" si="29"/>
        <v>#VALUE!</v>
      </c>
      <c r="HA18" s="400" t="e">
        <f t="shared" si="29"/>
        <v>#VALUE!</v>
      </c>
      <c r="HB18" s="400" t="e">
        <f t="shared" si="29"/>
        <v>#VALUE!</v>
      </c>
      <c r="HC18" s="400" t="e">
        <f t="shared" si="29"/>
        <v>#VALUE!</v>
      </c>
      <c r="HD18" s="400" t="e">
        <f t="shared" si="29"/>
        <v>#VALUE!</v>
      </c>
      <c r="HE18" s="400" t="e">
        <f t="shared" si="29"/>
        <v>#VALUE!</v>
      </c>
      <c r="HF18" s="400" t="e">
        <f t="shared" si="29"/>
        <v>#VALUE!</v>
      </c>
      <c r="HG18" s="400" t="e">
        <f t="shared" si="29"/>
        <v>#VALUE!</v>
      </c>
      <c r="HH18" s="400" t="e">
        <f t="shared" si="29"/>
        <v>#VALUE!</v>
      </c>
      <c r="HI18" s="400" t="e">
        <f t="shared" si="29"/>
        <v>#VALUE!</v>
      </c>
      <c r="HJ18" s="400" t="e">
        <f t="shared" si="29"/>
        <v>#VALUE!</v>
      </c>
      <c r="HK18" s="400" t="e">
        <f t="shared" si="29"/>
        <v>#VALUE!</v>
      </c>
      <c r="HL18" s="400" t="e">
        <f t="shared" si="29"/>
        <v>#VALUE!</v>
      </c>
      <c r="HM18" s="400" t="e">
        <f t="shared" si="29"/>
        <v>#VALUE!</v>
      </c>
      <c r="HN18" s="400" t="e">
        <f t="shared" si="29"/>
        <v>#VALUE!</v>
      </c>
      <c r="HO18" s="400" t="e">
        <f t="shared" si="29"/>
        <v>#VALUE!</v>
      </c>
      <c r="HP18" s="400" t="e">
        <f t="shared" si="29"/>
        <v>#VALUE!</v>
      </c>
      <c r="HQ18" s="400" t="e">
        <f t="shared" si="29"/>
        <v>#VALUE!</v>
      </c>
      <c r="HR18" s="400" t="e">
        <f t="shared" si="29"/>
        <v>#VALUE!</v>
      </c>
      <c r="HS18" s="400" t="e">
        <f t="shared" si="29"/>
        <v>#VALUE!</v>
      </c>
      <c r="HT18" s="400" t="e">
        <f t="shared" si="29"/>
        <v>#VALUE!</v>
      </c>
      <c r="HU18" s="400" t="e">
        <f t="shared" si="29"/>
        <v>#VALUE!</v>
      </c>
      <c r="HV18" s="400" t="e">
        <f t="shared" si="29"/>
        <v>#VALUE!</v>
      </c>
      <c r="HW18" s="400" t="e">
        <f t="shared" si="29"/>
        <v>#VALUE!</v>
      </c>
      <c r="HX18" s="400" t="e">
        <f t="shared" si="29"/>
        <v>#VALUE!</v>
      </c>
      <c r="HY18" s="400" t="e">
        <f t="shared" si="29"/>
        <v>#VALUE!</v>
      </c>
      <c r="HZ18" s="400" t="e">
        <f t="shared" si="29"/>
        <v>#VALUE!</v>
      </c>
      <c r="IA18" s="400" t="e">
        <f t="shared" si="29"/>
        <v>#VALUE!</v>
      </c>
      <c r="IB18" s="400" t="e">
        <f t="shared" si="29"/>
        <v>#VALUE!</v>
      </c>
      <c r="IC18" s="400" t="e">
        <f t="shared" si="29"/>
        <v>#VALUE!</v>
      </c>
      <c r="ID18" s="400" t="e">
        <f t="shared" si="29"/>
        <v>#VALUE!</v>
      </c>
      <c r="IE18" s="400" t="e">
        <f t="shared" si="29"/>
        <v>#VALUE!</v>
      </c>
      <c r="IF18" s="400" t="e">
        <f t="shared" si="29"/>
        <v>#VALUE!</v>
      </c>
      <c r="IG18" s="400" t="e">
        <f t="shared" si="29"/>
        <v>#VALUE!</v>
      </c>
      <c r="IH18" s="400" t="e">
        <f t="shared" si="29"/>
        <v>#VALUE!</v>
      </c>
      <c r="II18" s="400" t="e">
        <f t="shared" si="29"/>
        <v>#VALUE!</v>
      </c>
      <c r="IJ18" s="400" t="e">
        <f t="shared" si="29"/>
        <v>#VALUE!</v>
      </c>
      <c r="IK18" s="400" t="e">
        <f t="shared" si="29"/>
        <v>#VALUE!</v>
      </c>
      <c r="IL18" s="400" t="e">
        <f t="shared" si="29"/>
        <v>#VALUE!</v>
      </c>
      <c r="IM18" s="400" t="e">
        <f t="shared" si="29"/>
        <v>#VALUE!</v>
      </c>
      <c r="IN18" s="400" t="e">
        <f t="shared" si="29"/>
        <v>#VALUE!</v>
      </c>
      <c r="IO18" s="400" t="e">
        <f t="shared" si="29"/>
        <v>#VALUE!</v>
      </c>
      <c r="IP18" s="400" t="e">
        <f t="shared" si="29"/>
        <v>#VALUE!</v>
      </c>
      <c r="IQ18" s="400" t="e">
        <f t="shared" si="29"/>
        <v>#VALUE!</v>
      </c>
      <c r="IR18" s="400" t="e">
        <f t="shared" si="29"/>
        <v>#VALUE!</v>
      </c>
      <c r="IS18" s="400" t="e">
        <f t="shared" si="29"/>
        <v>#VALUE!</v>
      </c>
      <c r="IT18" s="400" t="e">
        <f t="shared" si="29"/>
        <v>#VALUE!</v>
      </c>
      <c r="IU18" s="400" t="e">
        <f t="shared" si="29"/>
        <v>#VALUE!</v>
      </c>
      <c r="IV18" s="400" t="e">
        <f t="shared" si="29"/>
        <v>#VALUE!</v>
      </c>
      <c r="IW18" s="400" t="e">
        <f t="shared" si="29"/>
        <v>#VALUE!</v>
      </c>
      <c r="IX18" s="400" t="e">
        <f t="shared" si="29"/>
        <v>#VALUE!</v>
      </c>
      <c r="IY18" s="400" t="e">
        <f t="shared" si="29"/>
        <v>#VALUE!</v>
      </c>
      <c r="IZ18" s="400" t="e">
        <f t="shared" si="29"/>
        <v>#VALUE!</v>
      </c>
      <c r="JA18" s="400" t="e">
        <f t="shared" si="29"/>
        <v>#VALUE!</v>
      </c>
      <c r="JB18" s="400" t="e">
        <f t="shared" ref="JB18:LM18" si="30">(JB17-JA17)/ABS(JA17)</f>
        <v>#VALUE!</v>
      </c>
      <c r="JC18" s="400" t="e">
        <f t="shared" si="30"/>
        <v>#VALUE!</v>
      </c>
      <c r="JD18" s="400" t="e">
        <f t="shared" si="30"/>
        <v>#VALUE!</v>
      </c>
      <c r="JE18" s="400" t="e">
        <f t="shared" si="30"/>
        <v>#VALUE!</v>
      </c>
      <c r="JF18" s="400" t="e">
        <f t="shared" si="30"/>
        <v>#VALUE!</v>
      </c>
      <c r="JG18" s="400" t="e">
        <f t="shared" si="30"/>
        <v>#VALUE!</v>
      </c>
      <c r="JH18" s="400" t="e">
        <f t="shared" si="30"/>
        <v>#VALUE!</v>
      </c>
      <c r="JI18" s="400" t="e">
        <f t="shared" si="30"/>
        <v>#VALUE!</v>
      </c>
      <c r="JJ18" s="400" t="e">
        <f t="shared" si="30"/>
        <v>#VALUE!</v>
      </c>
      <c r="JK18" s="400" t="e">
        <f t="shared" si="30"/>
        <v>#VALUE!</v>
      </c>
      <c r="JL18" s="400" t="e">
        <f t="shared" si="30"/>
        <v>#VALUE!</v>
      </c>
      <c r="JM18" s="400" t="e">
        <f t="shared" si="30"/>
        <v>#VALUE!</v>
      </c>
      <c r="JN18" s="400" t="e">
        <f t="shared" si="30"/>
        <v>#VALUE!</v>
      </c>
      <c r="JO18" s="400" t="e">
        <f t="shared" si="30"/>
        <v>#VALUE!</v>
      </c>
      <c r="JP18" s="400" t="e">
        <f t="shared" si="30"/>
        <v>#VALUE!</v>
      </c>
      <c r="JQ18" s="400" t="e">
        <f t="shared" si="30"/>
        <v>#VALUE!</v>
      </c>
      <c r="JR18" s="400" t="e">
        <f t="shared" si="30"/>
        <v>#VALUE!</v>
      </c>
      <c r="JS18" s="400" t="e">
        <f t="shared" si="30"/>
        <v>#VALUE!</v>
      </c>
      <c r="JT18" s="400" t="e">
        <f t="shared" si="30"/>
        <v>#VALUE!</v>
      </c>
      <c r="JU18" s="400" t="e">
        <f t="shared" si="30"/>
        <v>#VALUE!</v>
      </c>
      <c r="JV18" s="400" t="e">
        <f t="shared" si="30"/>
        <v>#VALUE!</v>
      </c>
      <c r="JW18" s="400" t="e">
        <f t="shared" si="30"/>
        <v>#VALUE!</v>
      </c>
      <c r="JX18" s="400" t="e">
        <f t="shared" si="30"/>
        <v>#VALUE!</v>
      </c>
      <c r="JY18" s="400" t="e">
        <f t="shared" si="30"/>
        <v>#VALUE!</v>
      </c>
      <c r="JZ18" s="400" t="e">
        <f t="shared" si="30"/>
        <v>#VALUE!</v>
      </c>
      <c r="KA18" s="400" t="e">
        <f t="shared" si="30"/>
        <v>#VALUE!</v>
      </c>
      <c r="KB18" s="400" t="e">
        <f t="shared" si="30"/>
        <v>#VALUE!</v>
      </c>
      <c r="KC18" s="400" t="e">
        <f t="shared" si="30"/>
        <v>#VALUE!</v>
      </c>
      <c r="KD18" s="400" t="e">
        <f t="shared" si="30"/>
        <v>#VALUE!</v>
      </c>
      <c r="KE18" s="400" t="e">
        <f t="shared" si="30"/>
        <v>#VALUE!</v>
      </c>
      <c r="KF18" s="400" t="e">
        <f t="shared" si="30"/>
        <v>#VALUE!</v>
      </c>
      <c r="KG18" s="400" t="e">
        <f t="shared" si="30"/>
        <v>#VALUE!</v>
      </c>
      <c r="KH18" s="400" t="e">
        <f t="shared" si="30"/>
        <v>#VALUE!</v>
      </c>
      <c r="KI18" s="400" t="e">
        <f t="shared" si="30"/>
        <v>#VALUE!</v>
      </c>
      <c r="KJ18" s="400" t="e">
        <f t="shared" si="30"/>
        <v>#VALUE!</v>
      </c>
      <c r="KK18" s="400" t="e">
        <f t="shared" si="30"/>
        <v>#VALUE!</v>
      </c>
      <c r="KL18" s="400" t="e">
        <f t="shared" si="30"/>
        <v>#VALUE!</v>
      </c>
      <c r="KM18" s="400" t="e">
        <f t="shared" si="30"/>
        <v>#VALUE!</v>
      </c>
      <c r="KN18" s="400" t="e">
        <f t="shared" si="30"/>
        <v>#VALUE!</v>
      </c>
      <c r="KO18" s="400" t="e">
        <f t="shared" si="30"/>
        <v>#VALUE!</v>
      </c>
      <c r="KP18" s="400" t="e">
        <f t="shared" si="30"/>
        <v>#VALUE!</v>
      </c>
      <c r="KQ18" s="400" t="e">
        <f t="shared" si="30"/>
        <v>#VALUE!</v>
      </c>
      <c r="KR18" s="400" t="e">
        <f t="shared" si="30"/>
        <v>#VALUE!</v>
      </c>
      <c r="KS18" s="400" t="e">
        <f t="shared" si="30"/>
        <v>#VALUE!</v>
      </c>
      <c r="KT18" s="400" t="e">
        <f t="shared" si="30"/>
        <v>#VALUE!</v>
      </c>
      <c r="KU18" s="400" t="e">
        <f t="shared" si="30"/>
        <v>#VALUE!</v>
      </c>
      <c r="KV18" s="400" t="e">
        <f t="shared" si="30"/>
        <v>#VALUE!</v>
      </c>
      <c r="KW18" s="400" t="e">
        <f t="shared" si="30"/>
        <v>#VALUE!</v>
      </c>
      <c r="KX18" s="400" t="e">
        <f t="shared" si="30"/>
        <v>#VALUE!</v>
      </c>
      <c r="KY18" s="400" t="e">
        <f t="shared" si="30"/>
        <v>#VALUE!</v>
      </c>
      <c r="KZ18" s="400" t="e">
        <f t="shared" si="30"/>
        <v>#VALUE!</v>
      </c>
      <c r="LA18" s="400" t="e">
        <f t="shared" si="30"/>
        <v>#VALUE!</v>
      </c>
      <c r="LB18" s="400" t="e">
        <f t="shared" si="30"/>
        <v>#VALUE!</v>
      </c>
      <c r="LC18" s="400" t="e">
        <f t="shared" si="30"/>
        <v>#VALUE!</v>
      </c>
      <c r="LD18" s="400" t="e">
        <f t="shared" si="30"/>
        <v>#VALUE!</v>
      </c>
      <c r="LE18" s="400" t="e">
        <f t="shared" si="30"/>
        <v>#VALUE!</v>
      </c>
      <c r="LF18" s="400" t="e">
        <f t="shared" si="30"/>
        <v>#VALUE!</v>
      </c>
      <c r="LG18" s="400" t="e">
        <f t="shared" si="30"/>
        <v>#VALUE!</v>
      </c>
      <c r="LH18" s="400" t="e">
        <f t="shared" si="30"/>
        <v>#VALUE!</v>
      </c>
      <c r="LI18" s="400" t="e">
        <f t="shared" si="30"/>
        <v>#VALUE!</v>
      </c>
      <c r="LJ18" s="400" t="e">
        <f t="shared" si="30"/>
        <v>#VALUE!</v>
      </c>
      <c r="LK18" s="400" t="e">
        <f t="shared" si="30"/>
        <v>#VALUE!</v>
      </c>
      <c r="LL18" s="400" t="e">
        <f t="shared" si="30"/>
        <v>#VALUE!</v>
      </c>
      <c r="LM18" s="400" t="e">
        <f t="shared" si="30"/>
        <v>#VALUE!</v>
      </c>
      <c r="LN18" s="400" t="e">
        <f t="shared" ref="LN18:NG18" si="31">(LN17-LM17)/ABS(LM17)</f>
        <v>#VALUE!</v>
      </c>
      <c r="LO18" s="400" t="e">
        <f t="shared" si="31"/>
        <v>#VALUE!</v>
      </c>
      <c r="LP18" s="400" t="e">
        <f t="shared" si="31"/>
        <v>#VALUE!</v>
      </c>
      <c r="LQ18" s="400" t="e">
        <f t="shared" si="31"/>
        <v>#VALUE!</v>
      </c>
      <c r="LR18" s="400" t="e">
        <f t="shared" si="31"/>
        <v>#VALUE!</v>
      </c>
      <c r="LS18" s="400" t="e">
        <f t="shared" si="31"/>
        <v>#VALUE!</v>
      </c>
      <c r="LT18" s="400" t="e">
        <f t="shared" si="31"/>
        <v>#VALUE!</v>
      </c>
      <c r="LU18" s="400" t="e">
        <f t="shared" si="31"/>
        <v>#VALUE!</v>
      </c>
      <c r="LV18" s="400" t="e">
        <f t="shared" si="31"/>
        <v>#VALUE!</v>
      </c>
      <c r="LW18" s="400" t="e">
        <f t="shared" si="31"/>
        <v>#VALUE!</v>
      </c>
      <c r="LX18" s="400" t="e">
        <f t="shared" si="31"/>
        <v>#VALUE!</v>
      </c>
      <c r="LY18" s="400" t="e">
        <f t="shared" si="31"/>
        <v>#VALUE!</v>
      </c>
      <c r="LZ18" s="400" t="e">
        <f t="shared" si="31"/>
        <v>#VALUE!</v>
      </c>
      <c r="MA18" s="400" t="e">
        <f t="shared" si="31"/>
        <v>#VALUE!</v>
      </c>
      <c r="MB18" s="400" t="e">
        <f t="shared" si="31"/>
        <v>#VALUE!</v>
      </c>
      <c r="MC18" s="400" t="e">
        <f t="shared" si="31"/>
        <v>#VALUE!</v>
      </c>
      <c r="MD18" s="400" t="e">
        <f t="shared" si="31"/>
        <v>#VALUE!</v>
      </c>
      <c r="ME18" s="400" t="e">
        <f t="shared" si="31"/>
        <v>#VALUE!</v>
      </c>
      <c r="MF18" s="400" t="e">
        <f t="shared" si="31"/>
        <v>#VALUE!</v>
      </c>
      <c r="MG18" s="400" t="e">
        <f t="shared" si="31"/>
        <v>#VALUE!</v>
      </c>
      <c r="MH18" s="400" t="e">
        <f t="shared" si="31"/>
        <v>#VALUE!</v>
      </c>
      <c r="MI18" s="400" t="e">
        <f t="shared" si="31"/>
        <v>#VALUE!</v>
      </c>
      <c r="MJ18" s="400" t="e">
        <f t="shared" si="31"/>
        <v>#VALUE!</v>
      </c>
      <c r="MK18" s="400" t="e">
        <f t="shared" si="31"/>
        <v>#VALUE!</v>
      </c>
      <c r="ML18" s="400" t="e">
        <f t="shared" si="31"/>
        <v>#VALUE!</v>
      </c>
      <c r="MM18" s="400" t="e">
        <f t="shared" si="31"/>
        <v>#VALUE!</v>
      </c>
      <c r="MN18" s="400" t="e">
        <f t="shared" si="31"/>
        <v>#VALUE!</v>
      </c>
      <c r="MO18" s="400" t="e">
        <f t="shared" si="31"/>
        <v>#VALUE!</v>
      </c>
      <c r="MP18" s="400" t="e">
        <f t="shared" si="31"/>
        <v>#VALUE!</v>
      </c>
      <c r="MQ18" s="400" t="e">
        <f t="shared" si="31"/>
        <v>#VALUE!</v>
      </c>
      <c r="MR18" s="400" t="e">
        <f t="shared" si="31"/>
        <v>#VALUE!</v>
      </c>
      <c r="MS18" s="400" t="e">
        <f t="shared" si="31"/>
        <v>#VALUE!</v>
      </c>
      <c r="MT18" s="400" t="e">
        <f t="shared" si="31"/>
        <v>#VALUE!</v>
      </c>
      <c r="MU18" s="400" t="e">
        <f t="shared" si="31"/>
        <v>#VALUE!</v>
      </c>
      <c r="MV18" s="400" t="e">
        <f t="shared" si="31"/>
        <v>#VALUE!</v>
      </c>
      <c r="MW18" s="400" t="e">
        <f t="shared" si="31"/>
        <v>#VALUE!</v>
      </c>
      <c r="MX18" s="400" t="e">
        <f t="shared" si="31"/>
        <v>#VALUE!</v>
      </c>
      <c r="MY18" s="400" t="e">
        <f t="shared" si="31"/>
        <v>#VALUE!</v>
      </c>
      <c r="MZ18" s="400" t="e">
        <f t="shared" si="31"/>
        <v>#VALUE!</v>
      </c>
      <c r="NA18" s="400" t="e">
        <f t="shared" si="31"/>
        <v>#VALUE!</v>
      </c>
      <c r="NB18" s="400" t="e">
        <f t="shared" si="31"/>
        <v>#VALUE!</v>
      </c>
      <c r="NC18" s="400" t="e">
        <f t="shared" si="31"/>
        <v>#VALUE!</v>
      </c>
      <c r="ND18" s="400" t="e">
        <f t="shared" si="31"/>
        <v>#VALUE!</v>
      </c>
      <c r="NE18" s="400" t="e">
        <f t="shared" si="31"/>
        <v>#VALUE!</v>
      </c>
      <c r="NF18" s="400" t="e">
        <f t="shared" si="31"/>
        <v>#VALUE!</v>
      </c>
      <c r="NG18" s="400" t="e">
        <f t="shared" si="31"/>
        <v>#VALUE!</v>
      </c>
    </row>
    <row r="44" spans="25:25" x14ac:dyDescent="0.3">
      <c r="Y44" s="78"/>
    </row>
    <row r="45" spans="25:25" x14ac:dyDescent="0.3">
      <c r="Y45" s="78"/>
    </row>
    <row r="46" spans="25:25" x14ac:dyDescent="0.3">
      <c r="Y46" s="78"/>
    </row>
    <row r="47" spans="25:25" x14ac:dyDescent="0.3">
      <c r="Y47" s="78"/>
    </row>
    <row r="48" spans="25:25" x14ac:dyDescent="0.3">
      <c r="Y48" s="78"/>
    </row>
    <row r="49" spans="25:25" x14ac:dyDescent="0.3">
      <c r="Y49" s="78"/>
    </row>
    <row r="50" spans="25:25" x14ac:dyDescent="0.3">
      <c r="Y50" s="78"/>
    </row>
    <row r="51" spans="25:25" x14ac:dyDescent="0.3">
      <c r="Y51" s="78"/>
    </row>
    <row r="52" spans="25:25" x14ac:dyDescent="0.3">
      <c r="Y52" s="78"/>
    </row>
    <row r="53" spans="25:25" x14ac:dyDescent="0.3">
      <c r="Y53" s="78"/>
    </row>
    <row r="54" spans="25:25" x14ac:dyDescent="0.3">
      <c r="Y54" s="78"/>
    </row>
    <row r="55" spans="25:25" x14ac:dyDescent="0.3">
      <c r="Y55" s="78"/>
    </row>
    <row r="56" spans="25:25" x14ac:dyDescent="0.3">
      <c r="Y56" s="78"/>
    </row>
    <row r="57" spans="25:25" x14ac:dyDescent="0.3">
      <c r="Y57" s="78"/>
    </row>
    <row r="58" spans="25:25" x14ac:dyDescent="0.3">
      <c r="Y58" s="78"/>
    </row>
    <row r="59" spans="25:25" x14ac:dyDescent="0.3">
      <c r="Y59" s="78"/>
    </row>
    <row r="60" spans="25:25" x14ac:dyDescent="0.3">
      <c r="Y60" s="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EAC3-EF14-4F79-846C-52CBB583E9C1}">
  <sheetPr>
    <tabColor theme="1"/>
    <pageSetUpPr fitToPage="1"/>
  </sheetPr>
  <dimension ref="B2:V62"/>
  <sheetViews>
    <sheetView showGridLines="0" topLeftCell="A8" zoomScale="70" zoomScaleNormal="70" workbookViewId="0">
      <selection activeCell="B3" sqref="B3:V61"/>
    </sheetView>
  </sheetViews>
  <sheetFormatPr defaultRowHeight="14.4" outlineLevelCol="1" x14ac:dyDescent="0.3"/>
  <cols>
    <col min="2" max="2" width="34" bestFit="1" customWidth="1"/>
    <col min="3" max="4" width="14.5546875" bestFit="1" customWidth="1"/>
    <col min="5" max="5" width="14.88671875" bestFit="1" customWidth="1" outlineLevel="1"/>
    <col min="6" max="6" width="13.77734375" bestFit="1" customWidth="1"/>
    <col min="7" max="7" width="13.8867187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2" spans="2:22" ht="15" thickBot="1" x14ac:dyDescent="0.35"/>
    <row r="3" spans="2:22" ht="15" thickTop="1" x14ac:dyDescent="0.3">
      <c r="B3" s="646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647"/>
    </row>
    <row r="4" spans="2:22" x14ac:dyDescent="0.3">
      <c r="B4" s="648"/>
      <c r="V4" s="146"/>
    </row>
    <row r="5" spans="2:22" x14ac:dyDescent="0.3">
      <c r="B5" s="648"/>
      <c r="V5" s="146"/>
    </row>
    <row r="6" spans="2:22" x14ac:dyDescent="0.3">
      <c r="B6" s="648"/>
      <c r="V6" s="146"/>
    </row>
    <row r="7" spans="2:22" ht="103.2" customHeight="1" x14ac:dyDescent="0.3">
      <c r="B7" s="648"/>
      <c r="V7" s="146"/>
    </row>
    <row r="8" spans="2:22" x14ac:dyDescent="0.3">
      <c r="B8" s="648"/>
      <c r="V8" s="146"/>
    </row>
    <row r="9" spans="2:22" x14ac:dyDescent="0.3">
      <c r="B9" s="648"/>
      <c r="C9" s="72">
        <v>45382</v>
      </c>
      <c r="D9" s="72">
        <v>45473</v>
      </c>
      <c r="E9" s="649"/>
      <c r="F9" s="72">
        <v>45565</v>
      </c>
      <c r="G9" s="649"/>
      <c r="H9" s="72">
        <v>45657</v>
      </c>
      <c r="I9" s="649"/>
      <c r="V9" s="146"/>
    </row>
    <row r="10" spans="2:22" ht="15.6" x14ac:dyDescent="0.3">
      <c r="B10" s="650"/>
      <c r="C10" s="303" t="s">
        <v>211</v>
      </c>
      <c r="D10" s="303" t="s">
        <v>212</v>
      </c>
      <c r="E10" s="604" t="s">
        <v>206</v>
      </c>
      <c r="F10" s="303" t="s">
        <v>213</v>
      </c>
      <c r="G10" s="604" t="s">
        <v>206</v>
      </c>
      <c r="H10" s="469" t="s">
        <v>214</v>
      </c>
      <c r="I10" s="605" t="s">
        <v>206</v>
      </c>
      <c r="J10" s="304"/>
      <c r="K10" s="606" t="s">
        <v>0</v>
      </c>
      <c r="V10" s="146"/>
    </row>
    <row r="11" spans="2:22" ht="3.6" customHeight="1" x14ac:dyDescent="0.3">
      <c r="B11" s="651"/>
      <c r="C11" s="72" t="str">
        <f>+C10</f>
        <v>Q1 2024</v>
      </c>
      <c r="D11" s="72" t="str">
        <f>+D10</f>
        <v>Q2 2024</v>
      </c>
      <c r="E11" s="607"/>
      <c r="F11" s="72" t="str">
        <f>+F10</f>
        <v>Q3 2024</v>
      </c>
      <c r="G11" s="607"/>
      <c r="H11" s="470" t="str">
        <f>+H10</f>
        <v>Q4 2024</v>
      </c>
      <c r="I11" s="174"/>
      <c r="J11" s="72">
        <v>45322</v>
      </c>
      <c r="K11" s="479"/>
      <c r="V11" s="146"/>
    </row>
    <row r="12" spans="2:22" x14ac:dyDescent="0.3">
      <c r="B12" s="652" t="s">
        <v>239</v>
      </c>
      <c r="C12" s="653">
        <f>SUMIF('Monthly Detail'!$2:$2, 'Quarterly Overview'!C$11, 'Monthly Detail'!6:6)</f>
        <v>225000</v>
      </c>
      <c r="D12" s="653">
        <f>SUMIF('Monthly Detail'!$2:$2, 'Quarterly Overview'!D$11, 'Monthly Detail'!6:6)</f>
        <v>76995</v>
      </c>
      <c r="E12" s="608">
        <f>+D12-C12</f>
        <v>-148005</v>
      </c>
      <c r="F12" s="653">
        <f>SUMIF('Monthly Detail'!$2:$2, 'Quarterly Overview'!F$11, 'Monthly Detail'!6:6)</f>
        <v>0</v>
      </c>
      <c r="G12" s="608">
        <f>+F12-D12</f>
        <v>-76995</v>
      </c>
      <c r="H12" s="609">
        <f>SUMIF('Monthly Detail'!$2:$2, 'Quarterly Overview'!H$11, 'Monthly Detail'!10:10)</f>
        <v>0</v>
      </c>
      <c r="I12" s="192">
        <f>+H12-F12</f>
        <v>0</v>
      </c>
      <c r="J12" s="54"/>
      <c r="K12" s="477">
        <f>SUM(C12,D12,F12,H12)</f>
        <v>301995</v>
      </c>
      <c r="V12" s="146"/>
    </row>
    <row r="13" spans="2:22" x14ac:dyDescent="0.3">
      <c r="B13" s="652" t="s">
        <v>367</v>
      </c>
      <c r="C13" s="653">
        <f>SUMIF('Monthly Detail'!$2:$2, 'Quarterly Overview'!C$11, 'Monthly Detail'!11:11)</f>
        <v>0</v>
      </c>
      <c r="D13" s="653">
        <f>SUMIF('Monthly Detail'!$2:$2, 'Quarterly Overview'!D$11, 'Monthly Detail'!11:11)</f>
        <v>16392.96</v>
      </c>
      <c r="E13" s="608">
        <f>+D13-C13</f>
        <v>16392.96</v>
      </c>
      <c r="F13" s="653">
        <f>SUMIF('Monthly Detail'!$2:$2, 'Quarterly Overview'!F$11, 'Monthly Detail'!11:11)</f>
        <v>95607.3</v>
      </c>
      <c r="G13" s="608">
        <f>+F13-D13</f>
        <v>79214.34</v>
      </c>
      <c r="H13" s="609">
        <f>SUMIF('Monthly Detail'!$2:$2, 'Quarterly Overview'!H$11, 'Monthly Detail'!11:11)</f>
        <v>91797.776666666672</v>
      </c>
      <c r="I13" s="192">
        <f>+H13-F13</f>
        <v>-3809.5233333333308</v>
      </c>
      <c r="J13" s="54"/>
      <c r="K13" s="477">
        <f>SUM(C13,D13,F13,H13)</f>
        <v>203798.03666666668</v>
      </c>
      <c r="V13" s="146"/>
    </row>
    <row r="14" spans="2:22" x14ac:dyDescent="0.3">
      <c r="B14" s="654" t="s">
        <v>301</v>
      </c>
      <c r="C14" s="55">
        <f>SUM(C12:C13)</f>
        <v>225000</v>
      </c>
      <c r="D14" s="55">
        <f>SUM(D12:D13)</f>
        <v>93387.959999999992</v>
      </c>
      <c r="E14" s="610">
        <f>+D14-C14</f>
        <v>-131612.04</v>
      </c>
      <c r="F14" s="55">
        <f>SUM(F12:F13)</f>
        <v>95607.3</v>
      </c>
      <c r="G14" s="610">
        <f>+F14-D14</f>
        <v>2219.3400000000111</v>
      </c>
      <c r="H14" s="307">
        <f>SUM(H12:H13)</f>
        <v>91797.776666666672</v>
      </c>
      <c r="I14" s="193">
        <f>+H14-F14</f>
        <v>-3809.5233333333308</v>
      </c>
      <c r="J14" s="56"/>
      <c r="K14" s="611">
        <f>SUM(K12:K13)</f>
        <v>505793.03666666668</v>
      </c>
      <c r="V14" s="146"/>
    </row>
    <row r="15" spans="2:22" x14ac:dyDescent="0.3">
      <c r="B15" s="655" t="s">
        <v>507</v>
      </c>
      <c r="C15" s="586">
        <f>SUMIF('Monthly Detail'!$2:$2, 'Quarterly Overview'!C$11, 'Monthly Detail'!12:12)</f>
        <v>1</v>
      </c>
      <c r="D15" s="586">
        <f>SUMIF('Monthly Detail'!$2:$2, 'Quarterly Overview'!D$11, 'Monthly Detail'!12:12)</f>
        <v>2</v>
      </c>
      <c r="E15" s="614">
        <f>+D15-C15</f>
        <v>1</v>
      </c>
      <c r="F15" s="586">
        <f>SUMIF('Monthly Detail'!$2:$2, 'Quarterly Overview'!F$11, 'Monthly Detail'!12:12)</f>
        <v>7</v>
      </c>
      <c r="G15" s="614">
        <f t="shared" ref="G15:I31" si="0">+F15-D15</f>
        <v>5</v>
      </c>
      <c r="H15" s="587">
        <f>SUMIF('Monthly Detail'!$2:$2, 'Quarterly Overview'!H$11, 'Monthly Detail'!12:12)</f>
        <v>1</v>
      </c>
      <c r="I15" s="613"/>
      <c r="J15" s="56"/>
      <c r="K15" s="615">
        <f>+SUM(C15,D15,F15,H15)</f>
        <v>11</v>
      </c>
      <c r="V15" s="146"/>
    </row>
    <row r="16" spans="2:22" ht="4.95" customHeight="1" x14ac:dyDescent="0.3">
      <c r="B16" s="651"/>
      <c r="C16" s="656"/>
      <c r="D16" s="656"/>
      <c r="E16" s="616"/>
      <c r="F16" s="656"/>
      <c r="G16" s="616"/>
      <c r="H16" s="617"/>
      <c r="I16" s="194"/>
      <c r="K16" s="618"/>
      <c r="V16" s="146"/>
    </row>
    <row r="17" spans="2:22" ht="16.95" customHeight="1" x14ac:dyDescent="0.3">
      <c r="B17" s="651" t="s">
        <v>363</v>
      </c>
      <c r="C17" s="653">
        <f>SUMIF('Monthly Detail'!$2:$2, 'Quarterly Overview'!C$11, 'Monthly Detail'!23:23)</f>
        <v>32999.07</v>
      </c>
      <c r="D17" s="653">
        <f>SUMIF('Monthly Detail'!$2:$2, 'Quarterly Overview'!D$11, 'Monthly Detail'!23:23)</f>
        <v>12674.98</v>
      </c>
      <c r="E17" s="612">
        <f>+D17-C17</f>
        <v>-20324.09</v>
      </c>
      <c r="F17" s="653">
        <f>SUMIF('Monthly Detail'!$2:$2, 'Quarterly Overview'!F$11, 'Monthly Detail'!23:23)</f>
        <v>10944.67</v>
      </c>
      <c r="G17" s="612">
        <f t="shared" si="0"/>
        <v>-1730.3099999999995</v>
      </c>
      <c r="H17" s="609">
        <f>SUMIF('Monthly Detail'!$2:$2, 'Quarterly Overview'!H$11, 'Monthly Detail'!23:23)</f>
        <v>0</v>
      </c>
      <c r="I17" s="194">
        <f t="shared" si="0"/>
        <v>-10944.67</v>
      </c>
      <c r="K17" s="477">
        <f>SUM(C17,D17,F17,H17)</f>
        <v>56618.720000000001</v>
      </c>
      <c r="V17" s="146"/>
    </row>
    <row r="18" spans="2:22" ht="16.95" customHeight="1" x14ac:dyDescent="0.3">
      <c r="B18" s="651" t="s">
        <v>364</v>
      </c>
      <c r="C18" s="653">
        <f>SUMIF('Monthly Detail'!$2:$2, 'Quarterly Overview'!C$11, 'Monthly Detail'!24:24)</f>
        <v>151466.14000000001</v>
      </c>
      <c r="D18" s="653">
        <f>SUMIF('Monthly Detail'!$2:$2, 'Quarterly Overview'!D$11, 'Monthly Detail'!24:24)</f>
        <v>58803.17</v>
      </c>
      <c r="E18" s="612">
        <f t="shared" ref="E18:E19" si="1">+D18-C18</f>
        <v>-92662.970000000016</v>
      </c>
      <c r="F18" s="653">
        <f>SUMIF('Monthly Detail'!$2:$2, 'Quarterly Overview'!F$11, 'Monthly Detail'!24:24)</f>
        <v>880</v>
      </c>
      <c r="G18" s="612">
        <f t="shared" si="0"/>
        <v>-57923.17</v>
      </c>
      <c r="H18" s="609">
        <f>SUMIF('Monthly Detail'!$2:$2, 'Quarterly Overview'!H$11, 'Monthly Detail'!24:24)</f>
        <v>0</v>
      </c>
      <c r="I18" s="194">
        <f t="shared" si="0"/>
        <v>-880</v>
      </c>
      <c r="K18" s="477">
        <f>SUM(C18,D18,F18,H18)</f>
        <v>211149.31</v>
      </c>
      <c r="V18" s="146"/>
    </row>
    <row r="19" spans="2:22" ht="16.95" customHeight="1" x14ac:dyDescent="0.3">
      <c r="B19" s="651" t="s">
        <v>365</v>
      </c>
      <c r="C19" s="653">
        <f>SUMIF('Monthly Detail'!$2:$2, 'Quarterly Overview'!C$11, 'Monthly Detail'!25:25)</f>
        <v>0</v>
      </c>
      <c r="D19" s="653">
        <f>SUMIF('Monthly Detail'!$2:$2, 'Quarterly Overview'!D$11, 'Monthly Detail'!25:25)</f>
        <v>12611</v>
      </c>
      <c r="E19" s="612">
        <f t="shared" si="1"/>
        <v>12611</v>
      </c>
      <c r="F19" s="653">
        <f>SUMIF('Monthly Detail'!$2:$2, 'Quarterly Overview'!F$11, 'Monthly Detail'!25:25)</f>
        <v>66574</v>
      </c>
      <c r="G19" s="612">
        <f t="shared" si="0"/>
        <v>53963</v>
      </c>
      <c r="H19" s="609">
        <f>SUMIF('Monthly Detail'!$2:$2, 'Quarterly Overview'!H$11, 'Monthly Detail'!25:25)</f>
        <v>78487.09904999999</v>
      </c>
      <c r="I19" s="194">
        <f t="shared" si="0"/>
        <v>11913.09904999999</v>
      </c>
      <c r="K19" s="477">
        <f>SUM(C19,D19,F19,H19)</f>
        <v>157672.09904999999</v>
      </c>
      <c r="V19" s="146"/>
    </row>
    <row r="20" spans="2:22" ht="15.6" x14ac:dyDescent="0.3">
      <c r="B20" s="657" t="s">
        <v>512</v>
      </c>
      <c r="C20" s="619">
        <f t="shared" ref="C20:I20" si="2">SUM(C17:C19)</f>
        <v>184465.21000000002</v>
      </c>
      <c r="D20" s="619">
        <f t="shared" si="2"/>
        <v>84089.15</v>
      </c>
      <c r="E20" s="620">
        <f t="shared" si="2"/>
        <v>-100376.06000000001</v>
      </c>
      <c r="F20" s="619">
        <f t="shared" si="2"/>
        <v>78398.67</v>
      </c>
      <c r="G20" s="620">
        <f t="shared" si="2"/>
        <v>-5690.4799999999959</v>
      </c>
      <c r="H20" s="621">
        <f t="shared" si="2"/>
        <v>78487.09904999999</v>
      </c>
      <c r="I20" s="195">
        <f t="shared" si="2"/>
        <v>88.429049999989729</v>
      </c>
      <c r="J20" s="310"/>
      <c r="K20" s="622">
        <f>SUM(K17:K19)</f>
        <v>425440.12904999999</v>
      </c>
      <c r="V20" s="146"/>
    </row>
    <row r="21" spans="2:22" ht="4.95" customHeight="1" x14ac:dyDescent="0.3">
      <c r="B21" s="658"/>
      <c r="C21" s="656"/>
      <c r="D21" s="656"/>
      <c r="E21" s="623"/>
      <c r="F21" s="656"/>
      <c r="G21" s="623"/>
      <c r="H21" s="617"/>
      <c r="I21" s="188"/>
      <c r="K21" s="618"/>
      <c r="V21" s="146"/>
    </row>
    <row r="22" spans="2:22" ht="15.6" x14ac:dyDescent="0.3">
      <c r="B22" s="659" t="s">
        <v>149</v>
      </c>
      <c r="C22" s="69">
        <f>C14-C20</f>
        <v>40534.789999999979</v>
      </c>
      <c r="D22" s="69">
        <f>D14-D20</f>
        <v>9298.8099999999977</v>
      </c>
      <c r="E22" s="624">
        <f>+D22-C22</f>
        <v>-31235.979999999981</v>
      </c>
      <c r="F22" s="69">
        <f>F14-F20</f>
        <v>17208.630000000005</v>
      </c>
      <c r="G22" s="624">
        <f t="shared" si="0"/>
        <v>7909.820000000007</v>
      </c>
      <c r="H22" s="69">
        <f>H14-H20</f>
        <v>13310.677616666682</v>
      </c>
      <c r="I22" s="195">
        <f>+H22-F22</f>
        <v>-3897.9523833333224</v>
      </c>
      <c r="J22" s="310"/>
      <c r="K22" s="625">
        <f>K14-K20</f>
        <v>80352.907616666693</v>
      </c>
      <c r="V22" s="146"/>
    </row>
    <row r="23" spans="2:22" ht="15.6" x14ac:dyDescent="0.3">
      <c r="B23" s="673" t="s">
        <v>150</v>
      </c>
      <c r="C23" s="674">
        <f>C22/C14</f>
        <v>0.18015462222222212</v>
      </c>
      <c r="D23" s="674">
        <f>D22/D14</f>
        <v>9.9571829173696461E-2</v>
      </c>
      <c r="E23" s="675">
        <f>+D23-C23</f>
        <v>-8.0582793048525655E-2</v>
      </c>
      <c r="F23" s="674">
        <f>F22/F14</f>
        <v>0.17999284573458307</v>
      </c>
      <c r="G23" s="675">
        <f>+F23-D23</f>
        <v>8.0421016560886613E-2</v>
      </c>
      <c r="H23" s="676">
        <f>H22/H14</f>
        <v>0.14500000000000016</v>
      </c>
      <c r="I23" s="677"/>
      <c r="J23" s="310"/>
      <c r="K23" s="678"/>
      <c r="V23" s="146"/>
    </row>
    <row r="24" spans="2:22" x14ac:dyDescent="0.3">
      <c r="B24" s="660" t="s">
        <v>385</v>
      </c>
      <c r="C24" s="626">
        <f>IFERROR((C13-C19)/C13, 0)</f>
        <v>0</v>
      </c>
      <c r="D24" s="626">
        <f>IFERROR((D13-D19)/D13, 0)</f>
        <v>0.2307063519950027</v>
      </c>
      <c r="E24" s="627">
        <f>+D24-C24</f>
        <v>0.2307063519950027</v>
      </c>
      <c r="F24" s="626">
        <f>IFERROR((F13-F19)/F13, 0)</f>
        <v>0.30367241831952163</v>
      </c>
      <c r="G24" s="627">
        <f>+F24-D24</f>
        <v>7.2966066324518936E-2</v>
      </c>
      <c r="H24" s="628">
        <f>IFERROR((H13-H19)/H13, 0)</f>
        <v>0.14500000000000016</v>
      </c>
      <c r="I24" s="196">
        <f>+H24-F24</f>
        <v>-0.15867241831952147</v>
      </c>
      <c r="J24" s="7"/>
      <c r="K24" s="629">
        <f>K22/K14</f>
        <v>0.15886519147479239</v>
      </c>
      <c r="V24" s="146"/>
    </row>
    <row r="25" spans="2:22" ht="5.4" customHeight="1" x14ac:dyDescent="0.3">
      <c r="B25" s="651"/>
      <c r="C25" s="661"/>
      <c r="D25" s="661"/>
      <c r="E25" s="630"/>
      <c r="F25" s="661"/>
      <c r="G25" s="630"/>
      <c r="H25" s="631"/>
      <c r="I25" s="197"/>
      <c r="K25" s="479"/>
      <c r="V25" s="146"/>
    </row>
    <row r="26" spans="2:22" x14ac:dyDescent="0.3">
      <c r="B26" s="651" t="s">
        <v>513</v>
      </c>
      <c r="C26" s="653">
        <f>SUMIF('Monthly Detail'!$2:$2, 'Quarterly Overview'!C$11, 'Monthly Detail'!41:41)</f>
        <v>2489.27</v>
      </c>
      <c r="D26" s="653">
        <f>SUMIF('Monthly Detail'!$2:$2, 'Quarterly Overview'!D$11, 'Monthly Detail'!41:41)</f>
        <v>708.38</v>
      </c>
      <c r="E26" s="632">
        <f>+D26-C26</f>
        <v>-1780.8899999999999</v>
      </c>
      <c r="F26" s="653">
        <f>SUMIF('Monthly Detail'!$2:$2, 'Quarterly Overview'!F$11, 'Monthly Detail'!41:41)</f>
        <v>1834</v>
      </c>
      <c r="G26" s="632">
        <f t="shared" si="0"/>
        <v>1125.6199999999999</v>
      </c>
      <c r="H26" s="609">
        <f>SUMIF('Monthly Detail'!$2:$2, 'Quarterly Overview'!H$11, 'Monthly Detail'!41:41)</f>
        <v>1800</v>
      </c>
      <c r="I26" s="198">
        <f>+H26-F26</f>
        <v>-34</v>
      </c>
      <c r="K26" s="477">
        <f>SUM(C26,D26,F26,H26)</f>
        <v>6831.65</v>
      </c>
      <c r="O26" s="1"/>
      <c r="V26" s="146"/>
    </row>
    <row r="27" spans="2:22" x14ac:dyDescent="0.3">
      <c r="B27" s="651" t="s">
        <v>186</v>
      </c>
      <c r="C27" s="653">
        <f>SUMIF('Monthly Detail'!$2:$2, 'Quarterly Overview'!C$11, 'Monthly Detail'!75:75)</f>
        <v>7383.34</v>
      </c>
      <c r="D27" s="653">
        <f>SUMIF('Monthly Detail'!$2:$2, 'Quarterly Overview'!D$11, 'Monthly Detail'!75:75)</f>
        <v>14914.88</v>
      </c>
      <c r="E27" s="632">
        <f>+D27-C27</f>
        <v>7531.5399999999991</v>
      </c>
      <c r="F27" s="653">
        <f>SUMIF('Monthly Detail'!$2:$2, 'Quarterly Overview'!F$11, 'Monthly Detail'!75:75)</f>
        <v>8227.6200000000008</v>
      </c>
      <c r="G27" s="632">
        <f t="shared" si="0"/>
        <v>-6687.2599999999984</v>
      </c>
      <c r="H27" s="609">
        <f>SUMIF('Monthly Detail'!$2:$2, 'Quarterly Overview'!H$11, 'Monthly Detail'!75:75)</f>
        <v>10616.58</v>
      </c>
      <c r="I27" s="198">
        <f>+H27-F27</f>
        <v>2388.9599999999991</v>
      </c>
      <c r="K27" s="477">
        <f>SUM(C27,D27,F27,H27)</f>
        <v>41142.420000000006</v>
      </c>
      <c r="O27" s="1"/>
      <c r="V27" s="146"/>
    </row>
    <row r="28" spans="2:22" x14ac:dyDescent="0.3">
      <c r="B28" s="662" t="s">
        <v>151</v>
      </c>
      <c r="C28" s="567">
        <f>SUM(C26:C27)</f>
        <v>9872.61</v>
      </c>
      <c r="D28" s="567">
        <f>SUM(D26:D27)</f>
        <v>15623.259999999998</v>
      </c>
      <c r="E28" s="620">
        <f t="shared" ref="E28" si="3">SUM(E27:E27)</f>
        <v>7531.5399999999991</v>
      </c>
      <c r="F28" s="567">
        <f>SUM(F26:F27)</f>
        <v>10061.620000000001</v>
      </c>
      <c r="G28" s="620">
        <f t="shared" si="0"/>
        <v>-5561.6399999999976</v>
      </c>
      <c r="H28" s="569">
        <f>SUM(H26:H27)</f>
        <v>12416.58</v>
      </c>
      <c r="I28" s="199">
        <f>+H28-F28</f>
        <v>2354.9599999999991</v>
      </c>
      <c r="J28" s="312"/>
      <c r="K28" s="633">
        <f>SUM(K26:K27)</f>
        <v>47974.070000000007</v>
      </c>
      <c r="V28" s="146"/>
    </row>
    <row r="29" spans="2:22" ht="1.95" customHeight="1" x14ac:dyDescent="0.3">
      <c r="B29" s="651"/>
      <c r="C29" s="661"/>
      <c r="D29" s="661"/>
      <c r="E29" s="630"/>
      <c r="F29" s="661"/>
      <c r="G29" s="630"/>
      <c r="H29" s="631"/>
      <c r="I29" s="197"/>
      <c r="K29" s="479"/>
      <c r="V29" s="146"/>
    </row>
    <row r="30" spans="2:22" ht="15.6" x14ac:dyDescent="0.3">
      <c r="B30" s="659" t="s">
        <v>152</v>
      </c>
      <c r="C30" s="69">
        <f>C22-C28</f>
        <v>30662.179999999978</v>
      </c>
      <c r="D30" s="69">
        <f>D22-D28</f>
        <v>-6324.4500000000007</v>
      </c>
      <c r="E30" s="624">
        <f>+D30-C30</f>
        <v>-36986.629999999976</v>
      </c>
      <c r="F30" s="69">
        <f>F22-F28</f>
        <v>7147.0100000000039</v>
      </c>
      <c r="G30" s="624">
        <f t="shared" si="0"/>
        <v>13471.460000000005</v>
      </c>
      <c r="H30" s="258">
        <f>H22-H28</f>
        <v>894.09761666668237</v>
      </c>
      <c r="I30" s="195">
        <f>+H30-F30</f>
        <v>-6252.9123833333215</v>
      </c>
      <c r="J30" s="310"/>
      <c r="K30" s="625">
        <f>K22-K28</f>
        <v>32378.837616666686</v>
      </c>
      <c r="V30" s="146"/>
    </row>
    <row r="31" spans="2:22" x14ac:dyDescent="0.3">
      <c r="B31" s="660" t="s">
        <v>153</v>
      </c>
      <c r="C31" s="626">
        <f>C30/C14</f>
        <v>0.13627635555555545</v>
      </c>
      <c r="D31" s="626">
        <f>D30/D14</f>
        <v>-6.7722327374963559E-2</v>
      </c>
      <c r="E31" s="627">
        <f>+D31-C31</f>
        <v>-0.20399868293051901</v>
      </c>
      <c r="F31" s="626">
        <f>F30/F14</f>
        <v>7.4753810639982543E-2</v>
      </c>
      <c r="G31" s="627">
        <f t="shared" si="0"/>
        <v>0.1424761380149461</v>
      </c>
      <c r="H31" s="628">
        <f>H30/H14</f>
        <v>9.7398613466783933E-3</v>
      </c>
      <c r="I31" s="196">
        <f>+H31-F31</f>
        <v>-6.5013949293304146E-2</v>
      </c>
      <c r="J31" s="7"/>
      <c r="K31" s="629">
        <f>K30/K14</f>
        <v>6.4015981378575892E-2</v>
      </c>
      <c r="V31" s="146"/>
    </row>
    <row r="32" spans="2:22" ht="4.2" customHeight="1" x14ac:dyDescent="0.3">
      <c r="B32" s="663"/>
      <c r="C32" s="664"/>
      <c r="D32" s="664"/>
      <c r="E32" s="634"/>
      <c r="F32" s="664"/>
      <c r="G32" s="634"/>
      <c r="H32" s="635"/>
      <c r="I32" s="200"/>
      <c r="K32" s="636"/>
      <c r="V32" s="146"/>
    </row>
    <row r="33" spans="2:22" x14ac:dyDescent="0.3">
      <c r="B33" s="651" t="s">
        <v>154</v>
      </c>
      <c r="C33" s="139">
        <f>SUMIF('Monthly Detail'!$2:$2, 'Quarterly Overview'!C$11, 'Monthly Detail'!88:88)</f>
        <v>0</v>
      </c>
      <c r="D33" s="139">
        <f>SUMIF('Monthly Detail'!$2:$2, 'Quarterly Overview'!D$11, 'Monthly Detail'!88:88)</f>
        <v>0</v>
      </c>
      <c r="E33" s="637">
        <f>+D33-C33</f>
        <v>0</v>
      </c>
      <c r="F33" s="139">
        <f>SUMIF('Monthly Detail'!$2:$2, 'Quarterly Overview'!F$11, 'Monthly Detail'!88:88)</f>
        <v>600</v>
      </c>
      <c r="G33" s="637">
        <f>+F33-D33</f>
        <v>600</v>
      </c>
      <c r="H33" s="638">
        <f>SUMIF('Monthly Detail'!$2:$2, 'Quarterly Overview'!H$11, 'Monthly Detail'!88:88)</f>
        <v>0</v>
      </c>
      <c r="I33" s="201">
        <f>+H33-F33</f>
        <v>-600</v>
      </c>
      <c r="J33" s="108"/>
      <c r="K33" s="639">
        <f>SUM(C33,D33,F33,H33)</f>
        <v>600</v>
      </c>
      <c r="V33" s="146"/>
    </row>
    <row r="34" spans="2:22" ht="15.6" x14ac:dyDescent="0.3">
      <c r="B34" s="659" t="s">
        <v>12</v>
      </c>
      <c r="C34" s="69">
        <f>C30+SUM(C33:C33)</f>
        <v>30662.179999999978</v>
      </c>
      <c r="D34" s="69">
        <f>D30+SUM(D33:D33)</f>
        <v>-6324.4500000000007</v>
      </c>
      <c r="E34" s="624">
        <f>+D34-C34</f>
        <v>-36986.629999999976</v>
      </c>
      <c r="F34" s="69">
        <f>F30+SUM(F33:F33)</f>
        <v>7747.0100000000039</v>
      </c>
      <c r="G34" s="624">
        <f>+F34-D34</f>
        <v>14071.460000000005</v>
      </c>
      <c r="H34" s="258">
        <f>H30+SUM(H33:H33)</f>
        <v>894.09761666668237</v>
      </c>
      <c r="I34" s="195">
        <f>+H34-F34</f>
        <v>-6852.9123833333215</v>
      </c>
      <c r="J34" s="310"/>
      <c r="K34" s="625">
        <f>K30+SUM(K33:K33)</f>
        <v>32978.837616666686</v>
      </c>
      <c r="L34" s="208"/>
      <c r="V34" s="146"/>
    </row>
    <row r="35" spans="2:22" x14ac:dyDescent="0.3">
      <c r="B35" s="660" t="s">
        <v>155</v>
      </c>
      <c r="C35" s="557">
        <f>C34/C14</f>
        <v>0.13627635555555545</v>
      </c>
      <c r="D35" s="557">
        <f>D34/D14</f>
        <v>-6.7722327374963559E-2</v>
      </c>
      <c r="E35" s="640">
        <f>+D35-C35</f>
        <v>-0.20399868293051901</v>
      </c>
      <c r="F35" s="557">
        <f>F34/F14</f>
        <v>8.1029482058378427E-2</v>
      </c>
      <c r="G35" s="640">
        <f>+F35-D35</f>
        <v>0.14875180943334199</v>
      </c>
      <c r="H35" s="559">
        <f>H34/H14</f>
        <v>9.7398613466783933E-3</v>
      </c>
      <c r="I35" s="202">
        <f>+H35-F35</f>
        <v>-7.128962071170003E-2</v>
      </c>
      <c r="J35" s="7"/>
      <c r="K35" s="629">
        <f>K34/K14</f>
        <v>6.5202237330129087E-2</v>
      </c>
      <c r="L35" s="208"/>
      <c r="V35" s="146"/>
    </row>
    <row r="36" spans="2:22" ht="2.25" customHeight="1" thickBot="1" x14ac:dyDescent="0.35">
      <c r="B36" s="651"/>
      <c r="E36" s="641"/>
      <c r="G36" s="641"/>
      <c r="H36" s="162"/>
      <c r="I36" s="203"/>
      <c r="K36" s="479"/>
      <c r="V36" s="146"/>
    </row>
    <row r="37" spans="2:22" x14ac:dyDescent="0.3">
      <c r="B37" s="665" t="s">
        <v>156</v>
      </c>
      <c r="C37" s="643">
        <f>+'Monthly Detail'!AD179</f>
        <v>152555.54</v>
      </c>
      <c r="D37" s="643">
        <f>+'Monthly Detail'!AG179</f>
        <v>44539.60000000002</v>
      </c>
      <c r="E37" s="644"/>
      <c r="F37" s="645">
        <f>+'Monthly Detail'!AJ179</f>
        <v>33227.020000000019</v>
      </c>
      <c r="G37" s="644"/>
      <c r="H37" s="645">
        <f>+'Monthly Detail'!AM179</f>
        <v>352788.93552211684</v>
      </c>
      <c r="I37" s="184"/>
      <c r="K37" s="479"/>
      <c r="V37" s="146"/>
    </row>
    <row r="38" spans="2:22" x14ac:dyDescent="0.3">
      <c r="B38" s="666" t="s">
        <v>157</v>
      </c>
      <c r="C38" s="318">
        <f>SUMIF('Monthly Detail'!$2:$2, 'Quarterly Overview'!C$10, 'Monthly Detail'!176:176)</f>
        <v>-42093.69</v>
      </c>
      <c r="D38" s="318">
        <f>SUMIF('Monthly Detail'!$2:$2, 'Quarterly Overview'!D$10, 'Monthly Detail'!176:176)</f>
        <v>-108015.93999999999</v>
      </c>
      <c r="E38" s="679">
        <f>+D38-C38</f>
        <v>-65922.249999999985</v>
      </c>
      <c r="F38" s="317">
        <f>SUMIF('Monthly Detail'!$2:$2, 'Quarterly Overview'!F$10, 'Monthly Detail'!176:176)</f>
        <v>-11312.579999999998</v>
      </c>
      <c r="G38" s="679">
        <f>+F38-D38</f>
        <v>96703.359999999986</v>
      </c>
      <c r="H38" s="317">
        <f>SUMIF('Monthly Detail'!$2:$2, 'Quarterly Overview'!H$10, 'Monthly Detail'!176:176)</f>
        <v>319561.91552211682</v>
      </c>
      <c r="I38" s="642">
        <f>+H38-F38</f>
        <v>330874.49552211683</v>
      </c>
      <c r="J38" s="283"/>
      <c r="K38" s="672"/>
      <c r="V38" s="146"/>
    </row>
    <row r="39" spans="2:22" x14ac:dyDescent="0.3">
      <c r="B39" s="648"/>
      <c r="V39" s="146"/>
    </row>
    <row r="40" spans="2:22" x14ac:dyDescent="0.3">
      <c r="B40" s="648"/>
      <c r="V40" s="146"/>
    </row>
    <row r="41" spans="2:22" x14ac:dyDescent="0.3">
      <c r="B41" s="648"/>
      <c r="V41" s="146"/>
    </row>
    <row r="42" spans="2:22" x14ac:dyDescent="0.3">
      <c r="B42" s="669"/>
      <c r="C42" s="649" t="s">
        <v>514</v>
      </c>
      <c r="D42" s="649" t="s">
        <v>515</v>
      </c>
      <c r="E42" s="649"/>
      <c r="F42" s="649" t="s">
        <v>516</v>
      </c>
      <c r="G42" s="649"/>
      <c r="H42" s="649" t="s">
        <v>517</v>
      </c>
      <c r="V42" s="146"/>
    </row>
    <row r="43" spans="2:22" x14ac:dyDescent="0.3">
      <c r="B43" s="669" t="s">
        <v>518</v>
      </c>
      <c r="C43" s="670"/>
      <c r="D43" s="670"/>
      <c r="E43" s="670"/>
      <c r="F43" s="670"/>
      <c r="G43" s="670"/>
      <c r="H43" s="670"/>
      <c r="V43" s="146"/>
    </row>
    <row r="44" spans="2:22" x14ac:dyDescent="0.3">
      <c r="B44" s="669" t="s">
        <v>519</v>
      </c>
      <c r="C44" s="670"/>
      <c r="D44" s="670"/>
      <c r="E44" s="670"/>
      <c r="F44" s="670"/>
      <c r="G44" s="670"/>
      <c r="H44" s="670"/>
      <c r="V44" s="146"/>
    </row>
    <row r="45" spans="2:22" x14ac:dyDescent="0.3">
      <c r="B45" s="669" t="s">
        <v>520</v>
      </c>
      <c r="C45" s="671"/>
      <c r="D45" s="671"/>
      <c r="E45" s="671"/>
      <c r="F45" s="671"/>
      <c r="G45" s="671"/>
      <c r="H45" s="671"/>
      <c r="V45" s="146"/>
    </row>
    <row r="46" spans="2:22" x14ac:dyDescent="0.3">
      <c r="B46" s="669" t="s">
        <v>521</v>
      </c>
      <c r="C46" s="671"/>
      <c r="D46" s="671"/>
      <c r="E46" s="671"/>
      <c r="F46" s="671"/>
      <c r="G46" s="671"/>
      <c r="H46" s="671"/>
      <c r="V46" s="146"/>
    </row>
    <row r="47" spans="2:22" x14ac:dyDescent="0.3">
      <c r="B47" s="669" t="s">
        <v>522</v>
      </c>
      <c r="C47" s="671"/>
      <c r="D47" s="671"/>
      <c r="E47" s="671"/>
      <c r="F47" s="671"/>
      <c r="G47" s="671"/>
      <c r="H47" s="671"/>
      <c r="V47" s="146"/>
    </row>
    <row r="48" spans="2:22" x14ac:dyDescent="0.3">
      <c r="B48" s="648"/>
      <c r="V48" s="146"/>
    </row>
    <row r="49" spans="2:22" x14ac:dyDescent="0.3">
      <c r="B49" s="648"/>
      <c r="V49" s="146"/>
    </row>
    <row r="50" spans="2:22" x14ac:dyDescent="0.3">
      <c r="B50" s="648"/>
      <c r="V50" s="146"/>
    </row>
    <row r="51" spans="2:22" x14ac:dyDescent="0.3">
      <c r="B51" s="648"/>
      <c r="V51" s="146"/>
    </row>
    <row r="52" spans="2:22" x14ac:dyDescent="0.3">
      <c r="B52" s="648"/>
      <c r="V52" s="146"/>
    </row>
    <row r="53" spans="2:22" x14ac:dyDescent="0.3">
      <c r="B53" s="648"/>
      <c r="V53" s="146"/>
    </row>
    <row r="54" spans="2:22" x14ac:dyDescent="0.3">
      <c r="B54" s="648"/>
      <c r="V54" s="146"/>
    </row>
    <row r="55" spans="2:22" x14ac:dyDescent="0.3">
      <c r="B55" s="648"/>
      <c r="V55" s="146"/>
    </row>
    <row r="56" spans="2:22" x14ac:dyDescent="0.3">
      <c r="B56" s="648"/>
      <c r="V56" s="146"/>
    </row>
    <row r="57" spans="2:22" x14ac:dyDescent="0.3">
      <c r="B57" s="648"/>
      <c r="V57" s="146"/>
    </row>
    <row r="58" spans="2:22" x14ac:dyDescent="0.3">
      <c r="B58" s="648"/>
      <c r="V58" s="146"/>
    </row>
    <row r="59" spans="2:22" x14ac:dyDescent="0.3">
      <c r="B59" s="648"/>
      <c r="V59" s="146"/>
    </row>
    <row r="60" spans="2:22" x14ac:dyDescent="0.3">
      <c r="B60" s="648"/>
      <c r="V60" s="146"/>
    </row>
    <row r="61" spans="2:22" ht="15" thickBot="1" x14ac:dyDescent="0.35">
      <c r="B61" s="667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668"/>
    </row>
    <row r="62" spans="2:22" ht="15" thickTop="1" x14ac:dyDescent="0.3"/>
  </sheetData>
  <pageMargins left="0.25" right="0.25" top="0.75" bottom="0.75" header="0.3" footer="0.3"/>
  <pageSetup scale="55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D13" sqref="D1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81"/>
  <sheetViews>
    <sheetView tabSelected="1" topLeftCell="B1" zoomScaleNormal="100" workbookViewId="0">
      <pane xSplit="2" ySplit="3" topLeftCell="AJ25" activePane="bottomRight" state="frozen"/>
      <selection activeCell="D13" sqref="D13"/>
      <selection pane="topRight" activeCell="D13" sqref="D13"/>
      <selection pane="bottomLeft" activeCell="D13" sqref="D13"/>
      <selection pane="bottomRight" activeCell="AJ82" sqref="AJ82:AL82"/>
    </sheetView>
  </sheetViews>
  <sheetFormatPr defaultRowHeight="14.4" outlineLevelCol="1" x14ac:dyDescent="0.3"/>
  <cols>
    <col min="1" max="1" width="0" hidden="1" customWidth="1" outlineLevel="1"/>
    <col min="2" max="2" width="48.33203125" bestFit="1" customWidth="1" collapsed="1"/>
    <col min="3" max="3" width="20.10937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5" width="13.33203125" hidden="1" customWidth="1" outlineLevel="1"/>
    <col min="26" max="26" width="14" hidden="1" customWidth="1" outlineLevel="1"/>
    <col min="27" max="27" width="14.33203125" hidden="1" customWidth="1" outlineLevel="1"/>
    <col min="28" max="28" width="13.88671875" bestFit="1" customWidth="1" collapsed="1"/>
    <col min="29" max="29" width="13.33203125" bestFit="1" customWidth="1"/>
    <col min="30" max="30" width="14.33203125" bestFit="1" customWidth="1"/>
    <col min="31" max="32" width="13.33203125" bestFit="1" customWidth="1"/>
    <col min="33" max="36" width="12.5546875" bestFit="1" customWidth="1"/>
    <col min="37" max="111" width="14.33203125" bestFit="1" customWidth="1"/>
    <col min="112" max="113" width="5.109375" bestFit="1" customWidth="1"/>
    <col min="114" max="114" width="8.5546875" bestFit="1" customWidth="1"/>
  </cols>
  <sheetData>
    <row r="1" spans="1:114" x14ac:dyDescent="0.3">
      <c r="A1" s="15"/>
      <c r="B1" s="15"/>
      <c r="C1" s="15"/>
      <c r="D1" s="16">
        <f t="shared" ref="D1" si="0">YEAR(D3)</f>
        <v>2022</v>
      </c>
      <c r="E1" s="16">
        <f t="shared" ref="E1:O1" si="1">YEAR(E3)</f>
        <v>2022</v>
      </c>
      <c r="F1" s="16">
        <f t="shared" si="1"/>
        <v>2022</v>
      </c>
      <c r="G1" s="16">
        <f t="shared" si="1"/>
        <v>2022</v>
      </c>
      <c r="H1" s="16">
        <f t="shared" si="1"/>
        <v>2022</v>
      </c>
      <c r="I1" s="16">
        <f t="shared" si="1"/>
        <v>2022</v>
      </c>
      <c r="J1" s="16">
        <f t="shared" si="1"/>
        <v>2022</v>
      </c>
      <c r="K1" s="16">
        <f t="shared" si="1"/>
        <v>2022</v>
      </c>
      <c r="L1" s="16">
        <f t="shared" si="1"/>
        <v>2022</v>
      </c>
      <c r="M1" s="16">
        <f t="shared" si="1"/>
        <v>2022</v>
      </c>
      <c r="N1" s="16">
        <f t="shared" si="1"/>
        <v>2022</v>
      </c>
      <c r="O1" s="16">
        <f t="shared" si="1"/>
        <v>2022</v>
      </c>
      <c r="P1" s="16">
        <f t="shared" ref="P1:AI1" si="2">YEAR(P3)</f>
        <v>2023</v>
      </c>
      <c r="Q1" s="16">
        <f t="shared" si="2"/>
        <v>2023</v>
      </c>
      <c r="R1" s="16">
        <f t="shared" si="2"/>
        <v>2023</v>
      </c>
      <c r="S1" s="16">
        <f t="shared" si="2"/>
        <v>2023</v>
      </c>
      <c r="T1" s="16">
        <f t="shared" si="2"/>
        <v>2023</v>
      </c>
      <c r="U1" s="16">
        <f t="shared" si="2"/>
        <v>2023</v>
      </c>
      <c r="V1" s="16">
        <f t="shared" si="2"/>
        <v>2023</v>
      </c>
      <c r="W1" s="16">
        <f t="shared" si="2"/>
        <v>2023</v>
      </c>
      <c r="X1" s="16">
        <f t="shared" si="2"/>
        <v>2023</v>
      </c>
      <c r="Y1" s="16">
        <f t="shared" si="2"/>
        <v>2023</v>
      </c>
      <c r="Z1" s="16">
        <f t="shared" si="2"/>
        <v>2023</v>
      </c>
      <c r="AA1" s="16">
        <f t="shared" si="2"/>
        <v>2023</v>
      </c>
      <c r="AB1" s="16">
        <f t="shared" si="2"/>
        <v>2024</v>
      </c>
      <c r="AC1" s="16">
        <f t="shared" si="2"/>
        <v>2024</v>
      </c>
      <c r="AD1" s="16">
        <f t="shared" si="2"/>
        <v>2024</v>
      </c>
      <c r="AE1" s="159">
        <f t="shared" si="2"/>
        <v>2024</v>
      </c>
      <c r="AF1" s="16">
        <f t="shared" si="2"/>
        <v>2024</v>
      </c>
      <c r="AG1" s="16">
        <f t="shared" si="2"/>
        <v>2024</v>
      </c>
      <c r="AH1" s="16">
        <f t="shared" si="2"/>
        <v>2024</v>
      </c>
      <c r="AI1" s="16">
        <f t="shared" si="2"/>
        <v>2024</v>
      </c>
      <c r="AJ1" s="159">
        <f t="shared" ref="AJ1:BO1" si="3">YEAR(AJ3)</f>
        <v>2024</v>
      </c>
      <c r="AK1" s="16">
        <f t="shared" si="3"/>
        <v>2024</v>
      </c>
      <c r="AL1" s="16">
        <f t="shared" si="3"/>
        <v>2024</v>
      </c>
      <c r="AM1" s="159">
        <f t="shared" si="3"/>
        <v>2024</v>
      </c>
      <c r="AN1" s="16">
        <f t="shared" si="3"/>
        <v>2025</v>
      </c>
      <c r="AO1" s="16">
        <f t="shared" si="3"/>
        <v>2025</v>
      </c>
      <c r="AP1" s="16">
        <f t="shared" si="3"/>
        <v>2025</v>
      </c>
      <c r="AQ1" s="16">
        <f t="shared" si="3"/>
        <v>2025</v>
      </c>
      <c r="AR1" s="16">
        <f t="shared" si="3"/>
        <v>2025</v>
      </c>
      <c r="AS1" s="16">
        <f t="shared" si="3"/>
        <v>2025</v>
      </c>
      <c r="AT1" s="16">
        <f t="shared" si="3"/>
        <v>2025</v>
      </c>
      <c r="AU1" s="16">
        <f t="shared" si="3"/>
        <v>2025</v>
      </c>
      <c r="AV1" s="16">
        <f t="shared" si="3"/>
        <v>2025</v>
      </c>
      <c r="AW1" s="16">
        <f t="shared" si="3"/>
        <v>2025</v>
      </c>
      <c r="AX1" s="16">
        <f t="shared" si="3"/>
        <v>2025</v>
      </c>
      <c r="AY1" s="159">
        <f t="shared" si="3"/>
        <v>2025</v>
      </c>
      <c r="AZ1" s="16">
        <f t="shared" si="3"/>
        <v>2026</v>
      </c>
      <c r="BA1" s="16">
        <f t="shared" si="3"/>
        <v>2026</v>
      </c>
      <c r="BB1" s="16">
        <f t="shared" si="3"/>
        <v>2026</v>
      </c>
      <c r="BC1" s="16">
        <f t="shared" si="3"/>
        <v>2026</v>
      </c>
      <c r="BD1" s="16">
        <f t="shared" si="3"/>
        <v>2026</v>
      </c>
      <c r="BE1" s="16">
        <f t="shared" si="3"/>
        <v>2026</v>
      </c>
      <c r="BF1" s="16">
        <f t="shared" si="3"/>
        <v>2026</v>
      </c>
      <c r="BG1" s="16">
        <f t="shared" si="3"/>
        <v>2026</v>
      </c>
      <c r="BH1" s="16">
        <f t="shared" si="3"/>
        <v>2026</v>
      </c>
      <c r="BI1" s="16">
        <f t="shared" si="3"/>
        <v>2026</v>
      </c>
      <c r="BJ1" s="16">
        <f t="shared" si="3"/>
        <v>2026</v>
      </c>
      <c r="BK1" s="159">
        <f t="shared" si="3"/>
        <v>2026</v>
      </c>
      <c r="BL1" s="16">
        <f t="shared" si="3"/>
        <v>2027</v>
      </c>
      <c r="BM1" s="16">
        <f t="shared" si="3"/>
        <v>2027</v>
      </c>
      <c r="BN1" s="16">
        <f t="shared" si="3"/>
        <v>2027</v>
      </c>
      <c r="BO1" s="16">
        <f t="shared" si="3"/>
        <v>2027</v>
      </c>
      <c r="BP1" s="16">
        <f t="shared" ref="BP1:CU1" si="4">YEAR(BP3)</f>
        <v>2027</v>
      </c>
      <c r="BQ1" s="16">
        <f t="shared" si="4"/>
        <v>2027</v>
      </c>
      <c r="BR1" s="16">
        <f t="shared" si="4"/>
        <v>2027</v>
      </c>
      <c r="BS1" s="16">
        <f t="shared" si="4"/>
        <v>2027</v>
      </c>
      <c r="BT1" s="16">
        <f t="shared" si="4"/>
        <v>2027</v>
      </c>
      <c r="BU1" s="16">
        <f t="shared" si="4"/>
        <v>2027</v>
      </c>
      <c r="BV1" s="16">
        <f t="shared" si="4"/>
        <v>2027</v>
      </c>
      <c r="BW1" s="159">
        <f t="shared" si="4"/>
        <v>2027</v>
      </c>
      <c r="BX1" s="16">
        <f t="shared" si="4"/>
        <v>2028</v>
      </c>
      <c r="BY1" s="16">
        <f t="shared" si="4"/>
        <v>2028</v>
      </c>
      <c r="BZ1" s="16">
        <f t="shared" si="4"/>
        <v>2028</v>
      </c>
      <c r="CA1" s="16">
        <f t="shared" si="4"/>
        <v>2028</v>
      </c>
      <c r="CB1" s="16">
        <f t="shared" si="4"/>
        <v>2028</v>
      </c>
      <c r="CC1" s="16">
        <f t="shared" si="4"/>
        <v>2028</v>
      </c>
      <c r="CD1" s="16">
        <f t="shared" si="4"/>
        <v>2028</v>
      </c>
      <c r="CE1" s="16">
        <f t="shared" si="4"/>
        <v>2028</v>
      </c>
      <c r="CF1" s="16">
        <f t="shared" si="4"/>
        <v>2028</v>
      </c>
      <c r="CG1" s="16">
        <f t="shared" si="4"/>
        <v>2028</v>
      </c>
      <c r="CH1" s="16">
        <f t="shared" si="4"/>
        <v>2028</v>
      </c>
      <c r="CI1" s="159">
        <f t="shared" si="4"/>
        <v>2028</v>
      </c>
      <c r="CJ1" s="16">
        <f t="shared" si="4"/>
        <v>2029</v>
      </c>
      <c r="CK1" s="16">
        <f t="shared" si="4"/>
        <v>2029</v>
      </c>
      <c r="CL1" s="16">
        <f t="shared" si="4"/>
        <v>2029</v>
      </c>
      <c r="CM1" s="16">
        <f t="shared" si="4"/>
        <v>2029</v>
      </c>
      <c r="CN1" s="16">
        <f t="shared" si="4"/>
        <v>2029</v>
      </c>
      <c r="CO1" s="16">
        <f t="shared" si="4"/>
        <v>2029</v>
      </c>
      <c r="CP1" s="16">
        <f t="shared" si="4"/>
        <v>2029</v>
      </c>
      <c r="CQ1" s="16">
        <f t="shared" si="4"/>
        <v>2029</v>
      </c>
      <c r="CR1" s="16">
        <f t="shared" si="4"/>
        <v>2029</v>
      </c>
      <c r="CS1" s="16">
        <f t="shared" si="4"/>
        <v>2029</v>
      </c>
      <c r="CT1" s="16">
        <f t="shared" si="4"/>
        <v>2029</v>
      </c>
      <c r="CU1" s="159">
        <f t="shared" si="4"/>
        <v>2029</v>
      </c>
      <c r="CV1" s="16">
        <f t="shared" ref="CV1:DG1" si="5">YEAR(CV3)</f>
        <v>2030</v>
      </c>
      <c r="CW1" s="16">
        <f t="shared" si="5"/>
        <v>2030</v>
      </c>
      <c r="CX1" s="16">
        <f t="shared" si="5"/>
        <v>2030</v>
      </c>
      <c r="CY1" s="16">
        <f t="shared" si="5"/>
        <v>2030</v>
      </c>
      <c r="CZ1" s="16">
        <f t="shared" si="5"/>
        <v>2030</v>
      </c>
      <c r="DA1" s="16">
        <f t="shared" si="5"/>
        <v>2030</v>
      </c>
      <c r="DB1" s="16">
        <f t="shared" si="5"/>
        <v>2030</v>
      </c>
      <c r="DC1" s="16">
        <f t="shared" si="5"/>
        <v>2030</v>
      </c>
      <c r="DD1" s="16">
        <f t="shared" si="5"/>
        <v>2030</v>
      </c>
      <c r="DE1" s="16">
        <f t="shared" si="5"/>
        <v>2030</v>
      </c>
      <c r="DF1" s="16">
        <f t="shared" si="5"/>
        <v>2030</v>
      </c>
      <c r="DG1" s="16">
        <f t="shared" si="5"/>
        <v>2030</v>
      </c>
      <c r="DH1" s="16"/>
      <c r="DI1" s="16"/>
      <c r="DJ1" s="34"/>
    </row>
    <row r="2" spans="1:114" x14ac:dyDescent="0.3">
      <c r="A2" s="15"/>
      <c r="B2" s="15"/>
      <c r="C2" s="15"/>
      <c r="D2" s="138" t="str">
        <f t="shared" ref="D2:R2" si="6">+"Q1 "&amp;D1</f>
        <v>Q1 2022</v>
      </c>
      <c r="E2" s="138" t="str">
        <f t="shared" si="6"/>
        <v>Q1 2022</v>
      </c>
      <c r="F2" s="138" t="str">
        <f t="shared" si="6"/>
        <v>Q1 2022</v>
      </c>
      <c r="G2" s="138" t="str">
        <f t="shared" si="6"/>
        <v>Q1 2022</v>
      </c>
      <c r="H2" s="138" t="str">
        <f t="shared" si="6"/>
        <v>Q1 2022</v>
      </c>
      <c r="I2" s="138" t="str">
        <f t="shared" si="6"/>
        <v>Q1 2022</v>
      </c>
      <c r="J2" s="138" t="str">
        <f t="shared" si="6"/>
        <v>Q1 2022</v>
      </c>
      <c r="K2" s="138" t="str">
        <f t="shared" si="6"/>
        <v>Q1 2022</v>
      </c>
      <c r="L2" s="138" t="str">
        <f t="shared" si="6"/>
        <v>Q1 2022</v>
      </c>
      <c r="M2" s="138" t="str">
        <f t="shared" si="6"/>
        <v>Q1 2022</v>
      </c>
      <c r="N2" s="138" t="str">
        <f t="shared" si="6"/>
        <v>Q1 2022</v>
      </c>
      <c r="O2" s="138" t="str">
        <f t="shared" si="6"/>
        <v>Q1 2022</v>
      </c>
      <c r="P2" s="138" t="str">
        <f t="shared" si="6"/>
        <v>Q1 2023</v>
      </c>
      <c r="Q2" s="138" t="str">
        <f t="shared" si="6"/>
        <v>Q1 2023</v>
      </c>
      <c r="R2" s="138" t="str">
        <f t="shared" si="6"/>
        <v>Q1 2023</v>
      </c>
      <c r="S2" s="138" t="str">
        <f>+"Q2 "&amp;S1</f>
        <v>Q2 2023</v>
      </c>
      <c r="T2" s="138" t="str">
        <f>+"Q2 "&amp;T1</f>
        <v>Q2 2023</v>
      </c>
      <c r="U2" s="138" t="str">
        <f>+"Q2 "&amp;U1</f>
        <v>Q2 2023</v>
      </c>
      <c r="V2" s="138" t="str">
        <f>+"Q3 "&amp;V1</f>
        <v>Q3 2023</v>
      </c>
      <c r="W2" s="138" t="str">
        <f>+"Q3 "&amp;W1</f>
        <v>Q3 2023</v>
      </c>
      <c r="X2" s="138" t="str">
        <f>+"Q3 "&amp;X1</f>
        <v>Q3 2023</v>
      </c>
      <c r="Y2" s="138" t="str">
        <f>+"Q4 "&amp;Y1</f>
        <v>Q4 2023</v>
      </c>
      <c r="Z2" s="138" t="str">
        <f>+"Q4 "&amp;Z1</f>
        <v>Q4 2023</v>
      </c>
      <c r="AA2" s="138" t="str">
        <f>+"Q4 "&amp;AA1</f>
        <v>Q4 2023</v>
      </c>
      <c r="AB2" s="138" t="str">
        <f>+"Q1 "&amp;AB1</f>
        <v>Q1 2024</v>
      </c>
      <c r="AC2" s="138" t="str">
        <f>+"Q1 "&amp;AC1</f>
        <v>Q1 2024</v>
      </c>
      <c r="AD2" s="138" t="str">
        <f>+"Q1 "&amp;AD1</f>
        <v>Q1 2024</v>
      </c>
      <c r="AE2" s="160" t="str">
        <f>+"Q2 "&amp;AE1</f>
        <v>Q2 2024</v>
      </c>
      <c r="AF2" s="138" t="str">
        <f>+"Q2 "&amp;AF1</f>
        <v>Q2 2024</v>
      </c>
      <c r="AG2" s="138" t="str">
        <f>+"Q2 "&amp;AG1</f>
        <v>Q2 2024</v>
      </c>
      <c r="AH2" s="138" t="str">
        <f>+"Q3 "&amp;AH1</f>
        <v>Q3 2024</v>
      </c>
      <c r="AI2" s="138" t="str">
        <f>+"Q3 "&amp;AI1</f>
        <v>Q3 2024</v>
      </c>
      <c r="AJ2" s="160" t="str">
        <f>+"Q3 "&amp;AJ1</f>
        <v>Q3 2024</v>
      </c>
      <c r="AK2" s="138" t="str">
        <f>+"Q4 "&amp;AK1</f>
        <v>Q4 2024</v>
      </c>
      <c r="AL2" s="138" t="str">
        <f>+"Q4 "&amp;AL1</f>
        <v>Q4 2024</v>
      </c>
      <c r="AM2" s="160" t="str">
        <f>+"Q4 "&amp;AM1</f>
        <v>Q4 2024</v>
      </c>
      <c r="AN2" s="138" t="str">
        <f>+"Q1 "&amp;AN1</f>
        <v>Q1 2025</v>
      </c>
      <c r="AO2" s="138" t="str">
        <f>+"Q1 "&amp;AO1</f>
        <v>Q1 2025</v>
      </c>
      <c r="AP2" s="138" t="str">
        <f>+"Q1 "&amp;AP1</f>
        <v>Q1 2025</v>
      </c>
      <c r="AQ2" s="138" t="str">
        <f>+"Q2 "&amp;AQ1</f>
        <v>Q2 2025</v>
      </c>
      <c r="AR2" s="138" t="str">
        <f>+"Q2 "&amp;AR1</f>
        <v>Q2 2025</v>
      </c>
      <c r="AS2" s="138" t="str">
        <f>+"Q2 "&amp;AS1</f>
        <v>Q2 2025</v>
      </c>
      <c r="AT2" s="138" t="str">
        <f>+"Q3 "&amp;AT1</f>
        <v>Q3 2025</v>
      </c>
      <c r="AU2" s="138" t="str">
        <f>+"Q3 "&amp;AU1</f>
        <v>Q3 2025</v>
      </c>
      <c r="AV2" s="138" t="str">
        <f>+"Q3 "&amp;AV1</f>
        <v>Q3 2025</v>
      </c>
      <c r="AW2" s="138" t="str">
        <f>+"Q4 "&amp;AW1</f>
        <v>Q4 2025</v>
      </c>
      <c r="AX2" s="138" t="str">
        <f>+"Q4 "&amp;AX1</f>
        <v>Q4 2025</v>
      </c>
      <c r="AY2" s="160" t="str">
        <f>+"Q4 "&amp;AY1</f>
        <v>Q4 2025</v>
      </c>
      <c r="AZ2" s="138" t="str">
        <f>+"Q1 "&amp;AZ1</f>
        <v>Q1 2026</v>
      </c>
      <c r="BA2" s="138" t="str">
        <f>+"Q1 "&amp;BA1</f>
        <v>Q1 2026</v>
      </c>
      <c r="BB2" s="138" t="str">
        <f>+"Q1 "&amp;BB1</f>
        <v>Q1 2026</v>
      </c>
      <c r="BC2" s="138" t="str">
        <f>+"Q2 "&amp;BC1</f>
        <v>Q2 2026</v>
      </c>
      <c r="BD2" s="138" t="str">
        <f>+"Q2 "&amp;BD1</f>
        <v>Q2 2026</v>
      </c>
      <c r="BE2" s="138" t="str">
        <f>+"Q2 "&amp;BE1</f>
        <v>Q2 2026</v>
      </c>
      <c r="BF2" s="138" t="str">
        <f>+"Q3 "&amp;BF1</f>
        <v>Q3 2026</v>
      </c>
      <c r="BG2" s="138" t="str">
        <f>+"Q3 "&amp;BG1</f>
        <v>Q3 2026</v>
      </c>
      <c r="BH2" s="138" t="str">
        <f>+"Q3 "&amp;BH1</f>
        <v>Q3 2026</v>
      </c>
      <c r="BI2" s="138" t="str">
        <f>+"Q4 "&amp;BI1</f>
        <v>Q4 2026</v>
      </c>
      <c r="BJ2" s="138" t="str">
        <f>+"Q4 "&amp;BJ1</f>
        <v>Q4 2026</v>
      </c>
      <c r="BK2" s="160" t="str">
        <f>+"Q4 "&amp;BK1</f>
        <v>Q4 2026</v>
      </c>
      <c r="BL2" s="138" t="str">
        <f>+"Q1 "&amp;BL1</f>
        <v>Q1 2027</v>
      </c>
      <c r="BM2" s="138" t="str">
        <f>+"Q1 "&amp;BM1</f>
        <v>Q1 2027</v>
      </c>
      <c r="BN2" s="138" t="str">
        <f>+"Q1 "&amp;BN1</f>
        <v>Q1 2027</v>
      </c>
      <c r="BO2" s="138" t="str">
        <f>+"Q2 "&amp;BO1</f>
        <v>Q2 2027</v>
      </c>
      <c r="BP2" s="138" t="str">
        <f>+"Q2 "&amp;BP1</f>
        <v>Q2 2027</v>
      </c>
      <c r="BQ2" s="138" t="str">
        <f>+"Q2 "&amp;BQ1</f>
        <v>Q2 2027</v>
      </c>
      <c r="BR2" s="138" t="str">
        <f>+"Q3 "&amp;BR1</f>
        <v>Q3 2027</v>
      </c>
      <c r="BS2" s="138" t="str">
        <f>+"Q3 "&amp;BS1</f>
        <v>Q3 2027</v>
      </c>
      <c r="BT2" s="138" t="str">
        <f>+"Q3 "&amp;BT1</f>
        <v>Q3 2027</v>
      </c>
      <c r="BU2" s="138" t="str">
        <f>+"Q4 "&amp;BU1</f>
        <v>Q4 2027</v>
      </c>
      <c r="BV2" s="138" t="str">
        <f>+"Q4 "&amp;BV1</f>
        <v>Q4 2027</v>
      </c>
      <c r="BW2" s="160" t="str">
        <f>+"Q4 "&amp;BW1</f>
        <v>Q4 2027</v>
      </c>
      <c r="BX2" s="138" t="str">
        <f>+"Q1 "&amp;BX1</f>
        <v>Q1 2028</v>
      </c>
      <c r="BY2" s="138" t="str">
        <f>+"Q1 "&amp;BY1</f>
        <v>Q1 2028</v>
      </c>
      <c r="BZ2" s="138" t="str">
        <f>+"Q1 "&amp;BZ1</f>
        <v>Q1 2028</v>
      </c>
      <c r="CA2" s="138" t="str">
        <f>+"Q2 "&amp;CA1</f>
        <v>Q2 2028</v>
      </c>
      <c r="CB2" s="138" t="str">
        <f>+"Q2 "&amp;CB1</f>
        <v>Q2 2028</v>
      </c>
      <c r="CC2" s="138" t="str">
        <f>+"Q2 "&amp;CC1</f>
        <v>Q2 2028</v>
      </c>
      <c r="CD2" s="138" t="str">
        <f>+"Q3 "&amp;CD1</f>
        <v>Q3 2028</v>
      </c>
      <c r="CE2" s="138" t="str">
        <f>+"Q3 "&amp;CE1</f>
        <v>Q3 2028</v>
      </c>
      <c r="CF2" s="138" t="str">
        <f>+"Q3 "&amp;CF1</f>
        <v>Q3 2028</v>
      </c>
      <c r="CG2" s="138" t="str">
        <f>+"Q4 "&amp;CG1</f>
        <v>Q4 2028</v>
      </c>
      <c r="CH2" s="138" t="str">
        <f>+"Q4 "&amp;CH1</f>
        <v>Q4 2028</v>
      </c>
      <c r="CI2" s="160" t="str">
        <f>+"Q4 "&amp;CI1</f>
        <v>Q4 2028</v>
      </c>
      <c r="CJ2" s="138" t="str">
        <f>+"Q1 "&amp;CJ1</f>
        <v>Q1 2029</v>
      </c>
      <c r="CK2" s="138" t="str">
        <f>+"Q1 "&amp;CK1</f>
        <v>Q1 2029</v>
      </c>
      <c r="CL2" s="138" t="str">
        <f>+"Q1 "&amp;CL1</f>
        <v>Q1 2029</v>
      </c>
      <c r="CM2" s="138" t="str">
        <f>+"Q2 "&amp;CM1</f>
        <v>Q2 2029</v>
      </c>
      <c r="CN2" s="138" t="str">
        <f>+"Q2 "&amp;CN1</f>
        <v>Q2 2029</v>
      </c>
      <c r="CO2" s="138" t="str">
        <f>+"Q2 "&amp;CO1</f>
        <v>Q2 2029</v>
      </c>
      <c r="CP2" s="138" t="str">
        <f>+"Q3 "&amp;CP1</f>
        <v>Q3 2029</v>
      </c>
      <c r="CQ2" s="138" t="str">
        <f>+"Q3 "&amp;CQ1</f>
        <v>Q3 2029</v>
      </c>
      <c r="CR2" s="138" t="str">
        <f>+"Q3 "&amp;CR1</f>
        <v>Q3 2029</v>
      </c>
      <c r="CS2" s="138" t="str">
        <f>+"Q4 "&amp;CS1</f>
        <v>Q4 2029</v>
      </c>
      <c r="CT2" s="138" t="str">
        <f>+"Q4 "&amp;CT1</f>
        <v>Q4 2029</v>
      </c>
      <c r="CU2" s="160" t="str">
        <f>+"Q4 "&amp;CU1</f>
        <v>Q4 2029</v>
      </c>
      <c r="CV2" s="138" t="str">
        <f>+"Q1 "&amp;CV1</f>
        <v>Q1 2030</v>
      </c>
      <c r="CW2" s="138" t="str">
        <f>+"Q1 "&amp;CW1</f>
        <v>Q1 2030</v>
      </c>
      <c r="CX2" s="138" t="str">
        <f>+"Q1 "&amp;CX1</f>
        <v>Q1 2030</v>
      </c>
      <c r="CY2" s="138" t="str">
        <f>+"Q2 "&amp;CY1</f>
        <v>Q2 2030</v>
      </c>
      <c r="CZ2" s="138" t="str">
        <f>+"Q2 "&amp;CZ1</f>
        <v>Q2 2030</v>
      </c>
      <c r="DA2" s="138" t="str">
        <f>+"Q2 "&amp;DA1</f>
        <v>Q2 2030</v>
      </c>
      <c r="DB2" s="138" t="str">
        <f>+"Q3 "&amp;DB1</f>
        <v>Q3 2030</v>
      </c>
      <c r="DC2" s="138" t="str">
        <f>+"Q3 "&amp;DC1</f>
        <v>Q3 2030</v>
      </c>
      <c r="DD2" s="138" t="str">
        <f>+"Q3 "&amp;DD1</f>
        <v>Q3 2030</v>
      </c>
      <c r="DE2" s="138" t="str">
        <f>+"Q4 "&amp;DE1</f>
        <v>Q4 2030</v>
      </c>
      <c r="DF2" s="138" t="str">
        <f>+"Q4 "&amp;DF1</f>
        <v>Q4 2030</v>
      </c>
      <c r="DG2" s="138" t="str">
        <f>+"Q4 "&amp;DG1</f>
        <v>Q4 2030</v>
      </c>
      <c r="DH2" s="16"/>
      <c r="DI2" s="16"/>
      <c r="DJ2" s="16"/>
    </row>
    <row r="3" spans="1:114" ht="15" thickBot="1" x14ac:dyDescent="0.35">
      <c r="A3" s="17"/>
      <c r="B3" s="18"/>
      <c r="C3" s="18"/>
      <c r="D3" s="136">
        <v>44592</v>
      </c>
      <c r="E3" s="19">
        <v>44620</v>
      </c>
      <c r="F3" s="136">
        <v>44651</v>
      </c>
      <c r="G3" s="19">
        <v>44681</v>
      </c>
      <c r="H3" s="136">
        <v>44712</v>
      </c>
      <c r="I3" s="19">
        <v>44742</v>
      </c>
      <c r="J3" s="136">
        <v>44773</v>
      </c>
      <c r="K3" s="19">
        <v>44804</v>
      </c>
      <c r="L3" s="136">
        <v>44834</v>
      </c>
      <c r="M3" s="19">
        <v>44865</v>
      </c>
      <c r="N3" s="136">
        <v>44895</v>
      </c>
      <c r="O3" s="19">
        <v>44926</v>
      </c>
      <c r="P3" s="136">
        <v>44957</v>
      </c>
      <c r="Q3" s="20">
        <v>44985</v>
      </c>
      <c r="R3" s="20">
        <v>45016</v>
      </c>
      <c r="S3" s="20">
        <v>45046</v>
      </c>
      <c r="T3" s="20">
        <v>45077</v>
      </c>
      <c r="U3" s="20">
        <v>45107</v>
      </c>
      <c r="V3" s="20">
        <v>45138</v>
      </c>
      <c r="W3" s="20">
        <v>45169</v>
      </c>
      <c r="X3" s="20">
        <v>45199</v>
      </c>
      <c r="Y3" s="20">
        <v>45230</v>
      </c>
      <c r="Z3" s="20">
        <v>45260</v>
      </c>
      <c r="AA3" s="20">
        <v>45291</v>
      </c>
      <c r="AB3" s="20">
        <v>45322</v>
      </c>
      <c r="AC3" s="20">
        <v>45351</v>
      </c>
      <c r="AD3" s="20">
        <v>45382</v>
      </c>
      <c r="AE3" s="161">
        <v>45412</v>
      </c>
      <c r="AF3" s="20">
        <v>45443</v>
      </c>
      <c r="AG3" s="20">
        <v>45473</v>
      </c>
      <c r="AH3" s="20">
        <v>45504</v>
      </c>
      <c r="AI3" s="20">
        <v>45535</v>
      </c>
      <c r="AJ3" s="161">
        <v>45565</v>
      </c>
      <c r="AK3" s="20">
        <v>45596</v>
      </c>
      <c r="AL3" s="20">
        <v>45626</v>
      </c>
      <c r="AM3" s="161">
        <v>45657</v>
      </c>
      <c r="AN3" s="20">
        <v>45688</v>
      </c>
      <c r="AO3" s="20">
        <v>45716</v>
      </c>
      <c r="AP3" s="20">
        <v>45747</v>
      </c>
      <c r="AQ3" s="20">
        <v>45777</v>
      </c>
      <c r="AR3" s="20">
        <v>45808</v>
      </c>
      <c r="AS3" s="20">
        <v>45838</v>
      </c>
      <c r="AT3" s="20">
        <v>45869</v>
      </c>
      <c r="AU3" s="20">
        <v>45900</v>
      </c>
      <c r="AV3" s="20">
        <v>45930</v>
      </c>
      <c r="AW3" s="20">
        <v>45961</v>
      </c>
      <c r="AX3" s="20">
        <v>45991</v>
      </c>
      <c r="AY3" s="161">
        <v>46022</v>
      </c>
      <c r="AZ3" s="20">
        <v>46053</v>
      </c>
      <c r="BA3" s="20">
        <v>46081</v>
      </c>
      <c r="BB3" s="20">
        <v>46112</v>
      </c>
      <c r="BC3" s="20">
        <v>46142</v>
      </c>
      <c r="BD3" s="20">
        <v>46173</v>
      </c>
      <c r="BE3" s="20">
        <v>46203</v>
      </c>
      <c r="BF3" s="20">
        <v>46234</v>
      </c>
      <c r="BG3" s="20">
        <v>46265</v>
      </c>
      <c r="BH3" s="20">
        <v>46295</v>
      </c>
      <c r="BI3" s="20">
        <v>46326</v>
      </c>
      <c r="BJ3" s="20">
        <v>46356</v>
      </c>
      <c r="BK3" s="161">
        <v>46387</v>
      </c>
      <c r="BL3" s="20">
        <v>46418</v>
      </c>
      <c r="BM3" s="20">
        <v>46446</v>
      </c>
      <c r="BN3" s="20">
        <v>46477</v>
      </c>
      <c r="BO3" s="20">
        <v>46507</v>
      </c>
      <c r="BP3" s="20">
        <v>46538</v>
      </c>
      <c r="BQ3" s="20">
        <v>46568</v>
      </c>
      <c r="BR3" s="20">
        <v>46599</v>
      </c>
      <c r="BS3" s="20">
        <v>46630</v>
      </c>
      <c r="BT3" s="20">
        <v>46660</v>
      </c>
      <c r="BU3" s="20">
        <v>46691</v>
      </c>
      <c r="BV3" s="20">
        <v>46721</v>
      </c>
      <c r="BW3" s="161">
        <v>46752</v>
      </c>
      <c r="BX3" s="20">
        <v>46783</v>
      </c>
      <c r="BY3" s="20">
        <v>46812</v>
      </c>
      <c r="BZ3" s="20">
        <v>46843</v>
      </c>
      <c r="CA3" s="20">
        <v>46873</v>
      </c>
      <c r="CB3" s="20">
        <v>46904</v>
      </c>
      <c r="CC3" s="20">
        <v>46934</v>
      </c>
      <c r="CD3" s="20">
        <v>46965</v>
      </c>
      <c r="CE3" s="20">
        <v>46996</v>
      </c>
      <c r="CF3" s="20">
        <v>47026</v>
      </c>
      <c r="CG3" s="20">
        <v>47057</v>
      </c>
      <c r="CH3" s="20">
        <v>47087</v>
      </c>
      <c r="CI3" s="161">
        <v>47118</v>
      </c>
      <c r="CJ3" s="20">
        <v>47149</v>
      </c>
      <c r="CK3" s="20">
        <v>47177</v>
      </c>
      <c r="CL3" s="20">
        <v>47208</v>
      </c>
      <c r="CM3" s="20">
        <v>47238</v>
      </c>
      <c r="CN3" s="20">
        <v>47269</v>
      </c>
      <c r="CO3" s="20">
        <v>47299</v>
      </c>
      <c r="CP3" s="20">
        <v>47330</v>
      </c>
      <c r="CQ3" s="20">
        <v>47361</v>
      </c>
      <c r="CR3" s="20">
        <v>47391</v>
      </c>
      <c r="CS3" s="20">
        <v>47422</v>
      </c>
      <c r="CT3" s="20">
        <v>47452</v>
      </c>
      <c r="CU3" s="161">
        <v>47483</v>
      </c>
      <c r="CV3" s="20">
        <v>47514</v>
      </c>
      <c r="CW3" s="20">
        <v>47542</v>
      </c>
      <c r="CX3" s="20">
        <v>47573</v>
      </c>
      <c r="CY3" s="20">
        <v>47603</v>
      </c>
      <c r="CZ3" s="20">
        <v>47634</v>
      </c>
      <c r="DA3" s="20">
        <v>47664</v>
      </c>
      <c r="DB3" s="20">
        <v>47695</v>
      </c>
      <c r="DC3" s="20">
        <v>47726</v>
      </c>
      <c r="DD3" s="20">
        <v>47756</v>
      </c>
      <c r="DE3" s="20">
        <v>47787</v>
      </c>
      <c r="DF3" s="20">
        <v>47817</v>
      </c>
      <c r="DG3" s="20">
        <v>47848</v>
      </c>
      <c r="DH3" s="20"/>
      <c r="DI3" s="20"/>
      <c r="DJ3" s="35"/>
    </row>
    <row r="4" spans="1:114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AJ4" s="162"/>
      <c r="AM4" s="162"/>
      <c r="AY4" s="162"/>
      <c r="BK4" s="162"/>
      <c r="BW4" s="162"/>
      <c r="CI4" s="162"/>
      <c r="CU4" s="162"/>
    </row>
    <row r="5" spans="1:114" s="90" customFormat="1" x14ac:dyDescent="0.3">
      <c r="A5"/>
      <c r="B5" s="1"/>
      <c r="C5" s="1"/>
      <c r="M5" s="91"/>
      <c r="N5" s="91"/>
      <c r="O5" s="133"/>
      <c r="P5" s="133"/>
      <c r="R5" s="91"/>
      <c r="V5" s="91"/>
      <c r="W5" s="91"/>
      <c r="X5" s="91"/>
      <c r="Y5" s="91"/>
      <c r="Z5" s="91"/>
      <c r="AA5" s="91"/>
      <c r="AB5" s="91"/>
      <c r="AC5" s="91"/>
      <c r="AE5" s="91"/>
      <c r="AF5" s="91"/>
      <c r="AG5" s="91"/>
      <c r="AH5" s="91"/>
      <c r="AI5" s="91"/>
      <c r="AJ5" s="163"/>
      <c r="AM5" s="163"/>
      <c r="AY5" s="163"/>
      <c r="BK5" s="163"/>
      <c r="BW5" s="163"/>
      <c r="CI5" s="163"/>
      <c r="CU5" s="163"/>
    </row>
    <row r="6" spans="1:114" s="90" customFormat="1" x14ac:dyDescent="0.3">
      <c r="A6"/>
      <c r="B6" s="1" t="s">
        <v>256</v>
      </c>
      <c r="C6" s="1"/>
      <c r="M6" s="91"/>
      <c r="N6" s="91"/>
      <c r="O6" s="91"/>
      <c r="P6" s="91"/>
      <c r="R6" s="91"/>
      <c r="U6" s="90">
        <v>0</v>
      </c>
      <c r="V6" s="91">
        <v>0</v>
      </c>
      <c r="W6" s="91">
        <v>0</v>
      </c>
      <c r="X6" s="91">
        <v>0</v>
      </c>
      <c r="Y6" s="91">
        <v>150000</v>
      </c>
      <c r="Z6" s="91">
        <v>187500</v>
      </c>
      <c r="AA6" s="91">
        <v>112500</v>
      </c>
      <c r="AB6" s="91"/>
      <c r="AC6" s="91">
        <v>112500</v>
      </c>
      <c r="AD6" s="91">
        <v>112500</v>
      </c>
      <c r="AE6" s="91"/>
      <c r="AF6" s="91">
        <v>76995</v>
      </c>
      <c r="AG6" s="91"/>
      <c r="AH6" s="91"/>
      <c r="AI6" s="91"/>
      <c r="AJ6" s="163"/>
      <c r="AK6" s="365">
        <f>+'Home Builder Revenue Build'!Z71</f>
        <v>0</v>
      </c>
      <c r="AL6" s="366">
        <f>+'Home Builder Revenue Build'!AA71</f>
        <v>0</v>
      </c>
      <c r="AM6" s="382">
        <f>+'Home Builder Revenue Build'!AB71</f>
        <v>90000</v>
      </c>
      <c r="AN6" s="366">
        <f>+'Home Builder Revenue Build'!AC71</f>
        <v>0</v>
      </c>
      <c r="AO6" s="366">
        <f>+'Home Builder Revenue Build'!AD71</f>
        <v>0</v>
      </c>
      <c r="AP6" s="366">
        <f>+'Home Builder Revenue Build'!AE71</f>
        <v>0</v>
      </c>
      <c r="AQ6" s="366">
        <f>+'Home Builder Revenue Build'!AF71</f>
        <v>180000</v>
      </c>
      <c r="AR6" s="366">
        <f>+'Home Builder Revenue Build'!AG71</f>
        <v>225000</v>
      </c>
      <c r="AS6" s="366">
        <f>+'Home Builder Revenue Build'!AH71</f>
        <v>285000</v>
      </c>
      <c r="AT6" s="366">
        <f>+'Home Builder Revenue Build'!AI71</f>
        <v>0</v>
      </c>
      <c r="AU6" s="366">
        <f>+'Home Builder Revenue Build'!AJ71</f>
        <v>135000</v>
      </c>
      <c r="AV6" s="366">
        <f>+'Home Builder Revenue Build'!AK71</f>
        <v>0</v>
      </c>
      <c r="AW6" s="366">
        <f>+'Home Builder Revenue Build'!AL71</f>
        <v>435000</v>
      </c>
      <c r="AX6" s="366">
        <f>+'Home Builder Revenue Build'!AM71</f>
        <v>375000</v>
      </c>
      <c r="AY6" s="382">
        <f>+'Home Builder Revenue Build'!AN71</f>
        <v>225000</v>
      </c>
      <c r="AZ6" s="366">
        <f>+'Home Builder Revenue Build'!AO71</f>
        <v>0</v>
      </c>
      <c r="BA6" s="366">
        <f>+'Home Builder Revenue Build'!AP71</f>
        <v>225000</v>
      </c>
      <c r="BB6" s="366">
        <f>+'Home Builder Revenue Build'!AQ71</f>
        <v>0</v>
      </c>
      <c r="BC6" s="366">
        <f>+'Home Builder Revenue Build'!AR71</f>
        <v>225000</v>
      </c>
      <c r="BD6" s="366">
        <f>+'Home Builder Revenue Build'!AS71</f>
        <v>215000</v>
      </c>
      <c r="BE6" s="366">
        <f>+'Home Builder Revenue Build'!AT71</f>
        <v>0</v>
      </c>
      <c r="BF6" s="366">
        <f>+'Home Builder Revenue Build'!AU71</f>
        <v>0</v>
      </c>
      <c r="BG6" s="366">
        <f>+'Home Builder Revenue Build'!AV71</f>
        <v>0</v>
      </c>
      <c r="BH6" s="366">
        <f>+'Home Builder Revenue Build'!AW71</f>
        <v>430000</v>
      </c>
      <c r="BI6" s="366">
        <f>+'Home Builder Revenue Build'!AX71</f>
        <v>537500</v>
      </c>
      <c r="BJ6" s="366">
        <f>+'Home Builder Revenue Build'!AY71</f>
        <v>322500</v>
      </c>
      <c r="BK6" s="382">
        <f>+'Home Builder Revenue Build'!AZ71</f>
        <v>0</v>
      </c>
      <c r="BL6" s="366">
        <f>+'Home Builder Revenue Build'!BA71</f>
        <v>322500</v>
      </c>
      <c r="BM6" s="366">
        <f>+'Home Builder Revenue Build'!BB71</f>
        <v>0</v>
      </c>
      <c r="BN6" s="366">
        <f>+'Home Builder Revenue Build'!BC71</f>
        <v>322500</v>
      </c>
      <c r="BO6" s="366">
        <f>+'Home Builder Revenue Build'!BD71</f>
        <v>0</v>
      </c>
      <c r="BP6" s="366">
        <f>+'Home Builder Revenue Build'!BE71</f>
        <v>295000</v>
      </c>
      <c r="BQ6" s="366">
        <f>+'Home Builder Revenue Build'!BF71</f>
        <v>0</v>
      </c>
      <c r="BR6" s="366">
        <f>+'Home Builder Revenue Build'!BG71</f>
        <v>0</v>
      </c>
      <c r="BS6" s="366">
        <f>+'Home Builder Revenue Build'!BH71</f>
        <v>0</v>
      </c>
      <c r="BT6" s="366">
        <f>+'Home Builder Revenue Build'!BI71</f>
        <v>590000</v>
      </c>
      <c r="BU6" s="366">
        <f>+'Home Builder Revenue Build'!BJ71</f>
        <v>737500</v>
      </c>
      <c r="BV6" s="366">
        <f>+'Home Builder Revenue Build'!BK71</f>
        <v>442500</v>
      </c>
      <c r="BW6" s="382">
        <f>+'Home Builder Revenue Build'!BL71</f>
        <v>0</v>
      </c>
      <c r="BX6" s="366">
        <f>+'Home Builder Revenue Build'!BM71</f>
        <v>442500</v>
      </c>
      <c r="BY6" s="366">
        <f>+'Home Builder Revenue Build'!BN71</f>
        <v>0</v>
      </c>
      <c r="BZ6" s="366">
        <f>+'Home Builder Revenue Build'!BO71</f>
        <v>442500</v>
      </c>
      <c r="CA6" s="366">
        <f>+'Home Builder Revenue Build'!BP71</f>
        <v>0</v>
      </c>
      <c r="CB6" s="366">
        <f>+'Home Builder Revenue Build'!BQ71</f>
        <v>340000</v>
      </c>
      <c r="CC6" s="366">
        <f>+'Home Builder Revenue Build'!BR71</f>
        <v>0</v>
      </c>
      <c r="CD6" s="366">
        <f>+'Home Builder Revenue Build'!BS71</f>
        <v>0</v>
      </c>
      <c r="CE6" s="366">
        <f>+'Home Builder Revenue Build'!BT71</f>
        <v>0</v>
      </c>
      <c r="CF6" s="366">
        <f>+'Home Builder Revenue Build'!BU71</f>
        <v>680000</v>
      </c>
      <c r="CG6" s="366">
        <f>+'Home Builder Revenue Build'!BV71</f>
        <v>850000</v>
      </c>
      <c r="CH6" s="366">
        <f>+'Home Builder Revenue Build'!BW71</f>
        <v>510000</v>
      </c>
      <c r="CI6" s="382">
        <f>+'Home Builder Revenue Build'!BX71</f>
        <v>0</v>
      </c>
      <c r="CJ6" s="366">
        <f>+'Home Builder Revenue Build'!BY71</f>
        <v>510000</v>
      </c>
      <c r="CK6" s="366">
        <f>+'Home Builder Revenue Build'!BZ71</f>
        <v>0</v>
      </c>
      <c r="CL6" s="366">
        <f>+'Home Builder Revenue Build'!CA71</f>
        <v>510000</v>
      </c>
      <c r="CM6" s="366">
        <f>+'Home Builder Revenue Build'!CB71</f>
        <v>0</v>
      </c>
      <c r="CN6" s="366">
        <f>+'Home Builder Revenue Build'!CC71</f>
        <v>450000</v>
      </c>
      <c r="CO6" s="366">
        <f>+'Home Builder Revenue Build'!CD71</f>
        <v>0</v>
      </c>
      <c r="CP6" s="366">
        <f>+'Home Builder Revenue Build'!CE71</f>
        <v>0</v>
      </c>
      <c r="CQ6" s="366">
        <f>+'Home Builder Revenue Build'!CF71</f>
        <v>0</v>
      </c>
      <c r="CR6" s="366">
        <f>+'Home Builder Revenue Build'!CG71</f>
        <v>900000</v>
      </c>
      <c r="CS6" s="366">
        <f>+'Home Builder Revenue Build'!CH71</f>
        <v>1125000</v>
      </c>
      <c r="CT6" s="366">
        <f>+'Home Builder Revenue Build'!CI71</f>
        <v>675000</v>
      </c>
      <c r="CU6" s="382">
        <f>+'Home Builder Revenue Build'!CJ71</f>
        <v>0</v>
      </c>
      <c r="CV6" s="366">
        <f>+'Home Builder Revenue Build'!CK71</f>
        <v>1165000</v>
      </c>
      <c r="CW6" s="366">
        <f>+'Home Builder Revenue Build'!CL71</f>
        <v>0</v>
      </c>
      <c r="CX6" s="366">
        <f>+'Home Builder Revenue Build'!CM71</f>
        <v>675000</v>
      </c>
      <c r="CY6" s="366">
        <f>+'Home Builder Revenue Build'!CN71</f>
        <v>0</v>
      </c>
      <c r="CZ6" s="366">
        <f>+'Home Builder Revenue Build'!CO71</f>
        <v>980000</v>
      </c>
      <c r="DA6" s="366">
        <f>+'Home Builder Revenue Build'!CP71</f>
        <v>1225000</v>
      </c>
      <c r="DB6" s="366">
        <f>+'Home Builder Revenue Build'!CQ71</f>
        <v>735000</v>
      </c>
      <c r="DC6" s="366">
        <f>+'Home Builder Revenue Build'!CR71</f>
        <v>0</v>
      </c>
      <c r="DD6" s="366">
        <f>+'Home Builder Revenue Build'!CS71</f>
        <v>735000</v>
      </c>
      <c r="DE6" s="366">
        <f>+'Home Builder Revenue Build'!CT71</f>
        <v>0</v>
      </c>
      <c r="DF6" s="366">
        <f>+'Home Builder Revenue Build'!CU71</f>
        <v>735000</v>
      </c>
      <c r="DG6" s="366">
        <f>+'Home Builder Revenue Build'!CV71</f>
        <v>0</v>
      </c>
    </row>
    <row r="7" spans="1:114" s="90" customFormat="1" x14ac:dyDescent="0.3">
      <c r="A7"/>
      <c r="B7" s="1" t="s">
        <v>347</v>
      </c>
      <c r="C7" s="1"/>
      <c r="M7" s="91"/>
      <c r="N7" s="91"/>
      <c r="O7" s="91"/>
      <c r="P7" s="91"/>
      <c r="R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>
        <v>5464.32</v>
      </c>
      <c r="AG7" s="91">
        <v>10928.64</v>
      </c>
      <c r="AH7" s="91">
        <v>700</v>
      </c>
      <c r="AI7" s="91">
        <v>45897</v>
      </c>
      <c r="AJ7" s="163">
        <v>49010.3</v>
      </c>
      <c r="AK7" s="365">
        <f>+'Contractor Revenue Build'!O39</f>
        <v>115381.11</v>
      </c>
      <c r="AL7" s="365">
        <f>+'Contractor Revenue Build'!P39</f>
        <v>40916.666666666664</v>
      </c>
      <c r="AM7" s="382">
        <f>+'Contractor Revenue Build'!Q39</f>
        <v>8100.0000000000009</v>
      </c>
      <c r="AN7" s="365">
        <f>+'Contractor Revenue Build'!R39</f>
        <v>29700</v>
      </c>
      <c r="AO7" s="365">
        <f>+'Contractor Revenue Build'!S39</f>
        <v>36000</v>
      </c>
      <c r="AP7" s="365">
        <f>+'Contractor Revenue Build'!T39</f>
        <v>24300</v>
      </c>
      <c r="AQ7" s="365">
        <f>+'Contractor Revenue Build'!U39</f>
        <v>29700</v>
      </c>
      <c r="AR7" s="365">
        <f>+'Contractor Revenue Build'!V39</f>
        <v>36000</v>
      </c>
      <c r="AS7" s="365">
        <f>+'Contractor Revenue Build'!W39</f>
        <v>24300</v>
      </c>
      <c r="AT7" s="365">
        <f>+'Contractor Revenue Build'!X39</f>
        <v>29700</v>
      </c>
      <c r="AU7" s="365">
        <f>+'Contractor Revenue Build'!Y39</f>
        <v>36000</v>
      </c>
      <c r="AV7" s="365">
        <f>+'Contractor Revenue Build'!Z39</f>
        <v>24300</v>
      </c>
      <c r="AW7" s="365">
        <f>+'Contractor Revenue Build'!AA39</f>
        <v>29700</v>
      </c>
      <c r="AX7" s="365">
        <f>+'Contractor Revenue Build'!AB39</f>
        <v>36000</v>
      </c>
      <c r="AY7" s="382">
        <f>+'Contractor Revenue Build'!AC39</f>
        <v>24300</v>
      </c>
      <c r="AZ7" s="365">
        <f>+'Contractor Revenue Build'!AD39</f>
        <v>29700</v>
      </c>
      <c r="BA7" s="365">
        <f>+'Contractor Revenue Build'!AE39</f>
        <v>36000</v>
      </c>
      <c r="BB7" s="365">
        <f>+'Contractor Revenue Build'!AF39</f>
        <v>24300</v>
      </c>
      <c r="BC7" s="365">
        <f>+'Contractor Revenue Build'!AG39</f>
        <v>29700</v>
      </c>
      <c r="BD7" s="365">
        <f>+'Contractor Revenue Build'!AH39</f>
        <v>36000</v>
      </c>
      <c r="BE7" s="365">
        <f>+'Contractor Revenue Build'!AI39</f>
        <v>24300</v>
      </c>
      <c r="BF7" s="365">
        <f>+'Contractor Revenue Build'!AJ39</f>
        <v>39600</v>
      </c>
      <c r="BG7" s="365">
        <f>+'Contractor Revenue Build'!AK39</f>
        <v>48000</v>
      </c>
      <c r="BH7" s="365">
        <f>+'Contractor Revenue Build'!AL39</f>
        <v>32400.000000000004</v>
      </c>
      <c r="BI7" s="365">
        <f>+'Contractor Revenue Build'!AM39</f>
        <v>39600</v>
      </c>
      <c r="BJ7" s="365">
        <f>+'Contractor Revenue Build'!AN39</f>
        <v>48000</v>
      </c>
      <c r="BK7" s="382">
        <f>+'Contractor Revenue Build'!AO39</f>
        <v>32400.000000000004</v>
      </c>
      <c r="BL7" s="365">
        <f>+'Contractor Revenue Build'!AP39</f>
        <v>49500</v>
      </c>
      <c r="BM7" s="365">
        <f>+'Contractor Revenue Build'!AQ39</f>
        <v>60000</v>
      </c>
      <c r="BN7" s="365">
        <f>+'Contractor Revenue Build'!AR39</f>
        <v>40500</v>
      </c>
      <c r="BO7" s="365">
        <f>+'Contractor Revenue Build'!AS39</f>
        <v>49500</v>
      </c>
      <c r="BP7" s="365">
        <f>+'Contractor Revenue Build'!AT39</f>
        <v>60000</v>
      </c>
      <c r="BQ7" s="365">
        <f>+'Contractor Revenue Build'!AU39</f>
        <v>40500</v>
      </c>
      <c r="BR7" s="365">
        <f>+'Contractor Revenue Build'!AV39</f>
        <v>49500</v>
      </c>
      <c r="BS7" s="365">
        <f>+'Contractor Revenue Build'!AW39</f>
        <v>60000</v>
      </c>
      <c r="BT7" s="365">
        <f>+'Contractor Revenue Build'!AX39</f>
        <v>40500</v>
      </c>
      <c r="BU7" s="365">
        <f>+'Contractor Revenue Build'!AY39</f>
        <v>49500</v>
      </c>
      <c r="BV7" s="365">
        <f>+'Contractor Revenue Build'!AZ39</f>
        <v>60000</v>
      </c>
      <c r="BW7" s="382">
        <f>+'Contractor Revenue Build'!BA39</f>
        <v>40500</v>
      </c>
      <c r="BX7" s="365">
        <f>+'Contractor Revenue Build'!BB39</f>
        <v>59400</v>
      </c>
      <c r="BY7" s="365">
        <f>+'Contractor Revenue Build'!BC39</f>
        <v>72000</v>
      </c>
      <c r="BZ7" s="365">
        <f>+'Contractor Revenue Build'!BD39</f>
        <v>48600</v>
      </c>
      <c r="CA7" s="365">
        <f>+'Contractor Revenue Build'!BE39</f>
        <v>59400</v>
      </c>
      <c r="CB7" s="365">
        <f>+'Contractor Revenue Build'!BF39</f>
        <v>72000</v>
      </c>
      <c r="CC7" s="365">
        <f>+'Contractor Revenue Build'!BG39</f>
        <v>48600</v>
      </c>
      <c r="CD7" s="365">
        <f>+'Contractor Revenue Build'!BH39</f>
        <v>59400</v>
      </c>
      <c r="CE7" s="365">
        <f>+'Contractor Revenue Build'!BI39</f>
        <v>72000</v>
      </c>
      <c r="CF7" s="365">
        <f>+'Contractor Revenue Build'!BJ39</f>
        <v>48600</v>
      </c>
      <c r="CG7" s="365">
        <f>+'Contractor Revenue Build'!BK39</f>
        <v>59400</v>
      </c>
      <c r="CH7" s="365">
        <f>+'Contractor Revenue Build'!BL39</f>
        <v>72000</v>
      </c>
      <c r="CI7" s="382">
        <f>+'Contractor Revenue Build'!BM39</f>
        <v>48600</v>
      </c>
      <c r="CJ7" s="365">
        <f>+'Contractor Revenue Build'!BN39</f>
        <v>69300</v>
      </c>
      <c r="CK7" s="365">
        <f>+'Contractor Revenue Build'!BO39</f>
        <v>84000</v>
      </c>
      <c r="CL7" s="365">
        <f>+'Contractor Revenue Build'!BP39</f>
        <v>56700.000000000007</v>
      </c>
      <c r="CM7" s="365">
        <f>+'Contractor Revenue Build'!BQ39</f>
        <v>69300</v>
      </c>
      <c r="CN7" s="365">
        <f>+'Contractor Revenue Build'!BR39</f>
        <v>84000</v>
      </c>
      <c r="CO7" s="365">
        <f>+'Contractor Revenue Build'!BS39</f>
        <v>56700.000000000007</v>
      </c>
      <c r="CP7" s="365">
        <f>+'Contractor Revenue Build'!BT39</f>
        <v>79200</v>
      </c>
      <c r="CQ7" s="365">
        <f>+'Contractor Revenue Build'!BU39</f>
        <v>96000</v>
      </c>
      <c r="CR7" s="365">
        <f>+'Contractor Revenue Build'!BV39</f>
        <v>64800.000000000007</v>
      </c>
      <c r="CS7" s="365">
        <f>+'Contractor Revenue Build'!BW39</f>
        <v>79200</v>
      </c>
      <c r="CT7" s="365">
        <f>+'Contractor Revenue Build'!BX39</f>
        <v>96000</v>
      </c>
      <c r="CU7" s="382">
        <f>+'Contractor Revenue Build'!BY39</f>
        <v>64800.000000000007</v>
      </c>
      <c r="CV7" s="365">
        <f>+'Contractor Revenue Build'!BZ39</f>
        <v>79200</v>
      </c>
      <c r="CW7" s="365">
        <f>+'Contractor Revenue Build'!CA39</f>
        <v>96000</v>
      </c>
      <c r="CX7" s="365">
        <f>+'Contractor Revenue Build'!CB39</f>
        <v>64800.000000000007</v>
      </c>
      <c r="CY7" s="365">
        <f>+'Contractor Revenue Build'!CC39</f>
        <v>79200</v>
      </c>
      <c r="CZ7" s="365">
        <f>+'Contractor Revenue Build'!CD39</f>
        <v>96000</v>
      </c>
      <c r="DA7" s="365">
        <f>+'Contractor Revenue Build'!CE39</f>
        <v>64800.000000000007</v>
      </c>
      <c r="DB7" s="365">
        <f>+'Contractor Revenue Build'!CF39</f>
        <v>89100</v>
      </c>
      <c r="DC7" s="365">
        <f>+'Contractor Revenue Build'!CG39</f>
        <v>108000</v>
      </c>
      <c r="DD7" s="365">
        <f>+'Contractor Revenue Build'!CH39</f>
        <v>72900</v>
      </c>
      <c r="DE7" s="365">
        <f>+'Contractor Revenue Build'!CI39</f>
        <v>89100</v>
      </c>
      <c r="DF7" s="365">
        <f>+'Contractor Revenue Build'!CJ39</f>
        <v>108000</v>
      </c>
      <c r="DG7" s="365">
        <f>+'Contractor Revenue Build'!CK39</f>
        <v>72900</v>
      </c>
    </row>
    <row r="8" spans="1:114" s="3" customFormat="1" x14ac:dyDescent="0.3">
      <c r="B8" s="4" t="s">
        <v>2</v>
      </c>
      <c r="C8" s="4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>
        <f t="shared" ref="P8:AB8" si="7">SUM(P6:P6)</f>
        <v>0</v>
      </c>
      <c r="Q8" s="37">
        <f t="shared" si="7"/>
        <v>0</v>
      </c>
      <c r="R8" s="37">
        <f t="shared" si="7"/>
        <v>0</v>
      </c>
      <c r="S8" s="37">
        <f t="shared" si="7"/>
        <v>0</v>
      </c>
      <c r="T8" s="37">
        <f t="shared" si="7"/>
        <v>0</v>
      </c>
      <c r="U8" s="37">
        <f t="shared" si="7"/>
        <v>0</v>
      </c>
      <c r="V8" s="37">
        <f t="shared" si="7"/>
        <v>0</v>
      </c>
      <c r="W8" s="37">
        <f t="shared" si="7"/>
        <v>0</v>
      </c>
      <c r="X8" s="37">
        <f t="shared" si="7"/>
        <v>0</v>
      </c>
      <c r="Y8" s="37">
        <f t="shared" si="7"/>
        <v>150000</v>
      </c>
      <c r="Z8" s="37">
        <f t="shared" si="7"/>
        <v>187500</v>
      </c>
      <c r="AA8" s="37">
        <f t="shared" si="7"/>
        <v>112500</v>
      </c>
      <c r="AB8" s="37">
        <f t="shared" si="7"/>
        <v>0</v>
      </c>
      <c r="AC8" s="37">
        <f t="shared" ref="AC8" si="8">SUM(AC6:AC6)</f>
        <v>112500</v>
      </c>
      <c r="AD8" s="37">
        <f t="shared" ref="AD8:AE8" si="9">SUM(AD6:AD6)</f>
        <v>112500</v>
      </c>
      <c r="AE8" s="37">
        <f t="shared" si="9"/>
        <v>0</v>
      </c>
      <c r="AF8" s="37">
        <f t="shared" ref="AF8:AK8" si="10">SUM(AF6:AF7)</f>
        <v>82459.320000000007</v>
      </c>
      <c r="AG8" s="37">
        <f t="shared" si="10"/>
        <v>10928.64</v>
      </c>
      <c r="AH8" s="37">
        <f t="shared" si="10"/>
        <v>700</v>
      </c>
      <c r="AI8" s="37">
        <f t="shared" si="10"/>
        <v>45897</v>
      </c>
      <c r="AJ8" s="164">
        <f t="shared" si="10"/>
        <v>49010.3</v>
      </c>
      <c r="AK8" s="46">
        <f t="shared" si="10"/>
        <v>115381.11</v>
      </c>
      <c r="AL8" s="46">
        <f t="shared" ref="AL8:CR8" si="11">SUM(AL6:AL7)</f>
        <v>40916.666666666664</v>
      </c>
      <c r="AM8" s="383">
        <f t="shared" si="11"/>
        <v>98100</v>
      </c>
      <c r="AN8" s="46">
        <f t="shared" si="11"/>
        <v>29700</v>
      </c>
      <c r="AO8" s="46">
        <f t="shared" si="11"/>
        <v>36000</v>
      </c>
      <c r="AP8" s="46">
        <f t="shared" si="11"/>
        <v>24300</v>
      </c>
      <c r="AQ8" s="46">
        <f t="shared" si="11"/>
        <v>209700</v>
      </c>
      <c r="AR8" s="46">
        <f t="shared" si="11"/>
        <v>261000</v>
      </c>
      <c r="AS8" s="46">
        <f t="shared" si="11"/>
        <v>309300</v>
      </c>
      <c r="AT8" s="46">
        <f t="shared" si="11"/>
        <v>29700</v>
      </c>
      <c r="AU8" s="46">
        <f t="shared" si="11"/>
        <v>171000</v>
      </c>
      <c r="AV8" s="46">
        <f t="shared" si="11"/>
        <v>24300</v>
      </c>
      <c r="AW8" s="46">
        <f t="shared" si="11"/>
        <v>464700</v>
      </c>
      <c r="AX8" s="46">
        <f t="shared" si="11"/>
        <v>411000</v>
      </c>
      <c r="AY8" s="383">
        <f t="shared" si="11"/>
        <v>249300</v>
      </c>
      <c r="AZ8" s="46">
        <f t="shared" si="11"/>
        <v>29700</v>
      </c>
      <c r="BA8" s="46">
        <f t="shared" si="11"/>
        <v>261000</v>
      </c>
      <c r="BB8" s="46">
        <f t="shared" si="11"/>
        <v>24300</v>
      </c>
      <c r="BC8" s="46">
        <f t="shared" si="11"/>
        <v>254700</v>
      </c>
      <c r="BD8" s="46">
        <f t="shared" si="11"/>
        <v>251000</v>
      </c>
      <c r="BE8" s="46">
        <f t="shared" si="11"/>
        <v>24300</v>
      </c>
      <c r="BF8" s="46">
        <f t="shared" si="11"/>
        <v>39600</v>
      </c>
      <c r="BG8" s="46">
        <f t="shared" si="11"/>
        <v>48000</v>
      </c>
      <c r="BH8" s="46">
        <f t="shared" si="11"/>
        <v>462400</v>
      </c>
      <c r="BI8" s="46">
        <f t="shared" si="11"/>
        <v>577100</v>
      </c>
      <c r="BJ8" s="46">
        <f t="shared" si="11"/>
        <v>370500</v>
      </c>
      <c r="BK8" s="383">
        <f t="shared" si="11"/>
        <v>32400.000000000004</v>
      </c>
      <c r="BL8" s="46">
        <f t="shared" si="11"/>
        <v>372000</v>
      </c>
      <c r="BM8" s="46">
        <f t="shared" si="11"/>
        <v>60000</v>
      </c>
      <c r="BN8" s="46">
        <f t="shared" si="11"/>
        <v>363000</v>
      </c>
      <c r="BO8" s="46">
        <f t="shared" si="11"/>
        <v>49500</v>
      </c>
      <c r="BP8" s="46">
        <f t="shared" si="11"/>
        <v>355000</v>
      </c>
      <c r="BQ8" s="46">
        <f t="shared" si="11"/>
        <v>40500</v>
      </c>
      <c r="BR8" s="46">
        <f t="shared" si="11"/>
        <v>49500</v>
      </c>
      <c r="BS8" s="46">
        <f t="shared" si="11"/>
        <v>60000</v>
      </c>
      <c r="BT8" s="46">
        <f t="shared" si="11"/>
        <v>630500</v>
      </c>
      <c r="BU8" s="46">
        <f t="shared" si="11"/>
        <v>787000</v>
      </c>
      <c r="BV8" s="46">
        <f t="shared" si="11"/>
        <v>502500</v>
      </c>
      <c r="BW8" s="383">
        <f t="shared" si="11"/>
        <v>40500</v>
      </c>
      <c r="BX8" s="46">
        <f t="shared" si="11"/>
        <v>501900</v>
      </c>
      <c r="BY8" s="46">
        <f t="shared" si="11"/>
        <v>72000</v>
      </c>
      <c r="BZ8" s="46">
        <f t="shared" si="11"/>
        <v>491100</v>
      </c>
      <c r="CA8" s="46">
        <f t="shared" si="11"/>
        <v>59400</v>
      </c>
      <c r="CB8" s="46">
        <f t="shared" si="11"/>
        <v>412000</v>
      </c>
      <c r="CC8" s="46">
        <f t="shared" si="11"/>
        <v>48600</v>
      </c>
      <c r="CD8" s="46">
        <f t="shared" si="11"/>
        <v>59400</v>
      </c>
      <c r="CE8" s="46">
        <f t="shared" si="11"/>
        <v>72000</v>
      </c>
      <c r="CF8" s="46">
        <f t="shared" si="11"/>
        <v>728600</v>
      </c>
      <c r="CG8" s="46">
        <f t="shared" si="11"/>
        <v>909400</v>
      </c>
      <c r="CH8" s="46">
        <f t="shared" si="11"/>
        <v>582000</v>
      </c>
      <c r="CI8" s="383">
        <f t="shared" si="11"/>
        <v>48600</v>
      </c>
      <c r="CJ8" s="46">
        <f t="shared" si="11"/>
        <v>579300</v>
      </c>
      <c r="CK8" s="46">
        <f t="shared" si="11"/>
        <v>84000</v>
      </c>
      <c r="CL8" s="46">
        <f t="shared" si="11"/>
        <v>566700</v>
      </c>
      <c r="CM8" s="46">
        <f t="shared" si="11"/>
        <v>69300</v>
      </c>
      <c r="CN8" s="46">
        <f t="shared" si="11"/>
        <v>534000</v>
      </c>
      <c r="CO8" s="46">
        <f t="shared" si="11"/>
        <v>56700.000000000007</v>
      </c>
      <c r="CP8" s="46">
        <f t="shared" si="11"/>
        <v>79200</v>
      </c>
      <c r="CQ8" s="46">
        <f t="shared" si="11"/>
        <v>96000</v>
      </c>
      <c r="CR8" s="46">
        <f t="shared" si="11"/>
        <v>964800</v>
      </c>
      <c r="CS8" s="46">
        <f t="shared" ref="CS8:DG8" si="12">SUM(CS6:CS7)</f>
        <v>1204200</v>
      </c>
      <c r="CT8" s="46">
        <f t="shared" si="12"/>
        <v>771000</v>
      </c>
      <c r="CU8" s="383">
        <f t="shared" si="12"/>
        <v>64800.000000000007</v>
      </c>
      <c r="CV8" s="46">
        <f t="shared" si="12"/>
        <v>1244200</v>
      </c>
      <c r="CW8" s="46">
        <f t="shared" si="12"/>
        <v>96000</v>
      </c>
      <c r="CX8" s="46">
        <f t="shared" si="12"/>
        <v>739800</v>
      </c>
      <c r="CY8" s="46">
        <f t="shared" si="12"/>
        <v>79200</v>
      </c>
      <c r="CZ8" s="46">
        <f t="shared" si="12"/>
        <v>1076000</v>
      </c>
      <c r="DA8" s="46">
        <f t="shared" si="12"/>
        <v>1289800</v>
      </c>
      <c r="DB8" s="46">
        <f t="shared" si="12"/>
        <v>824100</v>
      </c>
      <c r="DC8" s="46">
        <f t="shared" si="12"/>
        <v>108000</v>
      </c>
      <c r="DD8" s="46">
        <f t="shared" si="12"/>
        <v>807900</v>
      </c>
      <c r="DE8" s="46">
        <f t="shared" si="12"/>
        <v>89100</v>
      </c>
      <c r="DF8" s="46">
        <f t="shared" si="12"/>
        <v>843000</v>
      </c>
      <c r="DG8" s="46">
        <f t="shared" si="12"/>
        <v>72900</v>
      </c>
    </row>
    <row r="9" spans="1:114" s="3" customFormat="1" x14ac:dyDescent="0.3">
      <c r="B9" s="4" t="s">
        <v>3</v>
      </c>
      <c r="C9" s="4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>
        <f>P8</f>
        <v>0</v>
      </c>
      <c r="Q9" s="37">
        <f t="shared" ref="Q9:CB9" si="13">Q8</f>
        <v>0</v>
      </c>
      <c r="R9" s="37">
        <f t="shared" si="13"/>
        <v>0</v>
      </c>
      <c r="S9" s="37">
        <f t="shared" si="13"/>
        <v>0</v>
      </c>
      <c r="T9" s="37">
        <f t="shared" si="13"/>
        <v>0</v>
      </c>
      <c r="U9" s="37">
        <f t="shared" si="13"/>
        <v>0</v>
      </c>
      <c r="V9" s="37">
        <f t="shared" si="13"/>
        <v>0</v>
      </c>
      <c r="W9" s="37">
        <f t="shared" si="13"/>
        <v>0</v>
      </c>
      <c r="X9" s="37">
        <f t="shared" si="13"/>
        <v>0</v>
      </c>
      <c r="Y9" s="37">
        <f t="shared" si="13"/>
        <v>150000</v>
      </c>
      <c r="Z9" s="37">
        <f t="shared" si="13"/>
        <v>187500</v>
      </c>
      <c r="AA9" s="37">
        <f t="shared" si="13"/>
        <v>112500</v>
      </c>
      <c r="AB9" s="37">
        <f t="shared" si="13"/>
        <v>0</v>
      </c>
      <c r="AC9" s="37">
        <f t="shared" ref="AC9" si="14">AC8</f>
        <v>112500</v>
      </c>
      <c r="AD9" s="37">
        <f t="shared" ref="AD9:AE9" si="15">AD8</f>
        <v>112500</v>
      </c>
      <c r="AE9" s="37">
        <f t="shared" si="15"/>
        <v>0</v>
      </c>
      <c r="AF9" s="37">
        <f t="shared" ref="AF9:AG9" si="16">AF8</f>
        <v>82459.320000000007</v>
      </c>
      <c r="AG9" s="37">
        <f t="shared" si="16"/>
        <v>10928.64</v>
      </c>
      <c r="AH9" s="37">
        <f t="shared" ref="AH9:AI9" si="17">AH8</f>
        <v>700</v>
      </c>
      <c r="AI9" s="37">
        <f t="shared" si="17"/>
        <v>45897</v>
      </c>
      <c r="AJ9" s="164">
        <f t="shared" ref="AJ9" si="18">AJ8</f>
        <v>49010.3</v>
      </c>
      <c r="AK9" s="37">
        <f>AK8</f>
        <v>115381.11</v>
      </c>
      <c r="AL9" s="37">
        <f t="shared" si="13"/>
        <v>40916.666666666664</v>
      </c>
      <c r="AM9" s="164">
        <f t="shared" si="13"/>
        <v>98100</v>
      </c>
      <c r="AN9" s="37">
        <f t="shared" si="13"/>
        <v>29700</v>
      </c>
      <c r="AO9" s="37">
        <f t="shared" si="13"/>
        <v>36000</v>
      </c>
      <c r="AP9" s="37">
        <f t="shared" si="13"/>
        <v>24300</v>
      </c>
      <c r="AQ9" s="37">
        <f t="shared" si="13"/>
        <v>209700</v>
      </c>
      <c r="AR9" s="37">
        <f t="shared" si="13"/>
        <v>261000</v>
      </c>
      <c r="AS9" s="37">
        <f t="shared" si="13"/>
        <v>309300</v>
      </c>
      <c r="AT9" s="37">
        <f t="shared" si="13"/>
        <v>29700</v>
      </c>
      <c r="AU9" s="37">
        <f t="shared" si="13"/>
        <v>171000</v>
      </c>
      <c r="AV9" s="37">
        <f t="shared" si="13"/>
        <v>24300</v>
      </c>
      <c r="AW9" s="37">
        <f t="shared" si="13"/>
        <v>464700</v>
      </c>
      <c r="AX9" s="37">
        <f t="shared" si="13"/>
        <v>411000</v>
      </c>
      <c r="AY9" s="164">
        <f t="shared" si="13"/>
        <v>249300</v>
      </c>
      <c r="AZ9" s="37">
        <f t="shared" si="13"/>
        <v>29700</v>
      </c>
      <c r="BA9" s="37">
        <f t="shared" si="13"/>
        <v>261000</v>
      </c>
      <c r="BB9" s="37">
        <f t="shared" si="13"/>
        <v>24300</v>
      </c>
      <c r="BC9" s="37">
        <f t="shared" si="13"/>
        <v>254700</v>
      </c>
      <c r="BD9" s="37">
        <f t="shared" si="13"/>
        <v>251000</v>
      </c>
      <c r="BE9" s="37">
        <f t="shared" si="13"/>
        <v>24300</v>
      </c>
      <c r="BF9" s="37">
        <f t="shared" si="13"/>
        <v>39600</v>
      </c>
      <c r="BG9" s="37">
        <f t="shared" si="13"/>
        <v>48000</v>
      </c>
      <c r="BH9" s="37">
        <f t="shared" si="13"/>
        <v>462400</v>
      </c>
      <c r="BI9" s="37">
        <f t="shared" si="13"/>
        <v>577100</v>
      </c>
      <c r="BJ9" s="37">
        <f t="shared" si="13"/>
        <v>370500</v>
      </c>
      <c r="BK9" s="164">
        <f t="shared" si="13"/>
        <v>32400.000000000004</v>
      </c>
      <c r="BL9" s="37">
        <f t="shared" si="13"/>
        <v>372000</v>
      </c>
      <c r="BM9" s="37">
        <f t="shared" si="13"/>
        <v>60000</v>
      </c>
      <c r="BN9" s="37">
        <f t="shared" si="13"/>
        <v>363000</v>
      </c>
      <c r="BO9" s="37">
        <f t="shared" si="13"/>
        <v>49500</v>
      </c>
      <c r="BP9" s="37">
        <f t="shared" si="13"/>
        <v>355000</v>
      </c>
      <c r="BQ9" s="37">
        <f t="shared" si="13"/>
        <v>40500</v>
      </c>
      <c r="BR9" s="37">
        <f t="shared" si="13"/>
        <v>49500</v>
      </c>
      <c r="BS9" s="37">
        <f t="shared" si="13"/>
        <v>60000</v>
      </c>
      <c r="BT9" s="37">
        <f t="shared" si="13"/>
        <v>630500</v>
      </c>
      <c r="BU9" s="37">
        <f t="shared" si="13"/>
        <v>787000</v>
      </c>
      <c r="BV9" s="37">
        <f t="shared" si="13"/>
        <v>502500</v>
      </c>
      <c r="BW9" s="164">
        <f t="shared" si="13"/>
        <v>40500</v>
      </c>
      <c r="BX9" s="37">
        <f t="shared" si="13"/>
        <v>501900</v>
      </c>
      <c r="BY9" s="37">
        <f t="shared" si="13"/>
        <v>72000</v>
      </c>
      <c r="BZ9" s="37">
        <f t="shared" si="13"/>
        <v>491100</v>
      </c>
      <c r="CA9" s="37">
        <f t="shared" si="13"/>
        <v>59400</v>
      </c>
      <c r="CB9" s="37">
        <f t="shared" si="13"/>
        <v>412000</v>
      </c>
      <c r="CC9" s="37">
        <f t="shared" ref="CC9:DG9" si="19">CC8</f>
        <v>48600</v>
      </c>
      <c r="CD9" s="37">
        <f t="shared" si="19"/>
        <v>59400</v>
      </c>
      <c r="CE9" s="37">
        <f t="shared" si="19"/>
        <v>72000</v>
      </c>
      <c r="CF9" s="37">
        <f t="shared" si="19"/>
        <v>728600</v>
      </c>
      <c r="CG9" s="37">
        <f t="shared" si="19"/>
        <v>909400</v>
      </c>
      <c r="CH9" s="37">
        <f t="shared" si="19"/>
        <v>582000</v>
      </c>
      <c r="CI9" s="164">
        <f t="shared" si="19"/>
        <v>48600</v>
      </c>
      <c r="CJ9" s="37">
        <f t="shared" si="19"/>
        <v>579300</v>
      </c>
      <c r="CK9" s="37">
        <f t="shared" si="19"/>
        <v>84000</v>
      </c>
      <c r="CL9" s="37">
        <f t="shared" si="19"/>
        <v>566700</v>
      </c>
      <c r="CM9" s="37">
        <f t="shared" si="19"/>
        <v>69300</v>
      </c>
      <c r="CN9" s="37">
        <f t="shared" si="19"/>
        <v>534000</v>
      </c>
      <c r="CO9" s="37">
        <f t="shared" si="19"/>
        <v>56700.000000000007</v>
      </c>
      <c r="CP9" s="37">
        <f t="shared" si="19"/>
        <v>79200</v>
      </c>
      <c r="CQ9" s="37">
        <f t="shared" si="19"/>
        <v>96000</v>
      </c>
      <c r="CR9" s="37">
        <f t="shared" si="19"/>
        <v>964800</v>
      </c>
      <c r="CS9" s="37">
        <f t="shared" si="19"/>
        <v>1204200</v>
      </c>
      <c r="CT9" s="37">
        <f t="shared" si="19"/>
        <v>771000</v>
      </c>
      <c r="CU9" s="164">
        <f t="shared" si="19"/>
        <v>64800.000000000007</v>
      </c>
      <c r="CV9" s="37">
        <f t="shared" si="19"/>
        <v>1244200</v>
      </c>
      <c r="CW9" s="37">
        <f t="shared" si="19"/>
        <v>96000</v>
      </c>
      <c r="CX9" s="37">
        <f t="shared" si="19"/>
        <v>739800</v>
      </c>
      <c r="CY9" s="37">
        <f t="shared" si="19"/>
        <v>79200</v>
      </c>
      <c r="CZ9" s="37">
        <f t="shared" si="19"/>
        <v>1076000</v>
      </c>
      <c r="DA9" s="37">
        <f t="shared" si="19"/>
        <v>1289800</v>
      </c>
      <c r="DB9" s="37">
        <f t="shared" si="19"/>
        <v>824100</v>
      </c>
      <c r="DC9" s="37">
        <f t="shared" si="19"/>
        <v>108000</v>
      </c>
      <c r="DD9" s="37">
        <f t="shared" si="19"/>
        <v>807900</v>
      </c>
      <c r="DE9" s="37">
        <f t="shared" si="19"/>
        <v>89100</v>
      </c>
      <c r="DF9" s="37">
        <f t="shared" si="19"/>
        <v>843000</v>
      </c>
      <c r="DG9" s="37">
        <f t="shared" si="19"/>
        <v>72900</v>
      </c>
    </row>
    <row r="10" spans="1:114" s="368" customFormat="1" x14ac:dyDescent="0.3">
      <c r="B10" s="369" t="s">
        <v>357</v>
      </c>
      <c r="C10" s="369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70"/>
      <c r="P10" s="370">
        <f>+'Home Builder Revenue Build'!E72</f>
        <v>0</v>
      </c>
      <c r="Q10" s="370">
        <f>+'Home Builder Revenue Build'!F72</f>
        <v>0</v>
      </c>
      <c r="R10" s="370">
        <f>+'Home Builder Revenue Build'!G72</f>
        <v>0</v>
      </c>
      <c r="S10" s="370">
        <f>+'Home Builder Revenue Build'!H72</f>
        <v>0</v>
      </c>
      <c r="T10" s="370">
        <f>+'Home Builder Revenue Build'!I72</f>
        <v>0</v>
      </c>
      <c r="U10" s="370">
        <f>+'Home Builder Revenue Build'!J72</f>
        <v>0</v>
      </c>
      <c r="V10" s="370">
        <f>+'Home Builder Revenue Build'!K72</f>
        <v>0</v>
      </c>
      <c r="W10" s="370">
        <f>+'Home Builder Revenue Build'!L72</f>
        <v>27721.396153846152</v>
      </c>
      <c r="X10" s="370">
        <f>+'Home Builder Revenue Build'!M72</f>
        <v>2097.830769230769</v>
      </c>
      <c r="Y10" s="370">
        <f>+'Home Builder Revenue Build'!N72</f>
        <v>94903.523076923069</v>
      </c>
      <c r="Z10" s="370">
        <f>+'Home Builder Revenue Build'!O72</f>
        <v>170208.46153846153</v>
      </c>
      <c r="AA10" s="370">
        <f>+'Home Builder Revenue Build'!P72</f>
        <v>155068.78692307702</v>
      </c>
      <c r="AB10" s="370">
        <f>+'Home Builder Revenue Build'!Q72</f>
        <v>87244.400821314324</v>
      </c>
      <c r="AC10" s="370">
        <f>+'Home Builder Revenue Build'!R72</f>
        <v>18265.480044688287</v>
      </c>
      <c r="AD10" s="370">
        <f>+'Home Builder Revenue Build'!S72</f>
        <v>139877.15670038012</v>
      </c>
      <c r="AE10" s="370">
        <f>+'Home Builder Revenue Build'!T72</f>
        <v>54612.964280799766</v>
      </c>
      <c r="AF10" s="370">
        <f>+'Home Builder Revenue Build'!U72</f>
        <v>1995</v>
      </c>
      <c r="AG10" s="370">
        <f>+'Home Builder Revenue Build'!V72</f>
        <v>0</v>
      </c>
      <c r="AH10" s="370">
        <f>+'Home Builder Revenue Build'!W72</f>
        <v>0</v>
      </c>
      <c r="AI10" s="370">
        <f>+'Home Builder Revenue Build'!X72</f>
        <v>0</v>
      </c>
      <c r="AJ10" s="371">
        <f>+'Home Builder Revenue Build'!Y72</f>
        <v>0</v>
      </c>
      <c r="AK10" s="370">
        <f>+'Home Builder Revenue Build'!Z72</f>
        <v>0</v>
      </c>
      <c r="AL10" s="370">
        <f>+'Home Builder Revenue Build'!AA72</f>
        <v>0</v>
      </c>
      <c r="AM10" s="371">
        <f>+'Home Builder Revenue Build'!AB72</f>
        <v>0</v>
      </c>
      <c r="AN10" s="370">
        <f>+'Home Builder Revenue Build'!AC72</f>
        <v>5424.2758533204296</v>
      </c>
      <c r="AO10" s="370">
        <f>+'Home Builder Revenue Build'!AD72</f>
        <v>775.80873005112676</v>
      </c>
      <c r="AP10" s="370">
        <f>+'Home Builder Revenue Build'!AE72</f>
        <v>32151.700723854017</v>
      </c>
      <c r="AQ10" s="370">
        <f>+'Home Builder Revenue Build'!AF72</f>
        <v>2902.2908812357086</v>
      </c>
      <c r="AR10" s="370">
        <f>+'Home Builder Revenue Build'!AG72</f>
        <v>131296.40086473405</v>
      </c>
      <c r="AS10" s="370">
        <f>+'Home Builder Revenue Build'!AH72</f>
        <v>235458.92332221521</v>
      </c>
      <c r="AT10" s="370">
        <f>+'Home Builder Revenue Build'!AI72</f>
        <v>167696.7611635045</v>
      </c>
      <c r="AU10" s="370">
        <f>+'Home Builder Revenue Build'!AJ72</f>
        <v>105986.2955356624</v>
      </c>
      <c r="AV10" s="370">
        <f>+'Home Builder Revenue Build'!AK72</f>
        <v>75504.743926715979</v>
      </c>
      <c r="AW10" s="370">
        <f>+'Home Builder Revenue Build'!AL72</f>
        <v>172689.73950918234</v>
      </c>
      <c r="AX10" s="370">
        <f>+'Home Builder Revenue Build'!AM72</f>
        <v>257697.18791151649</v>
      </c>
      <c r="AY10" s="371">
        <f>+'Home Builder Revenue Build'!AN72</f>
        <v>392431.53887035867</v>
      </c>
      <c r="AZ10" s="370">
        <f>+'Home Builder Revenue Build'!AO72</f>
        <v>264427.16901328409</v>
      </c>
      <c r="BA10" s="370">
        <f>+'Home Builder Revenue Build'!AP72</f>
        <v>174488.80164262865</v>
      </c>
      <c r="BB10" s="370">
        <f>+'Home Builder Revenue Build'!AQ72</f>
        <v>36530.960089376575</v>
      </c>
      <c r="BC10" s="370">
        <f>+'Home Builder Revenue Build'!AR72</f>
        <v>279754.31340076023</v>
      </c>
      <c r="BD10" s="370">
        <f>+'Home Builder Revenue Build'!AS72</f>
        <v>64783.088561599536</v>
      </c>
      <c r="BE10" s="370">
        <f>+'Home Builder Revenue Build'!AT72</f>
        <v>12957.99231626547</v>
      </c>
      <c r="BF10" s="370">
        <f>+'Home Builder Revenue Build'!AU72</f>
        <v>1853.3208551221362</v>
      </c>
      <c r="BG10" s="370">
        <f>+'Home Builder Revenue Build'!AV72</f>
        <v>76806.84061809571</v>
      </c>
      <c r="BH10" s="370">
        <f>+'Home Builder Revenue Build'!AW72</f>
        <v>6933.2504385075263</v>
      </c>
      <c r="BI10" s="370">
        <f>+'Home Builder Revenue Build'!AX72</f>
        <v>313652.51317686471</v>
      </c>
      <c r="BJ10" s="370">
        <f>+'Home Builder Revenue Build'!AY72</f>
        <v>562485.20571418072</v>
      </c>
      <c r="BK10" s="371">
        <f>+'Home Builder Revenue Build'!AZ72</f>
        <v>379012.27558570716</v>
      </c>
      <c r="BL10" s="370">
        <f>+'Home Builder Revenue Build'!BA72</f>
        <v>250100.61568776774</v>
      </c>
      <c r="BM10" s="370">
        <f>+'Home Builder Revenue Build'!BB72</f>
        <v>52361.042794773093</v>
      </c>
      <c r="BN10" s="370">
        <f>+'Home Builder Revenue Build'!BC72</f>
        <v>400981.18254108966</v>
      </c>
      <c r="BO10" s="370">
        <f>+'Home Builder Revenue Build'!BD72</f>
        <v>92855.760271626001</v>
      </c>
      <c r="BP10" s="370">
        <f>+'Home Builder Revenue Build'!BE72</f>
        <v>0</v>
      </c>
      <c r="BQ10" s="370">
        <f>+'Home Builder Revenue Build'!BF72</f>
        <v>17779.570852550296</v>
      </c>
      <c r="BR10" s="370">
        <f>+'Home Builder Revenue Build'!BG72</f>
        <v>2542.9286151675819</v>
      </c>
      <c r="BS10" s="370">
        <f>+'Home Builder Revenue Build'!BH72</f>
        <v>105386.13015041039</v>
      </c>
      <c r="BT10" s="370">
        <f>+'Home Builder Revenue Build'!BI72</f>
        <v>9513.0645551614889</v>
      </c>
      <c r="BU10" s="370">
        <f>+'Home Builder Revenue Build'!BJ72</f>
        <v>430360.42505662836</v>
      </c>
      <c r="BV10" s="370">
        <f>+'Home Builder Revenue Build'!BK72</f>
        <v>771782.02644503873</v>
      </c>
      <c r="BW10" s="371">
        <f>+'Home Builder Revenue Build'!BL72</f>
        <v>520040.09905945871</v>
      </c>
      <c r="BX10" s="370">
        <f>+'Home Builder Revenue Build'!BM72</f>
        <v>343161.3098971697</v>
      </c>
      <c r="BY10" s="370">
        <f>+'Home Builder Revenue Build'!BN72</f>
        <v>71844.221509107258</v>
      </c>
      <c r="BZ10" s="370">
        <f>+'Home Builder Revenue Build'!BO72</f>
        <v>550183.48302149517</v>
      </c>
      <c r="CA10" s="370">
        <f>+'Home Builder Revenue Build'!BP72</f>
        <v>127406.74083781241</v>
      </c>
      <c r="CB10" s="370">
        <f>+'Home Builder Revenue Build'!BQ72</f>
        <v>0</v>
      </c>
      <c r="CC10" s="370">
        <f>+'Home Builder Revenue Build'!BR72</f>
        <v>20491.708779210512</v>
      </c>
      <c r="CD10" s="370">
        <f>+'Home Builder Revenue Build'!BS72</f>
        <v>2930.8329801931454</v>
      </c>
      <c r="CE10" s="370">
        <f>+'Home Builder Revenue Build'!BT72</f>
        <v>121461.98051233741</v>
      </c>
      <c r="CF10" s="370">
        <f>+'Home Builder Revenue Build'!BU72</f>
        <v>10964.209995779343</v>
      </c>
      <c r="CG10" s="370">
        <f>+'Home Builder Revenue Build'!BV72</f>
        <v>496008.62548899534</v>
      </c>
      <c r="CH10" s="370">
        <f>+'Home Builder Revenue Build'!BW72</f>
        <v>889511.48810614634</v>
      </c>
      <c r="CI10" s="371">
        <f>+'Home Builder Revenue Build'!BX72</f>
        <v>599368.24976344395</v>
      </c>
      <c r="CJ10" s="370">
        <f>+'Home Builder Revenue Build'!BY72</f>
        <v>395507.95038995828</v>
      </c>
      <c r="CK10" s="370">
        <f>+'Home Builder Revenue Build'!BZ72</f>
        <v>82803.509535920239</v>
      </c>
      <c r="CL10" s="370">
        <f>+'Home Builder Revenue Build'!CA72</f>
        <v>634109.77704172325</v>
      </c>
      <c r="CM10" s="370">
        <f>+'Home Builder Revenue Build'!CB72</f>
        <v>146841.66740629228</v>
      </c>
      <c r="CN10" s="370">
        <f>+'Home Builder Revenue Build'!CC72</f>
        <v>0</v>
      </c>
      <c r="CO10" s="370">
        <f>+'Home Builder Revenue Build'!CD72</f>
        <v>27121.379266602147</v>
      </c>
      <c r="CP10" s="370">
        <f>+'Home Builder Revenue Build'!CE72</f>
        <v>3879.0436502556336</v>
      </c>
      <c r="CQ10" s="370">
        <f>+'Home Builder Revenue Build'!CF72</f>
        <v>160758.50361927011</v>
      </c>
      <c r="CR10" s="370">
        <f>+'Home Builder Revenue Build'!CG72</f>
        <v>14511.454406178544</v>
      </c>
      <c r="CS10" s="370">
        <f>+'Home Builder Revenue Build'!CH72</f>
        <v>656482.00432367029</v>
      </c>
      <c r="CT10" s="370">
        <f>+'Home Builder Revenue Build'!CI72</f>
        <v>1177294.6166110761</v>
      </c>
      <c r="CU10" s="371">
        <f>+'Home Builder Revenue Build'!CJ72</f>
        <v>793281.50703985221</v>
      </c>
      <c r="CV10" s="370">
        <f>+'Home Builder Revenue Build'!CK72</f>
        <v>523466.40492788597</v>
      </c>
      <c r="CW10" s="370">
        <f>+'Home Builder Revenue Build'!CL72</f>
        <v>139125.04880287428</v>
      </c>
      <c r="CX10" s="370">
        <f>+'Home Builder Revenue Build'!CM72</f>
        <v>843486.78773255914</v>
      </c>
      <c r="CY10" s="370">
        <f>+'Home Builder Revenue Build'!CN72</f>
        <v>369397.41407022602</v>
      </c>
      <c r="CZ10" s="370">
        <f>+'Home Builder Revenue Build'!CO72</f>
        <v>15801.361464505526</v>
      </c>
      <c r="DA10" s="370">
        <f>+'Home Builder Revenue Build'!CP72</f>
        <v>714835.96026355214</v>
      </c>
      <c r="DB10" s="370">
        <f>+'Home Builder Revenue Build'!CQ72</f>
        <v>1281943.0269765051</v>
      </c>
      <c r="DC10" s="370">
        <f>+'Home Builder Revenue Build'!CR72</f>
        <v>863795.41877672798</v>
      </c>
      <c r="DD10" s="370">
        <f>+'Home Builder Revenue Build'!CS72</f>
        <v>569996.75203258696</v>
      </c>
      <c r="DE10" s="370">
        <f>+'Home Builder Revenue Build'!CT72</f>
        <v>119334.46962529681</v>
      </c>
      <c r="DF10" s="370">
        <f>+'Home Builder Revenue Build'!CU72</f>
        <v>913864.09044248343</v>
      </c>
      <c r="DG10" s="370">
        <f>+'Home Builder Revenue Build'!CV72</f>
        <v>211624.7559678918</v>
      </c>
    </row>
    <row r="11" spans="1:114" s="368" customFormat="1" x14ac:dyDescent="0.3">
      <c r="B11" s="369" t="s">
        <v>358</v>
      </c>
      <c r="C11" s="369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  <c r="AA11" s="370"/>
      <c r="AB11" s="370">
        <f>+'Contractor Revenue Build'!F38</f>
        <v>0</v>
      </c>
      <c r="AC11" s="370">
        <f>+'Contractor Revenue Build'!G38</f>
        <v>0</v>
      </c>
      <c r="AD11" s="370">
        <f>+'Contractor Revenue Build'!H38</f>
        <v>0</v>
      </c>
      <c r="AE11" s="370">
        <f>+'Contractor Revenue Build'!I38</f>
        <v>0</v>
      </c>
      <c r="AF11" s="370">
        <f>+'Contractor Revenue Build'!J38</f>
        <v>5464.32</v>
      </c>
      <c r="AG11" s="370">
        <f>+'Contractor Revenue Build'!K38</f>
        <v>10928.64</v>
      </c>
      <c r="AH11" s="370">
        <f>+'Contractor Revenue Build'!L38</f>
        <v>700</v>
      </c>
      <c r="AI11" s="370">
        <f>+'Contractor Revenue Build'!M38</f>
        <v>45897</v>
      </c>
      <c r="AJ11" s="371">
        <f>+'Contractor Revenue Build'!N38</f>
        <v>49010.3</v>
      </c>
      <c r="AK11" s="370">
        <f>+'Contractor Revenue Build'!O38</f>
        <v>59081.11</v>
      </c>
      <c r="AL11" s="370">
        <f>+'Contractor Revenue Build'!P38</f>
        <v>22716.666666666664</v>
      </c>
      <c r="AM11" s="371">
        <f>+'Contractor Revenue Build'!Q38</f>
        <v>10000</v>
      </c>
      <c r="AN11" s="370">
        <f>+'Contractor Revenue Build'!R38</f>
        <v>30000</v>
      </c>
      <c r="AO11" s="370">
        <f>+'Contractor Revenue Build'!S38</f>
        <v>30000</v>
      </c>
      <c r="AP11" s="370">
        <f>+'Contractor Revenue Build'!T38</f>
        <v>30000</v>
      </c>
      <c r="AQ11" s="370">
        <f>+'Contractor Revenue Build'!U38</f>
        <v>30000</v>
      </c>
      <c r="AR11" s="370">
        <f>+'Contractor Revenue Build'!V38</f>
        <v>30000</v>
      </c>
      <c r="AS11" s="370">
        <f>+'Contractor Revenue Build'!W38</f>
        <v>30000</v>
      </c>
      <c r="AT11" s="370">
        <f>+'Contractor Revenue Build'!X38</f>
        <v>30000</v>
      </c>
      <c r="AU11" s="370">
        <f>+'Contractor Revenue Build'!Y38</f>
        <v>30000</v>
      </c>
      <c r="AV11" s="370">
        <f>+'Contractor Revenue Build'!Z38</f>
        <v>30000</v>
      </c>
      <c r="AW11" s="370">
        <f>+'Contractor Revenue Build'!AA38</f>
        <v>30000</v>
      </c>
      <c r="AX11" s="370">
        <f>+'Contractor Revenue Build'!AB38</f>
        <v>30000</v>
      </c>
      <c r="AY11" s="371">
        <f>+'Contractor Revenue Build'!AC38</f>
        <v>30000</v>
      </c>
      <c r="AZ11" s="370">
        <f>+'Contractor Revenue Build'!AD38</f>
        <v>30000</v>
      </c>
      <c r="BA11" s="370">
        <f>+'Contractor Revenue Build'!AE38</f>
        <v>30000</v>
      </c>
      <c r="BB11" s="370">
        <f>+'Contractor Revenue Build'!AF38</f>
        <v>30000</v>
      </c>
      <c r="BC11" s="370">
        <f>+'Contractor Revenue Build'!AG38</f>
        <v>30000</v>
      </c>
      <c r="BD11" s="370">
        <f>+'Contractor Revenue Build'!AH38</f>
        <v>30000</v>
      </c>
      <c r="BE11" s="370">
        <f>+'Contractor Revenue Build'!AI38</f>
        <v>30000</v>
      </c>
      <c r="BF11" s="370">
        <f>+'Contractor Revenue Build'!AJ38</f>
        <v>40000</v>
      </c>
      <c r="BG11" s="370">
        <f>+'Contractor Revenue Build'!AK38</f>
        <v>40000</v>
      </c>
      <c r="BH11" s="370">
        <f>+'Contractor Revenue Build'!AL38</f>
        <v>40000</v>
      </c>
      <c r="BI11" s="370">
        <f>+'Contractor Revenue Build'!AM38</f>
        <v>40000</v>
      </c>
      <c r="BJ11" s="370">
        <f>+'Contractor Revenue Build'!AN38</f>
        <v>40000</v>
      </c>
      <c r="BK11" s="371">
        <f>+'Contractor Revenue Build'!AO38</f>
        <v>40000</v>
      </c>
      <c r="BL11" s="370">
        <f>+'Contractor Revenue Build'!AP38</f>
        <v>50000</v>
      </c>
      <c r="BM11" s="370">
        <f>+'Contractor Revenue Build'!AQ38</f>
        <v>50000</v>
      </c>
      <c r="BN11" s="370">
        <f>+'Contractor Revenue Build'!AR38</f>
        <v>50000</v>
      </c>
      <c r="BO11" s="370">
        <f>+'Contractor Revenue Build'!AS38</f>
        <v>50000</v>
      </c>
      <c r="BP11" s="370">
        <f>+'Contractor Revenue Build'!AT38</f>
        <v>50000</v>
      </c>
      <c r="BQ11" s="370">
        <f>+'Contractor Revenue Build'!AU38</f>
        <v>50000</v>
      </c>
      <c r="BR11" s="370">
        <f>+'Contractor Revenue Build'!AV38</f>
        <v>50000</v>
      </c>
      <c r="BS11" s="370">
        <f>+'Contractor Revenue Build'!AW38</f>
        <v>50000</v>
      </c>
      <c r="BT11" s="370">
        <f>+'Contractor Revenue Build'!AX38</f>
        <v>50000</v>
      </c>
      <c r="BU11" s="370">
        <f>+'Contractor Revenue Build'!AY38</f>
        <v>50000</v>
      </c>
      <c r="BV11" s="370">
        <f>+'Contractor Revenue Build'!AZ38</f>
        <v>50000</v>
      </c>
      <c r="BW11" s="371">
        <f>+'Contractor Revenue Build'!BA38</f>
        <v>50000</v>
      </c>
      <c r="BX11" s="370">
        <f>+'Contractor Revenue Build'!BB38</f>
        <v>60000</v>
      </c>
      <c r="BY11" s="370">
        <f>+'Contractor Revenue Build'!BC38</f>
        <v>60000</v>
      </c>
      <c r="BZ11" s="370">
        <f>+'Contractor Revenue Build'!BD38</f>
        <v>60000</v>
      </c>
      <c r="CA11" s="370">
        <f>+'Contractor Revenue Build'!BE38</f>
        <v>60000</v>
      </c>
      <c r="CB11" s="370">
        <f>+'Contractor Revenue Build'!BF38</f>
        <v>60000</v>
      </c>
      <c r="CC11" s="370">
        <f>+'Contractor Revenue Build'!BG38</f>
        <v>60000</v>
      </c>
      <c r="CD11" s="370">
        <f>+'Contractor Revenue Build'!BH38</f>
        <v>60000</v>
      </c>
      <c r="CE11" s="370">
        <f>+'Contractor Revenue Build'!BI38</f>
        <v>60000</v>
      </c>
      <c r="CF11" s="370">
        <f>+'Contractor Revenue Build'!BJ38</f>
        <v>60000</v>
      </c>
      <c r="CG11" s="370">
        <f>+'Contractor Revenue Build'!BK38</f>
        <v>60000</v>
      </c>
      <c r="CH11" s="370">
        <f>+'Contractor Revenue Build'!BL38</f>
        <v>60000</v>
      </c>
      <c r="CI11" s="371">
        <f>+'Contractor Revenue Build'!BM38</f>
        <v>60000</v>
      </c>
      <c r="CJ11" s="370">
        <f>+'Contractor Revenue Build'!BN38</f>
        <v>70000</v>
      </c>
      <c r="CK11" s="370">
        <f>+'Contractor Revenue Build'!BO38</f>
        <v>70000</v>
      </c>
      <c r="CL11" s="370">
        <f>+'Contractor Revenue Build'!BP38</f>
        <v>70000</v>
      </c>
      <c r="CM11" s="370">
        <f>+'Contractor Revenue Build'!BQ38</f>
        <v>70000</v>
      </c>
      <c r="CN11" s="370">
        <f>+'Contractor Revenue Build'!BR38</f>
        <v>70000</v>
      </c>
      <c r="CO11" s="370">
        <f>+'Contractor Revenue Build'!BS38</f>
        <v>70000</v>
      </c>
      <c r="CP11" s="370">
        <f>+'Contractor Revenue Build'!BT38</f>
        <v>80000</v>
      </c>
      <c r="CQ11" s="370">
        <f>+'Contractor Revenue Build'!BU38</f>
        <v>80000</v>
      </c>
      <c r="CR11" s="370">
        <f>+'Contractor Revenue Build'!BV38</f>
        <v>80000</v>
      </c>
      <c r="CS11" s="370">
        <f>+'Contractor Revenue Build'!BW38</f>
        <v>80000</v>
      </c>
      <c r="CT11" s="370">
        <f>+'Contractor Revenue Build'!BX38</f>
        <v>80000</v>
      </c>
      <c r="CU11" s="371">
        <f>+'Contractor Revenue Build'!BY38</f>
        <v>80000</v>
      </c>
      <c r="CV11" s="370">
        <f>+'Contractor Revenue Build'!BZ38</f>
        <v>80000</v>
      </c>
      <c r="CW11" s="370">
        <f>+'Contractor Revenue Build'!CA38</f>
        <v>80000</v>
      </c>
      <c r="CX11" s="370">
        <f>+'Contractor Revenue Build'!CB38</f>
        <v>80000</v>
      </c>
      <c r="CY11" s="370">
        <f>+'Contractor Revenue Build'!CC38</f>
        <v>80000</v>
      </c>
      <c r="CZ11" s="370">
        <f>+'Contractor Revenue Build'!CD38</f>
        <v>80000</v>
      </c>
      <c r="DA11" s="370">
        <f>+'Contractor Revenue Build'!CE38</f>
        <v>80000</v>
      </c>
      <c r="DB11" s="370">
        <f>+'Contractor Revenue Build'!CF38</f>
        <v>90000</v>
      </c>
      <c r="DC11" s="370">
        <f>+'Contractor Revenue Build'!CG38</f>
        <v>90000</v>
      </c>
      <c r="DD11" s="370">
        <f>+'Contractor Revenue Build'!CH38</f>
        <v>90000</v>
      </c>
      <c r="DE11" s="370">
        <f>+'Contractor Revenue Build'!CI38</f>
        <v>90000</v>
      </c>
      <c r="DF11" s="370">
        <f>+'Contractor Revenue Build'!CJ38</f>
        <v>90000</v>
      </c>
      <c r="DG11" s="370">
        <f>+'Contractor Revenue Build'!CK38</f>
        <v>90000</v>
      </c>
    </row>
    <row r="12" spans="1:114" s="368" customFormat="1" x14ac:dyDescent="0.3">
      <c r="B12" s="369"/>
      <c r="C12" s="369" t="s">
        <v>507</v>
      </c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0"/>
      <c r="P12" s="370"/>
      <c r="Q12" s="370"/>
      <c r="R12" s="370"/>
      <c r="S12" s="370"/>
      <c r="T12" s="370"/>
      <c r="U12" s="370"/>
      <c r="V12" s="370"/>
      <c r="W12" s="370"/>
      <c r="X12" s="370"/>
      <c r="Y12" s="370"/>
      <c r="Z12" s="370"/>
      <c r="AA12" s="370"/>
      <c r="AB12" s="582">
        <f>+'Contractor Revenue Build'!F4</f>
        <v>0</v>
      </c>
      <c r="AC12" s="582">
        <f>+'Contractor Revenue Build'!G4</f>
        <v>0</v>
      </c>
      <c r="AD12" s="582">
        <f>+'Contractor Revenue Build'!H4</f>
        <v>1</v>
      </c>
      <c r="AE12" s="582">
        <f>+'Contractor Revenue Build'!I4</f>
        <v>0</v>
      </c>
      <c r="AF12" s="582">
        <f>+'Contractor Revenue Build'!J4</f>
        <v>2</v>
      </c>
      <c r="AG12" s="582">
        <f>+'Contractor Revenue Build'!K4</f>
        <v>0</v>
      </c>
      <c r="AH12" s="583">
        <f>+'Contractor Revenue Build'!L4</f>
        <v>1</v>
      </c>
      <c r="AI12" s="583">
        <f>+'Contractor Revenue Build'!M4</f>
        <v>4</v>
      </c>
      <c r="AJ12" s="584">
        <f>+'Contractor Revenue Build'!N4</f>
        <v>2</v>
      </c>
      <c r="AK12" s="583">
        <f>+'Contractor Revenue Build'!O4</f>
        <v>1</v>
      </c>
      <c r="AL12" s="582">
        <f>+'Contractor Revenue Build'!P4</f>
        <v>0</v>
      </c>
      <c r="AM12" s="584">
        <f>+'Contractor Revenue Build'!Q4</f>
        <v>0</v>
      </c>
      <c r="AN12" s="582">
        <f>+'Contractor Revenue Build'!R4</f>
        <v>3</v>
      </c>
      <c r="AO12" s="582">
        <f>+'Contractor Revenue Build'!S4</f>
        <v>0</v>
      </c>
      <c r="AP12" s="582">
        <f>+'Contractor Revenue Build'!T4</f>
        <v>0</v>
      </c>
      <c r="AQ12" s="582">
        <f>+'Contractor Revenue Build'!U4</f>
        <v>3</v>
      </c>
      <c r="AR12" s="582">
        <f>+'Contractor Revenue Build'!V4</f>
        <v>0</v>
      </c>
      <c r="AS12" s="582">
        <f>+'Contractor Revenue Build'!W4</f>
        <v>0</v>
      </c>
      <c r="AT12" s="582">
        <f>+'Contractor Revenue Build'!X4</f>
        <v>3</v>
      </c>
      <c r="AU12" s="582">
        <f>+'Contractor Revenue Build'!Y4</f>
        <v>0</v>
      </c>
      <c r="AV12" s="582">
        <f>+'Contractor Revenue Build'!Z4</f>
        <v>0</v>
      </c>
      <c r="AW12" s="582">
        <f>+'Contractor Revenue Build'!AA4</f>
        <v>3</v>
      </c>
      <c r="AX12" s="582">
        <f>+'Contractor Revenue Build'!AB4</f>
        <v>0</v>
      </c>
      <c r="AY12" s="584">
        <f>+'Contractor Revenue Build'!AC4</f>
        <v>0</v>
      </c>
      <c r="AZ12" s="582">
        <f>+'Contractor Revenue Build'!AD4</f>
        <v>3</v>
      </c>
      <c r="BA12" s="582">
        <f>+'Contractor Revenue Build'!AE4</f>
        <v>0</v>
      </c>
      <c r="BB12" s="582">
        <f>+'Contractor Revenue Build'!AF4</f>
        <v>0</v>
      </c>
      <c r="BC12" s="582">
        <f>+'Contractor Revenue Build'!AG4</f>
        <v>3</v>
      </c>
      <c r="BD12" s="582">
        <f>+'Contractor Revenue Build'!AH4</f>
        <v>0</v>
      </c>
      <c r="BE12" s="582">
        <f>+'Contractor Revenue Build'!AI4</f>
        <v>0</v>
      </c>
      <c r="BF12" s="582">
        <f>+'Contractor Revenue Build'!AJ4</f>
        <v>4</v>
      </c>
      <c r="BG12" s="582">
        <f>+'Contractor Revenue Build'!AK4</f>
        <v>0</v>
      </c>
      <c r="BH12" s="582">
        <f>+'Contractor Revenue Build'!AL4</f>
        <v>0</v>
      </c>
      <c r="BI12" s="582">
        <f>+'Contractor Revenue Build'!AM4</f>
        <v>4</v>
      </c>
      <c r="BJ12" s="582">
        <f>+'Contractor Revenue Build'!AN4</f>
        <v>0</v>
      </c>
      <c r="BK12" s="584">
        <f>+'Contractor Revenue Build'!AO4</f>
        <v>0</v>
      </c>
      <c r="BL12" s="582">
        <f>+'Contractor Revenue Build'!AP4</f>
        <v>5</v>
      </c>
      <c r="BM12" s="582">
        <f>+'Contractor Revenue Build'!AQ4</f>
        <v>0</v>
      </c>
      <c r="BN12" s="582">
        <f>+'Contractor Revenue Build'!AR4</f>
        <v>0</v>
      </c>
      <c r="BO12" s="582">
        <f>+'Contractor Revenue Build'!AS4</f>
        <v>5</v>
      </c>
      <c r="BP12" s="582">
        <f>+'Contractor Revenue Build'!AT4</f>
        <v>0</v>
      </c>
      <c r="BQ12" s="582">
        <f>+'Contractor Revenue Build'!AU4</f>
        <v>0</v>
      </c>
      <c r="BR12" s="582">
        <f>+'Contractor Revenue Build'!AV4</f>
        <v>5</v>
      </c>
      <c r="BS12" s="582">
        <f>+'Contractor Revenue Build'!AW4</f>
        <v>0</v>
      </c>
      <c r="BT12" s="582">
        <f>+'Contractor Revenue Build'!AX4</f>
        <v>0</v>
      </c>
      <c r="BU12" s="582">
        <f>+'Contractor Revenue Build'!AY4</f>
        <v>5</v>
      </c>
      <c r="BV12" s="582">
        <f>+'Contractor Revenue Build'!AZ4</f>
        <v>0</v>
      </c>
      <c r="BW12" s="584">
        <f>+'Contractor Revenue Build'!BA4</f>
        <v>0</v>
      </c>
      <c r="BX12" s="582">
        <f>+'Contractor Revenue Build'!BB4</f>
        <v>6</v>
      </c>
      <c r="BY12" s="582">
        <f>+'Contractor Revenue Build'!BC4</f>
        <v>0</v>
      </c>
      <c r="BZ12" s="582">
        <f>+'Contractor Revenue Build'!BD4</f>
        <v>0</v>
      </c>
      <c r="CA12" s="582">
        <f>+'Contractor Revenue Build'!BE4</f>
        <v>6</v>
      </c>
      <c r="CB12" s="582">
        <f>+'Contractor Revenue Build'!BF4</f>
        <v>0</v>
      </c>
      <c r="CC12" s="582">
        <f>+'Contractor Revenue Build'!BG4</f>
        <v>0</v>
      </c>
      <c r="CD12" s="582">
        <f>+'Contractor Revenue Build'!BH4</f>
        <v>6</v>
      </c>
      <c r="CE12" s="582">
        <f>+'Contractor Revenue Build'!BI4</f>
        <v>0</v>
      </c>
      <c r="CF12" s="582">
        <f>+'Contractor Revenue Build'!BJ4</f>
        <v>0</v>
      </c>
      <c r="CG12" s="582">
        <f>+'Contractor Revenue Build'!BK4</f>
        <v>6</v>
      </c>
      <c r="CH12" s="582">
        <f>+'Contractor Revenue Build'!BL4</f>
        <v>0</v>
      </c>
      <c r="CI12" s="584">
        <f>+'Contractor Revenue Build'!BM4</f>
        <v>0</v>
      </c>
      <c r="CJ12" s="582">
        <f>+'Contractor Revenue Build'!BN4</f>
        <v>7</v>
      </c>
      <c r="CK12" s="582">
        <f>+'Contractor Revenue Build'!BO4</f>
        <v>0</v>
      </c>
      <c r="CL12" s="582">
        <f>+'Contractor Revenue Build'!BP4</f>
        <v>0</v>
      </c>
      <c r="CM12" s="582">
        <f>+'Contractor Revenue Build'!BQ4</f>
        <v>7</v>
      </c>
      <c r="CN12" s="582">
        <f>+'Contractor Revenue Build'!BR4</f>
        <v>0</v>
      </c>
      <c r="CO12" s="582">
        <f>+'Contractor Revenue Build'!BS4</f>
        <v>0</v>
      </c>
      <c r="CP12" s="582">
        <f>+'Contractor Revenue Build'!BT4</f>
        <v>8</v>
      </c>
      <c r="CQ12" s="582">
        <f>+'Contractor Revenue Build'!BU4</f>
        <v>0</v>
      </c>
      <c r="CR12" s="582">
        <f>+'Contractor Revenue Build'!BV4</f>
        <v>0</v>
      </c>
      <c r="CS12" s="582">
        <f>+'Contractor Revenue Build'!BW4</f>
        <v>8</v>
      </c>
      <c r="CT12" s="582">
        <f>+'Contractor Revenue Build'!BX4</f>
        <v>0</v>
      </c>
      <c r="CU12" s="584">
        <f>+'Contractor Revenue Build'!BY4</f>
        <v>0</v>
      </c>
      <c r="CV12" s="582">
        <f>+'Contractor Revenue Build'!BZ4</f>
        <v>8</v>
      </c>
      <c r="CW12" s="582">
        <f>+'Contractor Revenue Build'!CA4</f>
        <v>0</v>
      </c>
      <c r="CX12" s="582">
        <f>+'Contractor Revenue Build'!CB4</f>
        <v>0</v>
      </c>
      <c r="CY12" s="582">
        <f>+'Contractor Revenue Build'!CC4</f>
        <v>8</v>
      </c>
      <c r="CZ12" s="582">
        <f>+'Contractor Revenue Build'!CD4</f>
        <v>0</v>
      </c>
      <c r="DA12" s="582">
        <f>+'Contractor Revenue Build'!CE4</f>
        <v>0</v>
      </c>
      <c r="DB12" s="582">
        <f>+'Contractor Revenue Build'!CF4</f>
        <v>9</v>
      </c>
      <c r="DC12" s="582">
        <f>+'Contractor Revenue Build'!CG4</f>
        <v>0</v>
      </c>
      <c r="DD12" s="582">
        <f>+'Contractor Revenue Build'!CH4</f>
        <v>0</v>
      </c>
      <c r="DE12" s="582">
        <f>+'Contractor Revenue Build'!CI4</f>
        <v>9</v>
      </c>
      <c r="DF12" s="582">
        <f>+'Contractor Revenue Build'!CJ4</f>
        <v>0</v>
      </c>
      <c r="DG12" s="582">
        <f>+'Contractor Revenue Build'!CK4</f>
        <v>0</v>
      </c>
    </row>
    <row r="13" spans="1:114" x14ac:dyDescent="0.3">
      <c r="B13" s="1"/>
      <c r="C13" s="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165"/>
      <c r="AK13" s="39"/>
      <c r="AL13" s="39"/>
      <c r="AM13" s="165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165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165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165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165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165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</row>
    <row r="14" spans="1:114" hidden="1" x14ac:dyDescent="0.3">
      <c r="B14" s="1"/>
      <c r="C14" s="1"/>
      <c r="D14" s="39"/>
      <c r="O14" s="39"/>
      <c r="Q14">
        <v>2022</v>
      </c>
      <c r="R14">
        <v>2023</v>
      </c>
      <c r="S14">
        <v>2024</v>
      </c>
      <c r="T14">
        <v>2025</v>
      </c>
      <c r="U14">
        <v>2026</v>
      </c>
      <c r="V14">
        <v>2027</v>
      </c>
      <c r="W14">
        <v>2028</v>
      </c>
      <c r="X14">
        <v>2028</v>
      </c>
      <c r="Y14">
        <v>2028</v>
      </c>
      <c r="Z14">
        <v>2029</v>
      </c>
      <c r="AA14">
        <v>2029</v>
      </c>
      <c r="AB14" s="39"/>
      <c r="AC14" s="39"/>
      <c r="AD14" s="39"/>
      <c r="AE14" s="39"/>
      <c r="AF14" s="39"/>
      <c r="AG14" s="39"/>
      <c r="AH14" s="39"/>
      <c r="AI14" s="39"/>
      <c r="AJ14" s="165"/>
      <c r="AK14" s="39"/>
      <c r="AL14" s="39"/>
      <c r="AM14" s="165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165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165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165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165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165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</row>
    <row r="15" spans="1:114" hidden="1" x14ac:dyDescent="0.3">
      <c r="B15" s="1"/>
      <c r="C15" s="1"/>
      <c r="D15" s="39"/>
      <c r="O15" s="39"/>
      <c r="P15" t="s">
        <v>190</v>
      </c>
      <c r="Q15" t="e">
        <f>ROUNDUP(AVERAGE(Q16:Q18), 0)</f>
        <v>#REF!</v>
      </c>
      <c r="R15" t="e">
        <f t="shared" ref="R15:W15" si="20">ROUNDUP(AVERAGE(R16:R18), 0)</f>
        <v>#REF!</v>
      </c>
      <c r="S15" t="e">
        <f t="shared" si="20"/>
        <v>#REF!</v>
      </c>
      <c r="T15" t="e">
        <f t="shared" si="20"/>
        <v>#REF!</v>
      </c>
      <c r="U15" t="e">
        <f t="shared" si="20"/>
        <v>#REF!</v>
      </c>
      <c r="V15" t="e">
        <f t="shared" si="20"/>
        <v>#REF!</v>
      </c>
      <c r="W15" t="e">
        <f t="shared" si="20"/>
        <v>#REF!</v>
      </c>
      <c r="X15" t="e">
        <f t="shared" ref="X15:Y15" si="21">ROUNDUP(AVERAGE(X16:X18), 0)</f>
        <v>#REF!</v>
      </c>
      <c r="Y15" t="e">
        <f t="shared" si="21"/>
        <v>#REF!</v>
      </c>
      <c r="Z15" t="e">
        <f t="shared" ref="Z15:AA15" si="22">ROUNDUP(AVERAGE(Z16:Z18), 0)</f>
        <v>#REF!</v>
      </c>
      <c r="AA15" t="e">
        <f t="shared" si="22"/>
        <v>#REF!</v>
      </c>
      <c r="AB15" s="39"/>
      <c r="AC15" s="39"/>
      <c r="AD15" s="39"/>
      <c r="AE15" s="39"/>
      <c r="AF15" s="39"/>
      <c r="AG15" s="39"/>
      <c r="AH15" s="39"/>
      <c r="AI15" s="39"/>
      <c r="AJ15" s="165"/>
      <c r="AK15" s="39"/>
      <c r="AL15" s="39"/>
      <c r="AM15" s="165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165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165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165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165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165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</row>
    <row r="16" spans="1:114" hidden="1" x14ac:dyDescent="0.3">
      <c r="B16" s="1"/>
      <c r="C16" s="1"/>
      <c r="D16" s="39"/>
      <c r="F16" s="186"/>
      <c r="G16" s="186"/>
      <c r="H16" s="186"/>
      <c r="I16" s="186"/>
      <c r="J16" s="186"/>
      <c r="K16" s="186"/>
      <c r="L16" s="186"/>
      <c r="M16" s="186"/>
      <c r="N16" s="186"/>
      <c r="O16" s="39"/>
      <c r="P16" t="s">
        <v>187</v>
      </c>
      <c r="Q16" s="158" t="e">
        <f>AVERAGEIFS(#REF!,#REF!, $E$16, $H$1:$DJ$1, Q14)</f>
        <v>#REF!</v>
      </c>
      <c r="R16" s="158" t="e">
        <f>AVERAGEIFS(#REF!,#REF!, $E$16, $H$1:$DJ$1, R14)</f>
        <v>#REF!</v>
      </c>
      <c r="S16" s="158" t="e">
        <f>AVERAGEIFS(#REF!,#REF!, $E$16, $H$1:$DJ$1, S14)</f>
        <v>#REF!</v>
      </c>
      <c r="T16" s="158" t="e">
        <f>AVERAGEIFS(#REF!,#REF!, $E$16, $H$1:$DJ$1, T14)</f>
        <v>#REF!</v>
      </c>
      <c r="U16" s="158" t="e">
        <f>AVERAGEIFS(#REF!,#REF!, $E$16, $H$1:$DJ$1, U14)</f>
        <v>#REF!</v>
      </c>
      <c r="V16" s="158" t="e">
        <f>AVERAGEIFS(#REF!,#REF!, $E$16, $H$1:$DJ$1, V14)</f>
        <v>#REF!</v>
      </c>
      <c r="W16" s="158" t="e">
        <f>AVERAGEIFS(#REF!,#REF!, $E$16, $H$1:$DJ$1, W14)</f>
        <v>#REF!</v>
      </c>
      <c r="X16" s="158" t="e">
        <f>AVERAGEIFS(#REF!,#REF!, $E$16, $H$1:$DJ$1, X14)</f>
        <v>#REF!</v>
      </c>
      <c r="Y16" s="158" t="e">
        <f>AVERAGEIFS(#REF!,#REF!, $E$16, $H$1:$DJ$1, Y14)</f>
        <v>#REF!</v>
      </c>
      <c r="Z16" s="158" t="e">
        <f>AVERAGEIFS(#REF!,#REF!, $E$16, $H$1:$DJ$1, Z14)</f>
        <v>#REF!</v>
      </c>
      <c r="AA16" s="158" t="e">
        <f>AVERAGEIFS(#REF!,#REF!, $E$16, $H$1:$DJ$1, AA14)</f>
        <v>#REF!</v>
      </c>
      <c r="AB16" s="39"/>
      <c r="AC16" s="39"/>
      <c r="AD16" s="39"/>
      <c r="AE16" s="39"/>
      <c r="AF16" s="39"/>
      <c r="AG16" s="39"/>
      <c r="AH16" s="39"/>
      <c r="AI16" s="39"/>
      <c r="AJ16" s="165"/>
      <c r="AK16" s="39"/>
      <c r="AL16" s="39"/>
      <c r="AM16" s="1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165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165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165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165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165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</row>
    <row r="17" spans="1:111" hidden="1" x14ac:dyDescent="0.3">
      <c r="B17" s="1"/>
      <c r="C17" s="1"/>
      <c r="D17" s="39"/>
      <c r="F17" s="186"/>
      <c r="G17" s="186"/>
      <c r="H17" s="186"/>
      <c r="I17" s="186"/>
      <c r="J17" s="186"/>
      <c r="K17" s="186"/>
      <c r="L17" s="186"/>
      <c r="M17" s="186"/>
      <c r="N17" s="186"/>
      <c r="O17" s="39"/>
      <c r="P17" t="s">
        <v>189</v>
      </c>
      <c r="Q17" s="158" t="e">
        <f>+AVERAGEIFS(#REF!,#REF!, $E$17, $H$1:$DJ$1, Q14)</f>
        <v>#REF!</v>
      </c>
      <c r="R17" s="158" t="e">
        <f>+AVERAGEIFS(#REF!,#REF!, $E$17, $H$1:$DJ$1, R14)</f>
        <v>#REF!</v>
      </c>
      <c r="S17" s="158" t="e">
        <f>+AVERAGEIFS(#REF!,#REF!, $E$17, $H$1:$DJ$1, S14)</f>
        <v>#REF!</v>
      </c>
      <c r="T17" s="158" t="e">
        <f>+AVERAGEIFS(#REF!,#REF!, $E$17, $H$1:$DJ$1, T14)</f>
        <v>#REF!</v>
      </c>
      <c r="U17" s="158" t="e">
        <f>+AVERAGEIFS(#REF!,#REF!, $E$17, $H$1:$DJ$1, U14)</f>
        <v>#REF!</v>
      </c>
      <c r="V17" s="158" t="e">
        <f>+AVERAGEIFS(#REF!,#REF!, $E$17, $H$1:$DJ$1, V14)</f>
        <v>#REF!</v>
      </c>
      <c r="W17" s="158" t="e">
        <f>+AVERAGEIFS(#REF!,#REF!, $E$17, $H$1:$DJ$1, W14)</f>
        <v>#REF!</v>
      </c>
      <c r="X17" s="158" t="e">
        <f>+AVERAGEIFS(#REF!,#REF!, $E$17, $H$1:$DJ$1, X14)</f>
        <v>#REF!</v>
      </c>
      <c r="Y17" s="158" t="e">
        <f>+AVERAGEIFS(#REF!,#REF!, $E$17, $H$1:$DJ$1, Y14)</f>
        <v>#REF!</v>
      </c>
      <c r="Z17" s="158" t="e">
        <f>+AVERAGEIFS(#REF!,#REF!, $E$17, $H$1:$DJ$1, Z14)</f>
        <v>#REF!</v>
      </c>
      <c r="AA17" s="158" t="e">
        <f>+AVERAGEIFS(#REF!,#REF!, $E$17, $H$1:$DJ$1, AA14)</f>
        <v>#REF!</v>
      </c>
      <c r="AB17" s="39"/>
      <c r="AC17" s="39"/>
      <c r="AD17" s="39"/>
      <c r="AE17" s="39"/>
      <c r="AF17" s="39"/>
      <c r="AG17" s="39"/>
      <c r="AH17" s="39"/>
      <c r="AI17" s="39"/>
      <c r="AJ17" s="165"/>
      <c r="AK17" s="39"/>
      <c r="AL17" s="39"/>
      <c r="AM17" s="165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165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165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165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165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165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</row>
    <row r="18" spans="1:111" hidden="1" x14ac:dyDescent="0.3">
      <c r="B18" s="1"/>
      <c r="C18" s="1"/>
      <c r="D18" s="39"/>
      <c r="F18" s="186"/>
      <c r="G18" s="186"/>
      <c r="H18" s="186"/>
      <c r="I18" s="186"/>
      <c r="J18" s="186"/>
      <c r="K18" s="186"/>
      <c r="L18" s="186"/>
      <c r="M18" s="186"/>
      <c r="N18" s="186"/>
      <c r="O18" s="39"/>
      <c r="P18" t="s">
        <v>188</v>
      </c>
      <c r="Q18" s="158" t="e">
        <f>AVERAGEIFS(#REF!,#REF!, $E$18, $H$1:$DJ$1, Q14)</f>
        <v>#REF!</v>
      </c>
      <c r="R18" s="158" t="e">
        <f>AVERAGEIFS(#REF!,#REF!, $E$18, $H$1:$DJ$1, R14)</f>
        <v>#REF!</v>
      </c>
      <c r="S18" s="158" t="e">
        <f>AVERAGEIFS(#REF!,#REF!, $E$18, $H$1:$DJ$1, S14)</f>
        <v>#REF!</v>
      </c>
      <c r="T18" s="158" t="e">
        <f>AVERAGEIFS(#REF!,#REF!, $E$18, $H$1:$DJ$1, T14)</f>
        <v>#REF!</v>
      </c>
      <c r="U18" s="158" t="e">
        <f>AVERAGEIFS(#REF!,#REF!, $E$18, $H$1:$DJ$1, U14)</f>
        <v>#REF!</v>
      </c>
      <c r="V18" s="158" t="e">
        <f>AVERAGEIFS(#REF!,#REF!, $E$18, $H$1:$DJ$1, V14)</f>
        <v>#REF!</v>
      </c>
      <c r="W18" s="158" t="e">
        <f>AVERAGEIFS(#REF!,#REF!, $E$18, $H$1:$DJ$1, W14)</f>
        <v>#REF!</v>
      </c>
      <c r="X18" s="158" t="e">
        <f>AVERAGEIFS(#REF!,#REF!, $E$18, $H$1:$DJ$1, X14)</f>
        <v>#REF!</v>
      </c>
      <c r="Y18" s="158" t="e">
        <f>AVERAGEIFS(#REF!,#REF!, $E$18, $H$1:$DJ$1, Y14)</f>
        <v>#REF!</v>
      </c>
      <c r="Z18" s="158" t="e">
        <f>AVERAGEIFS(#REF!,#REF!, $E$18, $H$1:$DJ$1, Z14)</f>
        <v>#REF!</v>
      </c>
      <c r="AA18" s="158" t="e">
        <f>AVERAGEIFS(#REF!,#REF!, $E$18, $H$1:$DJ$1, AA14)</f>
        <v>#REF!</v>
      </c>
      <c r="AB18" s="39"/>
      <c r="AC18" s="39"/>
      <c r="AD18" s="39"/>
      <c r="AE18" s="39"/>
      <c r="AF18" s="39"/>
      <c r="AG18" s="39"/>
      <c r="AH18" s="39"/>
      <c r="AI18" s="39"/>
      <c r="AJ18" s="165"/>
      <c r="AK18" s="39"/>
      <c r="AL18" s="39"/>
      <c r="AM18" s="165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165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165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165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165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165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</row>
    <row r="19" spans="1:111" hidden="1" x14ac:dyDescent="0.3">
      <c r="B19" s="1"/>
      <c r="C19" s="1"/>
      <c r="D19" s="39"/>
      <c r="F19" s="107"/>
      <c r="G19" s="107"/>
      <c r="H19" s="107"/>
      <c r="I19" s="107"/>
      <c r="J19" s="107"/>
      <c r="K19" s="107"/>
      <c r="L19" s="107"/>
      <c r="M19" s="107"/>
      <c r="N19" s="107"/>
      <c r="O19" s="39"/>
      <c r="P19" t="s">
        <v>188</v>
      </c>
      <c r="Q19" s="157" t="e">
        <f>Q18/Q15-1</f>
        <v>#REF!</v>
      </c>
      <c r="R19" s="157" t="e">
        <f t="shared" ref="R19:W19" si="23">R18/R15-1</f>
        <v>#REF!</v>
      </c>
      <c r="S19" s="157" t="e">
        <f t="shared" si="23"/>
        <v>#REF!</v>
      </c>
      <c r="T19" s="157" t="e">
        <f t="shared" si="23"/>
        <v>#REF!</v>
      </c>
      <c r="U19" s="157" t="e">
        <f t="shared" si="23"/>
        <v>#REF!</v>
      </c>
      <c r="V19" s="157" t="e">
        <f t="shared" si="23"/>
        <v>#REF!</v>
      </c>
      <c r="W19" s="187" t="e">
        <f t="shared" si="23"/>
        <v>#REF!</v>
      </c>
      <c r="X19" s="187" t="e">
        <f t="shared" ref="X19:Y19" si="24">X18/X15-1</f>
        <v>#REF!</v>
      </c>
      <c r="Y19" s="187" t="e">
        <f t="shared" si="24"/>
        <v>#REF!</v>
      </c>
      <c r="Z19" s="187" t="e">
        <f t="shared" ref="Z19:AA19" si="25">Z18/Z15-1</f>
        <v>#REF!</v>
      </c>
      <c r="AA19" s="187" t="e">
        <f t="shared" si="25"/>
        <v>#REF!</v>
      </c>
      <c r="AB19" s="39"/>
      <c r="AC19" s="39"/>
      <c r="AD19" s="39"/>
      <c r="AE19" s="39"/>
      <c r="AF19" s="39"/>
      <c r="AG19" s="39"/>
      <c r="AH19" s="39"/>
      <c r="AI19" s="39"/>
      <c r="AJ19" s="165"/>
      <c r="AK19" s="39"/>
      <c r="AL19" s="39"/>
      <c r="AM19" s="165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165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165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165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165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165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</row>
    <row r="20" spans="1:111" hidden="1" x14ac:dyDescent="0.3">
      <c r="B20" s="1"/>
      <c r="C20" s="1"/>
      <c r="D20" s="39"/>
      <c r="F20" s="107"/>
      <c r="G20" s="107"/>
      <c r="H20" s="107"/>
      <c r="I20" s="107"/>
      <c r="J20" s="107"/>
      <c r="K20" s="107"/>
      <c r="L20" s="107"/>
      <c r="M20" s="107"/>
      <c r="N20" s="107"/>
      <c r="O20" s="39"/>
      <c r="P20" t="s">
        <v>189</v>
      </c>
      <c r="Q20" s="157" t="e">
        <f>Q17/Q15-1</f>
        <v>#REF!</v>
      </c>
      <c r="R20" s="157" t="e">
        <f t="shared" ref="R20:W20" si="26">R17/R15-1</f>
        <v>#REF!</v>
      </c>
      <c r="S20" s="157" t="e">
        <f t="shared" si="26"/>
        <v>#REF!</v>
      </c>
      <c r="T20" s="157" t="e">
        <f t="shared" si="26"/>
        <v>#REF!</v>
      </c>
      <c r="U20" s="157" t="e">
        <f t="shared" si="26"/>
        <v>#REF!</v>
      </c>
      <c r="V20" s="157" t="e">
        <f t="shared" si="26"/>
        <v>#REF!</v>
      </c>
      <c r="W20" s="187" t="e">
        <f t="shared" si="26"/>
        <v>#REF!</v>
      </c>
      <c r="X20" s="187" t="e">
        <f t="shared" ref="X20:Y20" si="27">X17/X15-1</f>
        <v>#REF!</v>
      </c>
      <c r="Y20" s="187" t="e">
        <f t="shared" si="27"/>
        <v>#REF!</v>
      </c>
      <c r="Z20" s="187" t="e">
        <f t="shared" ref="Z20:AA20" si="28">Z17/Z15-1</f>
        <v>#REF!</v>
      </c>
      <c r="AA20" s="187" t="e">
        <f t="shared" si="28"/>
        <v>#REF!</v>
      </c>
      <c r="AB20" s="39"/>
      <c r="AC20" s="39"/>
      <c r="AD20" s="39"/>
      <c r="AE20" s="39"/>
      <c r="AF20" s="39"/>
      <c r="AG20" s="39"/>
      <c r="AH20" s="39"/>
      <c r="AI20" s="39"/>
      <c r="AJ20" s="165"/>
      <c r="AK20" s="39"/>
      <c r="AL20" s="39"/>
      <c r="AM20" s="1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165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165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165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165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165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</row>
    <row r="21" spans="1:111" x14ac:dyDescent="0.3">
      <c r="B21" s="1" t="s">
        <v>252</v>
      </c>
      <c r="C21" s="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165"/>
      <c r="AK21" s="39"/>
      <c r="AL21" s="39"/>
      <c r="AM21" s="165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165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165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165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165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165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</row>
    <row r="22" spans="1:111" x14ac:dyDescent="0.3">
      <c r="B22" s="1" t="s">
        <v>309</v>
      </c>
      <c r="C22" s="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91">
        <v>3398</v>
      </c>
      <c r="V22" s="91">
        <v>486</v>
      </c>
      <c r="W22" s="91">
        <v>20141.21</v>
      </c>
      <c r="X22" s="91">
        <v>204</v>
      </c>
      <c r="Y22" s="91">
        <v>82159.839999999997</v>
      </c>
      <c r="Z22" s="91">
        <v>48172.28</v>
      </c>
      <c r="AA22" s="91">
        <v>18424.82</v>
      </c>
      <c r="AB22" s="91"/>
      <c r="AC22" s="91"/>
      <c r="AD22" s="91"/>
      <c r="AE22" s="91"/>
      <c r="AF22" s="91"/>
      <c r="AG22" s="91"/>
      <c r="AH22" s="91"/>
      <c r="AI22" s="91"/>
      <c r="AJ22" s="163"/>
      <c r="AK22" s="91">
        <f>+AK28*'Home Builder Revenue Build'!Z$73</f>
        <v>0</v>
      </c>
      <c r="AL22" s="91">
        <f>+AL28*'Home Builder Revenue Build'!AA$73</f>
        <v>0</v>
      </c>
      <c r="AM22" s="163">
        <f>+AM28*'Home Builder Revenue Build'!AB$73</f>
        <v>0</v>
      </c>
      <c r="AN22" s="91">
        <f>+AN28*'Home Builder Revenue Build'!AC$73</f>
        <v>0</v>
      </c>
      <c r="AO22" s="91">
        <f>+AO28*'Home Builder Revenue Build'!AD$73</f>
        <v>0</v>
      </c>
      <c r="AP22" s="91">
        <f>+AP28*'Home Builder Revenue Build'!AE$73</f>
        <v>0</v>
      </c>
      <c r="AQ22" s="91">
        <f>+AQ28*'Home Builder Revenue Build'!AF$73</f>
        <v>0</v>
      </c>
      <c r="AR22" s="91">
        <f>+AR28*'Home Builder Revenue Build'!AG$73</f>
        <v>0</v>
      </c>
      <c r="AS22" s="91">
        <f>+AS28*'Home Builder Revenue Build'!AH$73</f>
        <v>0</v>
      </c>
      <c r="AT22" s="91">
        <f>+AT28*'Home Builder Revenue Build'!AI$73</f>
        <v>0</v>
      </c>
      <c r="AU22" s="91">
        <f>+AU28*'Home Builder Revenue Build'!AJ$73</f>
        <v>0</v>
      </c>
      <c r="AV22" s="91">
        <f>+AV28*'Home Builder Revenue Build'!AK$73</f>
        <v>0</v>
      </c>
      <c r="AW22" s="91">
        <f>+AW28*'Home Builder Revenue Build'!AL$73</f>
        <v>0</v>
      </c>
      <c r="AX22" s="91">
        <f>+AX28*'Home Builder Revenue Build'!AM$73</f>
        <v>0</v>
      </c>
      <c r="AY22" s="163">
        <f>+AY28*'Home Builder Revenue Build'!AN$73</f>
        <v>0</v>
      </c>
      <c r="AZ22" s="91">
        <f>+AZ28*'Home Builder Revenue Build'!AO$73</f>
        <v>0</v>
      </c>
      <c r="BA22" s="91">
        <f>+BA28*'Home Builder Revenue Build'!AP$73</f>
        <v>0</v>
      </c>
      <c r="BB22" s="91">
        <f>+BB28*'Home Builder Revenue Build'!AQ$73</f>
        <v>0</v>
      </c>
      <c r="BC22" s="91">
        <f>+BC28*'Home Builder Revenue Build'!AR$73</f>
        <v>0</v>
      </c>
      <c r="BD22" s="91">
        <f>+BD28*'Home Builder Revenue Build'!AS$73</f>
        <v>0</v>
      </c>
      <c r="BE22" s="91">
        <f>+BE28*'Home Builder Revenue Build'!AT$73</f>
        <v>0</v>
      </c>
      <c r="BF22" s="91">
        <f>+BF28*'Home Builder Revenue Build'!AU$73</f>
        <v>0</v>
      </c>
      <c r="BG22" s="91">
        <f>+BG28*'Home Builder Revenue Build'!AV$73</f>
        <v>0</v>
      </c>
      <c r="BH22" s="91">
        <f>+BH28*'Home Builder Revenue Build'!AW$73</f>
        <v>0</v>
      </c>
      <c r="BI22" s="91">
        <f>+BI28*'Home Builder Revenue Build'!AX$73</f>
        <v>0</v>
      </c>
      <c r="BJ22" s="91">
        <f>+BJ28*'Home Builder Revenue Build'!AY$73</f>
        <v>0</v>
      </c>
      <c r="BK22" s="163">
        <f>+BK28*'Home Builder Revenue Build'!AZ$73</f>
        <v>0</v>
      </c>
      <c r="BL22" s="91">
        <f>+BL28*'Home Builder Revenue Build'!BA$73</f>
        <v>0</v>
      </c>
      <c r="BM22" s="91">
        <f>+BM28*'Home Builder Revenue Build'!BB$73</f>
        <v>0</v>
      </c>
      <c r="BN22" s="91">
        <f>+BN28*'Home Builder Revenue Build'!BC$73</f>
        <v>0</v>
      </c>
      <c r="BO22" s="91">
        <f>+BO28*'Home Builder Revenue Build'!BD$73</f>
        <v>0</v>
      </c>
      <c r="BP22" s="91">
        <f>+BP28*'Home Builder Revenue Build'!BE$73</f>
        <v>0</v>
      </c>
      <c r="BQ22" s="91">
        <f>+BQ28*'Home Builder Revenue Build'!BF$73</f>
        <v>0</v>
      </c>
      <c r="BR22" s="91">
        <f>+BR28*'Home Builder Revenue Build'!BG$73</f>
        <v>0</v>
      </c>
      <c r="BS22" s="91">
        <f>+BS28*'Home Builder Revenue Build'!BH$73</f>
        <v>0</v>
      </c>
      <c r="BT22" s="91">
        <f>+BT28*'Home Builder Revenue Build'!BI$73</f>
        <v>0</v>
      </c>
      <c r="BU22" s="91">
        <f>+BU28*'Home Builder Revenue Build'!BJ$73</f>
        <v>0</v>
      </c>
      <c r="BV22" s="91">
        <f>+BV28*'Home Builder Revenue Build'!BK$73</f>
        <v>0</v>
      </c>
      <c r="BW22" s="163">
        <f>+BW28*'Home Builder Revenue Build'!BL$73</f>
        <v>0</v>
      </c>
      <c r="BX22" s="91">
        <f>+BX28*'Home Builder Revenue Build'!BM$73</f>
        <v>0</v>
      </c>
      <c r="BY22" s="91">
        <f>+BY28*'Home Builder Revenue Build'!BN$73</f>
        <v>0</v>
      </c>
      <c r="BZ22" s="91">
        <f>+BZ28*'Home Builder Revenue Build'!BO$73</f>
        <v>0</v>
      </c>
      <c r="CA22" s="91">
        <f>+CA28*'Home Builder Revenue Build'!BP$73</f>
        <v>0</v>
      </c>
      <c r="CB22" s="91">
        <f>+CB28*'Home Builder Revenue Build'!BQ$73</f>
        <v>0</v>
      </c>
      <c r="CC22" s="91">
        <f>+CC28*'Home Builder Revenue Build'!BR$73</f>
        <v>0</v>
      </c>
      <c r="CD22" s="91">
        <f>+CD28*'Home Builder Revenue Build'!BS$73</f>
        <v>0</v>
      </c>
      <c r="CE22" s="91">
        <f>+CE28*'Home Builder Revenue Build'!BT$73</f>
        <v>0</v>
      </c>
      <c r="CF22" s="91">
        <f>+CF28*'Home Builder Revenue Build'!BU$73</f>
        <v>0</v>
      </c>
      <c r="CG22" s="91">
        <f>+CG28*'Home Builder Revenue Build'!BV$73</f>
        <v>0</v>
      </c>
      <c r="CH22" s="91">
        <f>+CH28*'Home Builder Revenue Build'!BW$73</f>
        <v>0</v>
      </c>
      <c r="CI22" s="163">
        <f>+CI28*'Home Builder Revenue Build'!BX$73</f>
        <v>0</v>
      </c>
      <c r="CJ22" s="91">
        <f>+CJ28*'Home Builder Revenue Build'!BY$73</f>
        <v>0</v>
      </c>
      <c r="CK22" s="91">
        <f>+CK28*'Home Builder Revenue Build'!BZ$73</f>
        <v>0</v>
      </c>
      <c r="CL22" s="91">
        <f>+CL28*'Home Builder Revenue Build'!CA$73</f>
        <v>0</v>
      </c>
      <c r="CM22" s="91">
        <f>+CM28*'Home Builder Revenue Build'!CB$73</f>
        <v>0</v>
      </c>
      <c r="CN22" s="91">
        <f>+CN28*'Home Builder Revenue Build'!CC$73</f>
        <v>0</v>
      </c>
      <c r="CO22" s="91">
        <f>+CO28*'Home Builder Revenue Build'!CD$73</f>
        <v>0</v>
      </c>
      <c r="CP22" s="91">
        <f>+CP28*'Home Builder Revenue Build'!CE$73</f>
        <v>0</v>
      </c>
      <c r="CQ22" s="91">
        <f>+CQ28*'Home Builder Revenue Build'!CF$73</f>
        <v>0</v>
      </c>
      <c r="CR22" s="91">
        <f>+CR28*'Home Builder Revenue Build'!CG$73</f>
        <v>0</v>
      </c>
      <c r="CS22" s="91">
        <f>+CS28*'Home Builder Revenue Build'!CH$73</f>
        <v>0</v>
      </c>
      <c r="CT22" s="91">
        <f>+CT28*'Home Builder Revenue Build'!CI$73</f>
        <v>0</v>
      </c>
      <c r="CU22" s="163">
        <f>+CU28*'Home Builder Revenue Build'!CJ$73</f>
        <v>0</v>
      </c>
      <c r="CV22" s="91">
        <f>+CV28*'Home Builder Revenue Build'!CK$73</f>
        <v>0</v>
      </c>
      <c r="CW22" s="91">
        <f>+CW28*'Home Builder Revenue Build'!CL$73</f>
        <v>0</v>
      </c>
      <c r="CX22" s="91">
        <f>+CX28*'Home Builder Revenue Build'!CM$73</f>
        <v>0</v>
      </c>
      <c r="CY22" s="91">
        <f>+CY28*'Home Builder Revenue Build'!CN$73</f>
        <v>0</v>
      </c>
      <c r="CZ22" s="91">
        <f>+CZ28*'Home Builder Revenue Build'!CO$73</f>
        <v>0</v>
      </c>
      <c r="DA22" s="91">
        <f>+DA28*'Home Builder Revenue Build'!CP$73</f>
        <v>0</v>
      </c>
      <c r="DB22" s="91">
        <f>+DB28*'Home Builder Revenue Build'!CQ$73</f>
        <v>0</v>
      </c>
      <c r="DC22" s="91">
        <f>+DC28*'Home Builder Revenue Build'!CR$73</f>
        <v>0</v>
      </c>
      <c r="DD22" s="91">
        <f>+DD28*'Home Builder Revenue Build'!CS$73</f>
        <v>0</v>
      </c>
      <c r="DE22" s="91">
        <f>+DE28*'Home Builder Revenue Build'!CT$73</f>
        <v>0</v>
      </c>
      <c r="DF22" s="91">
        <f>+DF28*'Home Builder Revenue Build'!CU$73</f>
        <v>0</v>
      </c>
      <c r="DG22" s="91">
        <f>+DG28*'Home Builder Revenue Build'!CV$73</f>
        <v>0</v>
      </c>
    </row>
    <row r="23" spans="1:111" x14ac:dyDescent="0.3">
      <c r="B23" s="1" t="s">
        <v>310</v>
      </c>
      <c r="C23" s="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91"/>
      <c r="V23" s="91"/>
      <c r="W23" s="91"/>
      <c r="X23" s="91">
        <v>1614.12</v>
      </c>
      <c r="Y23" s="91">
        <v>89.88</v>
      </c>
      <c r="Z23" s="91">
        <v>93513.99</v>
      </c>
      <c r="AA23" s="91">
        <v>29268.52</v>
      </c>
      <c r="AB23" s="91">
        <v>9331.41</v>
      </c>
      <c r="AC23" s="91">
        <v>11043.19</v>
      </c>
      <c r="AD23" s="91">
        <v>12624.47</v>
      </c>
      <c r="AE23" s="91">
        <v>2249.58</v>
      </c>
      <c r="AF23" s="91">
        <v>1056.1600000000001</v>
      </c>
      <c r="AG23" s="91">
        <v>9369.24</v>
      </c>
      <c r="AH23" s="91">
        <v>1419</v>
      </c>
      <c r="AI23" s="91">
        <v>75</v>
      </c>
      <c r="AJ23" s="163">
        <v>9450.67</v>
      </c>
      <c r="AK23" s="91">
        <f>+AK29*'Home Builder Revenue Build'!Z$73</f>
        <v>0</v>
      </c>
      <c r="AL23" s="91">
        <f>+AL29*'Home Builder Revenue Build'!AA$73</f>
        <v>0</v>
      </c>
      <c r="AM23" s="163">
        <f>+AM29*'Home Builder Revenue Build'!AB$73</f>
        <v>0</v>
      </c>
      <c r="AN23" s="91">
        <f>+AN29*'Home Builder Revenue Build'!AC$73</f>
        <v>2286.0953995759955</v>
      </c>
      <c r="AO23" s="91">
        <f>+AO29*'Home Builder Revenue Build'!AD$73</f>
        <v>326.96950093994519</v>
      </c>
      <c r="AP23" s="91">
        <f>+AP29*'Home Builder Revenue Build'!AE$73</f>
        <v>13550.537823100067</v>
      </c>
      <c r="AQ23" s="91">
        <f>+AQ29*'Home Builder Revenue Build'!AF$73</f>
        <v>1223.1888663558293</v>
      </c>
      <c r="AR23" s="91">
        <f>+AR29*'Home Builder Revenue Build'!AG$73</f>
        <v>55335.699384465486</v>
      </c>
      <c r="AS23" s="91">
        <f>+AS29*'Home Builder Revenue Build'!AH$73</f>
        <v>99235.653929091422</v>
      </c>
      <c r="AT23" s="91">
        <f>+AT29*'Home Builder Revenue Build'!AI$73</f>
        <v>69632.140667823784</v>
      </c>
      <c r="AU23" s="91">
        <f>+AU29*'Home Builder Revenue Build'!AJ$73</f>
        <v>44519.17370863918</v>
      </c>
      <c r="AV23" s="91">
        <f>+AV29*'Home Builder Revenue Build'!AK$73</f>
        <v>25629.502269442397</v>
      </c>
      <c r="AW23" s="91">
        <f>+AW29*'Home Builder Revenue Build'!AL$73</f>
        <v>72222.19985883015</v>
      </c>
      <c r="AX23" s="91">
        <f>+AX29*'Home Builder Revenue Build'!AM$73</f>
        <v>83320.291719950139</v>
      </c>
      <c r="AY23" s="163">
        <f>+AY29*'Home Builder Revenue Build'!AN$73</f>
        <v>120043.12975293318</v>
      </c>
      <c r="AZ23" s="91">
        <f>+AZ29*'Home Builder Revenue Build'!AO$73</f>
        <v>80887.140344111758</v>
      </c>
      <c r="BA23" s="91">
        <f>+BA29*'Home Builder Revenue Build'!AP$73</f>
        <v>53375.378330485168</v>
      </c>
      <c r="BB23" s="91">
        <f>+BB29*'Home Builder Revenue Build'!AQ$73</f>
        <v>11174.664489586179</v>
      </c>
      <c r="BC23" s="91">
        <f>+BC29*'Home Builder Revenue Build'!AR$73</f>
        <v>85575.648275314423</v>
      </c>
      <c r="BD23" s="91">
        <f>+BD29*'Home Builder Revenue Build'!AS$73</f>
        <v>19816.869786719511</v>
      </c>
      <c r="BE23" s="91">
        <f>+BE29*'Home Builder Revenue Build'!AT$73</f>
        <v>3134.1630478058</v>
      </c>
      <c r="BF23" s="91">
        <f>+BF29*'Home Builder Revenue Build'!AU$73</f>
        <v>448.26463838540872</v>
      </c>
      <c r="BG23" s="91">
        <f>+BG29*'Home Builder Revenue Build'!AV$73</f>
        <v>18577.350241346867</v>
      </c>
      <c r="BH23" s="91">
        <f>+BH29*'Home Builder Revenue Build'!AW$73</f>
        <v>1676.9524780684758</v>
      </c>
      <c r="BI23" s="91">
        <f>+BI29*'Home Builder Revenue Build'!AX$73</f>
        <v>75863.458833541386</v>
      </c>
      <c r="BJ23" s="91">
        <f>+BJ29*'Home Builder Revenue Build'!AY$73</f>
        <v>136048.88038665761</v>
      </c>
      <c r="BK23" s="163">
        <f>+BK29*'Home Builder Revenue Build'!AZ$73</f>
        <v>91672.09238999334</v>
      </c>
      <c r="BL23" s="91">
        <f>+BL29*'Home Builder Revenue Build'!BA$73</f>
        <v>60492.095441216523</v>
      </c>
      <c r="BM23" s="91">
        <f>+BM29*'Home Builder Revenue Build'!BB$73</f>
        <v>12664.619754864338</v>
      </c>
      <c r="BN23" s="91">
        <f>+BN29*'Home Builder Revenue Build'!BC$73</f>
        <v>96985.734712023012</v>
      </c>
      <c r="BO23" s="91">
        <f>+BO29*'Home Builder Revenue Build'!BD$73</f>
        <v>22459.119091615445</v>
      </c>
      <c r="BP23" s="91">
        <f>+BP29*'Home Builder Revenue Build'!BE$73</f>
        <v>0</v>
      </c>
      <c r="BQ23" s="91">
        <f>+BQ29*'Home Builder Revenue Build'!BF$73</f>
        <v>3595.0693783654765</v>
      </c>
      <c r="BR23" s="91">
        <f>+BR29*'Home Builder Revenue Build'!BG$73</f>
        <v>514.18590873620406</v>
      </c>
      <c r="BS23" s="91">
        <f>+BS29*'Home Builder Revenue Build'!BH$73</f>
        <v>21309.313512133169</v>
      </c>
      <c r="BT23" s="91">
        <f>+BT29*'Home Builder Revenue Build'!BI$73</f>
        <v>1923.5631366079574</v>
      </c>
      <c r="BU23" s="91">
        <f>+BU29*'Home Builder Revenue Build'!BJ$73</f>
        <v>87019.849838473936</v>
      </c>
      <c r="BV23" s="91">
        <f>+BV29*'Home Builder Revenue Build'!BK$73</f>
        <v>156056.06867881311</v>
      </c>
      <c r="BW23" s="163">
        <f>+BW29*'Home Builder Revenue Build'!BL$73</f>
        <v>105153.28244734529</v>
      </c>
      <c r="BX23" s="91">
        <f>+BX29*'Home Builder Revenue Build'!BM$73</f>
        <v>69387.991829630715</v>
      </c>
      <c r="BY23" s="91">
        <f>+BY29*'Home Builder Revenue Build'!BN$73</f>
        <v>14527.063836462034</v>
      </c>
      <c r="BZ23" s="91">
        <f>+BZ29*'Home Builder Revenue Build'!BO$73</f>
        <v>111248.34275790876</v>
      </c>
      <c r="CA23" s="91">
        <f>+CA29*'Home Builder Revenue Build'!BP$73</f>
        <v>25761.930722735364</v>
      </c>
      <c r="CB23" s="91">
        <f>+CB29*'Home Builder Revenue Build'!BQ$73</f>
        <v>0</v>
      </c>
      <c r="CC23" s="91">
        <f>+CC29*'Home Builder Revenue Build'!BR$73</f>
        <v>4424.7007733728942</v>
      </c>
      <c r="CD23" s="91">
        <f>+CD29*'Home Builder Revenue Build'!BS$73</f>
        <v>632.84419536763585</v>
      </c>
      <c r="CE23" s="91">
        <f>+CE29*'Home Builder Revenue Build'!BT$73</f>
        <v>26226.847399548518</v>
      </c>
      <c r="CF23" s="91">
        <f>+CF29*'Home Builder Revenue Build'!BU$73</f>
        <v>2367.4623219790246</v>
      </c>
      <c r="CG23" s="91">
        <f>+CG29*'Home Builder Revenue Build'!BV$73</f>
        <v>107101.35364735255</v>
      </c>
      <c r="CH23" s="91">
        <f>+CH29*'Home Builder Revenue Build'!BW$73</f>
        <v>192069.00760469306</v>
      </c>
      <c r="CI23" s="163">
        <f>+CI29*'Home Builder Revenue Build'!BX$73</f>
        <v>129419.42455057881</v>
      </c>
      <c r="CJ23" s="91">
        <f>+CJ29*'Home Builder Revenue Build'!BY$73</f>
        <v>85400.605328776262</v>
      </c>
      <c r="CK23" s="91">
        <f>+CK29*'Home Builder Revenue Build'!BZ$73</f>
        <v>17879.463183337888</v>
      </c>
      <c r="CL23" s="91">
        <f>+CL29*'Home Builder Revenue Build'!CA$73</f>
        <v>136921.03724050306</v>
      </c>
      <c r="CM23" s="91">
        <f>+CM29*'Home Builder Revenue Build'!CB$73</f>
        <v>31706.991658751216</v>
      </c>
      <c r="CN23" s="91">
        <f>+CN29*'Home Builder Revenue Build'!CC$73</f>
        <v>0</v>
      </c>
      <c r="CO23" s="91">
        <f>+CO29*'Home Builder Revenue Build'!CD$73</f>
        <v>5530.8759667161185</v>
      </c>
      <c r="CP23" s="91">
        <f>+CP29*'Home Builder Revenue Build'!CE$73</f>
        <v>791.05524420954487</v>
      </c>
      <c r="CQ23" s="91">
        <f>+CQ29*'Home Builder Revenue Build'!CF$73</f>
        <v>32783.559249435646</v>
      </c>
      <c r="CR23" s="91">
        <f>+CR29*'Home Builder Revenue Build'!CG$73</f>
        <v>2959.3279024737808</v>
      </c>
      <c r="CS23" s="91">
        <f>+CS29*'Home Builder Revenue Build'!CH$73</f>
        <v>133876.69205919068</v>
      </c>
      <c r="CT23" s="91">
        <f>+CT29*'Home Builder Revenue Build'!CI$73</f>
        <v>240086.25950586636</v>
      </c>
      <c r="CU23" s="163">
        <f>+CU29*'Home Builder Revenue Build'!CJ$73</f>
        <v>161774.28068822352</v>
      </c>
      <c r="CV23" s="91">
        <f>+CV29*'Home Builder Revenue Build'!CK$73</f>
        <v>106750.75666097034</v>
      </c>
      <c r="CW23" s="91">
        <f>+CW29*'Home Builder Revenue Build'!CL$73</f>
        <v>28986.3801392317</v>
      </c>
      <c r="CX23" s="91">
        <f>+CX29*'Home Builder Revenue Build'!CM$73</f>
        <v>172100.56284368029</v>
      </c>
      <c r="CY23" s="91">
        <f>+CY29*'Home Builder Revenue Build'!CN$73</f>
        <v>78974.010672761797</v>
      </c>
      <c r="CZ23" s="91">
        <f>+CZ29*'Home Builder Revenue Build'!CO$73</f>
        <v>3551.193482968537</v>
      </c>
      <c r="DA23" s="91">
        <f>+DA29*'Home Builder Revenue Build'!CP$73</f>
        <v>160652.03047102882</v>
      </c>
      <c r="DB23" s="91">
        <f>+DB29*'Home Builder Revenue Build'!CQ$73</f>
        <v>288103.51140703965</v>
      </c>
      <c r="DC23" s="91">
        <f>+DC29*'Home Builder Revenue Build'!CR$73</f>
        <v>194129.13682586825</v>
      </c>
      <c r="DD23" s="91">
        <f>+DD29*'Home Builder Revenue Build'!CS$73</f>
        <v>128100.90799316441</v>
      </c>
      <c r="DE23" s="91">
        <f>+DE29*'Home Builder Revenue Build'!CT$73</f>
        <v>26819.194775006828</v>
      </c>
      <c r="DF23" s="91">
        <f>+DF29*'Home Builder Revenue Build'!CU$73</f>
        <v>205381.55586075463</v>
      </c>
      <c r="DG23" s="91">
        <f>+DG29*'Home Builder Revenue Build'!CV$73</f>
        <v>47560.487488126819</v>
      </c>
    </row>
    <row r="24" spans="1:111" x14ac:dyDescent="0.3">
      <c r="B24" s="1" t="s">
        <v>311</v>
      </c>
      <c r="C24" s="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91"/>
      <c r="V24" s="91"/>
      <c r="W24" s="91"/>
      <c r="X24" s="91"/>
      <c r="Y24" s="91"/>
      <c r="Z24" s="91">
        <v>2490</v>
      </c>
      <c r="AA24" s="91">
        <v>51400</v>
      </c>
      <c r="AB24" s="91">
        <v>56252.97</v>
      </c>
      <c r="AC24" s="91">
        <v>2687.55</v>
      </c>
      <c r="AD24" s="91">
        <v>92525.62</v>
      </c>
      <c r="AE24" s="91">
        <v>22100.17</v>
      </c>
      <c r="AF24" s="91">
        <v>22336</v>
      </c>
      <c r="AG24" s="91">
        <v>14367</v>
      </c>
      <c r="AH24" s="91">
        <v>880</v>
      </c>
      <c r="AI24" s="91">
        <v>0</v>
      </c>
      <c r="AJ24" s="163">
        <v>0</v>
      </c>
      <c r="AK24" s="91">
        <f>+AK30*'Home Builder Revenue Build'!Z$73</f>
        <v>0</v>
      </c>
      <c r="AL24" s="91">
        <f>+AL30*'Home Builder Revenue Build'!AA$73</f>
        <v>0</v>
      </c>
      <c r="AM24" s="163">
        <f>+AM30*'Home Builder Revenue Build'!AB$73</f>
        <v>0</v>
      </c>
      <c r="AN24" s="91">
        <f>+AN30*'Home Builder Revenue Build'!AC$73</f>
        <v>1450.6279660447451</v>
      </c>
      <c r="AO24" s="91">
        <f>+AO30*'Home Builder Revenue Build'!AD$73</f>
        <v>207.47651309527546</v>
      </c>
      <c r="AP24" s="91">
        <f>+AP30*'Home Builder Revenue Build'!AE$73</f>
        <v>8598.4115644438116</v>
      </c>
      <c r="AQ24" s="91">
        <f>+AQ30*'Home Builder Revenue Build'!AF$73</f>
        <v>776.16707405099214</v>
      </c>
      <c r="AR24" s="91">
        <f>+AR30*'Home Builder Revenue Build'!AG$73</f>
        <v>35112.932322351313</v>
      </c>
      <c r="AS24" s="91">
        <f>+AS30*'Home Builder Revenue Build'!AH$73</f>
        <v>62969.38213732349</v>
      </c>
      <c r="AT24" s="91">
        <f>+AT30*'Home Builder Revenue Build'!AI$73</f>
        <v>44184.652402100663</v>
      </c>
      <c r="AU24" s="91">
        <f>+AU30*'Home Builder Revenue Build'!AJ$73</f>
        <v>28249.371578689937</v>
      </c>
      <c r="AV24" s="91">
        <f>+AV30*'Home Builder Revenue Build'!AK$73</f>
        <v>16263.045170711601</v>
      </c>
      <c r="AW24" s="91">
        <f>+AW30*'Home Builder Revenue Build'!AL$73</f>
        <v>45828.158747847177</v>
      </c>
      <c r="AX24" s="91">
        <f>+AX30*'Home Builder Revenue Build'!AM$73</f>
        <v>52870.38560612272</v>
      </c>
      <c r="AY24" s="163">
        <f>+AY30*'Home Builder Revenue Build'!AN$73</f>
        <v>76172.639682246154</v>
      </c>
      <c r="AZ24" s="91">
        <f>+AZ30*'Home Builder Revenue Build'!AO$73</f>
        <v>51326.444162530279</v>
      </c>
      <c r="BA24" s="91">
        <f>+BA30*'Home Builder Revenue Build'!AP$73</f>
        <v>33869.022490829157</v>
      </c>
      <c r="BB24" s="91">
        <f>+BB30*'Home Builder Revenue Build'!AQ$73</f>
        <v>7090.8155551021082</v>
      </c>
      <c r="BC24" s="91">
        <f>+BC30*'Home Builder Revenue Build'!AR$73</f>
        <v>54301.508425065695</v>
      </c>
      <c r="BD24" s="91">
        <f>+BD30*'Home Builder Revenue Build'!AS$73</f>
        <v>12574.674494080256</v>
      </c>
      <c r="BE24" s="91">
        <f>+BE30*'Home Builder Revenue Build'!AT$73</f>
        <v>1988.7641469968278</v>
      </c>
      <c r="BF24" s="91">
        <f>+BF30*'Home Builder Revenue Build'!AU$73</f>
        <v>284.44360666287764</v>
      </c>
      <c r="BG24" s="91">
        <f>+BG30*'Home Builder Revenue Build'!AV$73</f>
        <v>11788.144886737486</v>
      </c>
      <c r="BH24" s="91">
        <f>+BH30*'Home Builder Revenue Build'!AW$73</f>
        <v>1064.1000208763601</v>
      </c>
      <c r="BI24" s="91">
        <f>+BI30*'Home Builder Revenue Build'!AX$73</f>
        <v>48138.697538707449</v>
      </c>
      <c r="BJ24" s="91">
        <f>+BJ30*'Home Builder Revenue Build'!AY$73</f>
        <v>86328.991639878979</v>
      </c>
      <c r="BK24" s="163">
        <f>+BK30*'Home Builder Revenue Build'!AZ$73</f>
        <v>58169.970050867654</v>
      </c>
      <c r="BL24" s="91">
        <f>+BL30*'Home Builder Revenue Build'!BA$73</f>
        <v>38384.892156273047</v>
      </c>
      <c r="BM24" s="91">
        <f>+BM30*'Home Builder Revenue Build'!BB$73</f>
        <v>8036.2576291157229</v>
      </c>
      <c r="BN24" s="91">
        <f>+BN30*'Home Builder Revenue Build'!BC$73</f>
        <v>61541.709548407795</v>
      </c>
      <c r="BO24" s="91">
        <f>+BO30*'Home Builder Revenue Build'!BD$73</f>
        <v>14251.297759957624</v>
      </c>
      <c r="BP24" s="91">
        <f>+BP30*'Home Builder Revenue Build'!BE$73</f>
        <v>0</v>
      </c>
      <c r="BQ24" s="91">
        <f>+BQ30*'Home Builder Revenue Build'!BF$73</f>
        <v>2281.2294627316555</v>
      </c>
      <c r="BR24" s="91">
        <f>+BR30*'Home Builder Revenue Build'!BG$73</f>
        <v>326.27354881918319</v>
      </c>
      <c r="BS24" s="91">
        <f>+BS30*'Home Builder Revenue Build'!BH$73</f>
        <v>13521.695605375349</v>
      </c>
      <c r="BT24" s="91">
        <f>+BT30*'Home Builder Revenue Build'!BI$73</f>
        <v>1220.5853180640602</v>
      </c>
      <c r="BU24" s="91">
        <f>+BU30*'Home Builder Revenue Build'!BJ$73</f>
        <v>55217.917764987949</v>
      </c>
      <c r="BV24" s="91">
        <f>+BV30*'Home Builder Revenue Build'!BK$73</f>
        <v>99024.431586920007</v>
      </c>
      <c r="BW24" s="163">
        <f>+BW30*'Home Builder Revenue Build'!BL$73</f>
        <v>66724.377411289373</v>
      </c>
      <c r="BX24" s="91">
        <f>+BX30*'Home Builder Revenue Build'!BM$73</f>
        <v>44029.729238077904</v>
      </c>
      <c r="BY24" s="91">
        <f>+BY30*'Home Builder Revenue Build'!BN$73</f>
        <v>9218.0602216327406</v>
      </c>
      <c r="BZ24" s="91">
        <f>+BZ30*'Home Builder Revenue Build'!BO$73</f>
        <v>70591.960952585403</v>
      </c>
      <c r="CA24" s="91">
        <f>+CA30*'Home Builder Revenue Build'!BP$73</f>
        <v>16347.076842304334</v>
      </c>
      <c r="CB24" s="91">
        <f>+CB30*'Home Builder Revenue Build'!BQ$73</f>
        <v>0</v>
      </c>
      <c r="CC24" s="91">
        <f>+CC30*'Home Builder Revenue Build'!BR$73</f>
        <v>2807.667031054345</v>
      </c>
      <c r="CD24" s="91">
        <f>+CD30*'Home Builder Revenue Build'!BS$73</f>
        <v>401.56744470053314</v>
      </c>
      <c r="CE24" s="91">
        <f>+CE30*'Home Builder Revenue Build'!BT$73</f>
        <v>16642.08689892351</v>
      </c>
      <c r="CF24" s="91">
        <f>+CF30*'Home Builder Revenue Build'!BU$73</f>
        <v>1502.2588530019202</v>
      </c>
      <c r="CG24" s="91">
        <f>+CG30*'Home Builder Revenue Build'!BV$73</f>
        <v>67960.514172292867</v>
      </c>
      <c r="CH24" s="91">
        <f>+CH30*'Home Builder Revenue Build'!BW$73</f>
        <v>121876.22349159385</v>
      </c>
      <c r="CI24" s="163">
        <f>+CI30*'Home Builder Revenue Build'!BX$73</f>
        <v>82122.310660048446</v>
      </c>
      <c r="CJ24" s="91">
        <f>+CJ30*'Home Builder Revenue Build'!BY$73</f>
        <v>54190.435985326651</v>
      </c>
      <c r="CK24" s="91">
        <f>+CK30*'Home Builder Revenue Build'!BZ$73</f>
        <v>11345.304888163373</v>
      </c>
      <c r="CL24" s="91">
        <f>+CL30*'Home Builder Revenue Build'!CA$73</f>
        <v>86882.413480105111</v>
      </c>
      <c r="CM24" s="91">
        <f>+CM30*'Home Builder Revenue Build'!CB$73</f>
        <v>20119.479190528411</v>
      </c>
      <c r="CN24" s="91">
        <f>+CN30*'Home Builder Revenue Build'!CC$73</f>
        <v>0</v>
      </c>
      <c r="CO24" s="91">
        <f>+CO30*'Home Builder Revenue Build'!CD$73</f>
        <v>3509.5837888179317</v>
      </c>
      <c r="CP24" s="91">
        <f>+CP30*'Home Builder Revenue Build'!CE$73</f>
        <v>501.95930587566647</v>
      </c>
      <c r="CQ24" s="91">
        <f>+CQ30*'Home Builder Revenue Build'!CF$73</f>
        <v>20802.608623654385</v>
      </c>
      <c r="CR24" s="91">
        <f>+CR30*'Home Builder Revenue Build'!CG$73</f>
        <v>1877.8235662524005</v>
      </c>
      <c r="CS24" s="91">
        <f>+CS30*'Home Builder Revenue Build'!CH$73</f>
        <v>84950.642715366077</v>
      </c>
      <c r="CT24" s="91">
        <f>+CT30*'Home Builder Revenue Build'!CI$73</f>
        <v>152345.27936449231</v>
      </c>
      <c r="CU24" s="163">
        <f>+CU30*'Home Builder Revenue Build'!CJ$73</f>
        <v>102652.88832506056</v>
      </c>
      <c r="CV24" s="91">
        <f>+CV30*'Home Builder Revenue Build'!CK$73</f>
        <v>67738.044981658313</v>
      </c>
      <c r="CW24" s="91">
        <f>+CW30*'Home Builder Revenue Build'!CL$73</f>
        <v>18393.131656785732</v>
      </c>
      <c r="CX24" s="91">
        <f>+CX30*'Home Builder Revenue Build'!CM$73</f>
        <v>109205.36801718219</v>
      </c>
      <c r="CY24" s="91">
        <f>+CY30*'Home Builder Revenue Build'!CN$73</f>
        <v>50112.479336545774</v>
      </c>
      <c r="CZ24" s="91">
        <f>+CZ30*'Home Builder Revenue Build'!CO$73</f>
        <v>2253.3882795028803</v>
      </c>
      <c r="DA24" s="91">
        <f>+DA30*'Home Builder Revenue Build'!CP$73</f>
        <v>101940.77125843929</v>
      </c>
      <c r="DB24" s="91">
        <f>+DB30*'Home Builder Revenue Build'!CQ$73</f>
        <v>182814.3352373908</v>
      </c>
      <c r="DC24" s="91">
        <f>+DC30*'Home Builder Revenue Build'!CR$73</f>
        <v>123183.46599007268</v>
      </c>
      <c r="DD24" s="91">
        <f>+DD30*'Home Builder Revenue Build'!CS$73</f>
        <v>81285.653977989976</v>
      </c>
      <c r="DE24" s="91">
        <f>+DE30*'Home Builder Revenue Build'!CT$73</f>
        <v>17017.95733224506</v>
      </c>
      <c r="DF24" s="91">
        <f>+DF30*'Home Builder Revenue Build'!CU$73</f>
        <v>130323.62022015768</v>
      </c>
      <c r="DG24" s="91">
        <f>+DG30*'Home Builder Revenue Build'!CV$73</f>
        <v>30179.218785792615</v>
      </c>
    </row>
    <row r="25" spans="1:111" x14ac:dyDescent="0.3">
      <c r="B25" s="1" t="s">
        <v>355</v>
      </c>
      <c r="C25" s="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>
        <v>735</v>
      </c>
      <c r="AG25" s="91">
        <v>11876</v>
      </c>
      <c r="AH25" s="91">
        <v>600</v>
      </c>
      <c r="AI25" s="91">
        <v>39200</v>
      </c>
      <c r="AJ25" s="163">
        <v>26774</v>
      </c>
      <c r="AK25" s="91">
        <f>+AK31*AK11</f>
        <v>50514.349049999997</v>
      </c>
      <c r="AL25" s="91">
        <f t="shared" ref="AL25:CR25" si="29">+AL31*AL11</f>
        <v>19422.749999999996</v>
      </c>
      <c r="AM25" s="163">
        <f t="shared" si="29"/>
        <v>8550</v>
      </c>
      <c r="AN25" s="91">
        <f t="shared" si="29"/>
        <v>25500</v>
      </c>
      <c r="AO25" s="91">
        <f t="shared" si="29"/>
        <v>25500</v>
      </c>
      <c r="AP25" s="91">
        <f t="shared" si="29"/>
        <v>25500</v>
      </c>
      <c r="AQ25" s="91">
        <f t="shared" si="29"/>
        <v>25500</v>
      </c>
      <c r="AR25" s="91">
        <f t="shared" si="29"/>
        <v>25500</v>
      </c>
      <c r="AS25" s="91">
        <f t="shared" si="29"/>
        <v>25500</v>
      </c>
      <c r="AT25" s="91">
        <f t="shared" si="29"/>
        <v>25500</v>
      </c>
      <c r="AU25" s="91">
        <f t="shared" si="29"/>
        <v>25500</v>
      </c>
      <c r="AV25" s="91">
        <f t="shared" si="29"/>
        <v>25500</v>
      </c>
      <c r="AW25" s="91">
        <f t="shared" si="29"/>
        <v>25500</v>
      </c>
      <c r="AX25" s="91">
        <f t="shared" si="29"/>
        <v>25500</v>
      </c>
      <c r="AY25" s="163">
        <f t="shared" si="29"/>
        <v>25500</v>
      </c>
      <c r="AZ25" s="91">
        <f t="shared" si="29"/>
        <v>25500</v>
      </c>
      <c r="BA25" s="91">
        <f t="shared" si="29"/>
        <v>25500</v>
      </c>
      <c r="BB25" s="91">
        <f t="shared" si="29"/>
        <v>25500</v>
      </c>
      <c r="BC25" s="91">
        <f t="shared" si="29"/>
        <v>25500</v>
      </c>
      <c r="BD25" s="91">
        <f t="shared" si="29"/>
        <v>25500</v>
      </c>
      <c r="BE25" s="91">
        <f t="shared" si="29"/>
        <v>25500</v>
      </c>
      <c r="BF25" s="91">
        <f t="shared" si="29"/>
        <v>34000</v>
      </c>
      <c r="BG25" s="91">
        <f t="shared" si="29"/>
        <v>34000</v>
      </c>
      <c r="BH25" s="91">
        <f t="shared" si="29"/>
        <v>34000</v>
      </c>
      <c r="BI25" s="91">
        <f t="shared" si="29"/>
        <v>34000</v>
      </c>
      <c r="BJ25" s="91">
        <f t="shared" si="29"/>
        <v>34000</v>
      </c>
      <c r="BK25" s="163">
        <f t="shared" si="29"/>
        <v>34000</v>
      </c>
      <c r="BL25" s="91">
        <f t="shared" si="29"/>
        <v>40000</v>
      </c>
      <c r="BM25" s="91">
        <f t="shared" si="29"/>
        <v>40000</v>
      </c>
      <c r="BN25" s="91">
        <f t="shared" si="29"/>
        <v>40000</v>
      </c>
      <c r="BO25" s="91">
        <f t="shared" si="29"/>
        <v>40000</v>
      </c>
      <c r="BP25" s="91">
        <f t="shared" si="29"/>
        <v>40000</v>
      </c>
      <c r="BQ25" s="91">
        <f t="shared" si="29"/>
        <v>40000</v>
      </c>
      <c r="BR25" s="91">
        <f t="shared" si="29"/>
        <v>40000</v>
      </c>
      <c r="BS25" s="91">
        <f t="shared" si="29"/>
        <v>40000</v>
      </c>
      <c r="BT25" s="91">
        <f t="shared" si="29"/>
        <v>40000</v>
      </c>
      <c r="BU25" s="91">
        <f t="shared" si="29"/>
        <v>40000</v>
      </c>
      <c r="BV25" s="91">
        <f t="shared" si="29"/>
        <v>40000</v>
      </c>
      <c r="BW25" s="163">
        <f t="shared" si="29"/>
        <v>40000</v>
      </c>
      <c r="BX25" s="91">
        <f t="shared" si="29"/>
        <v>48000</v>
      </c>
      <c r="BY25" s="91">
        <f t="shared" si="29"/>
        <v>48000</v>
      </c>
      <c r="BZ25" s="91">
        <f t="shared" si="29"/>
        <v>48000</v>
      </c>
      <c r="CA25" s="91">
        <f t="shared" si="29"/>
        <v>48000</v>
      </c>
      <c r="CB25" s="91">
        <f t="shared" si="29"/>
        <v>48000</v>
      </c>
      <c r="CC25" s="91">
        <f t="shared" si="29"/>
        <v>48000</v>
      </c>
      <c r="CD25" s="91">
        <f t="shared" si="29"/>
        <v>48000</v>
      </c>
      <c r="CE25" s="91">
        <f t="shared" si="29"/>
        <v>48000</v>
      </c>
      <c r="CF25" s="91">
        <f t="shared" si="29"/>
        <v>48000</v>
      </c>
      <c r="CG25" s="91">
        <f t="shared" si="29"/>
        <v>48000</v>
      </c>
      <c r="CH25" s="91">
        <f t="shared" si="29"/>
        <v>48000</v>
      </c>
      <c r="CI25" s="163">
        <f t="shared" si="29"/>
        <v>48000</v>
      </c>
      <c r="CJ25" s="91">
        <f t="shared" si="29"/>
        <v>56000</v>
      </c>
      <c r="CK25" s="91">
        <f t="shared" si="29"/>
        <v>56000</v>
      </c>
      <c r="CL25" s="91">
        <f t="shared" si="29"/>
        <v>56000</v>
      </c>
      <c r="CM25" s="91">
        <f t="shared" si="29"/>
        <v>56000</v>
      </c>
      <c r="CN25" s="91">
        <f t="shared" si="29"/>
        <v>56000</v>
      </c>
      <c r="CO25" s="91">
        <f t="shared" si="29"/>
        <v>56000</v>
      </c>
      <c r="CP25" s="91">
        <f t="shared" si="29"/>
        <v>64000</v>
      </c>
      <c r="CQ25" s="91">
        <f t="shared" si="29"/>
        <v>64000</v>
      </c>
      <c r="CR25" s="91">
        <f t="shared" si="29"/>
        <v>64000</v>
      </c>
      <c r="CS25" s="91">
        <f t="shared" ref="CS25:DG25" si="30">+CS31*CS11</f>
        <v>64000</v>
      </c>
      <c r="CT25" s="91">
        <f t="shared" si="30"/>
        <v>64000</v>
      </c>
      <c r="CU25" s="163">
        <f t="shared" si="30"/>
        <v>64000</v>
      </c>
      <c r="CV25" s="91">
        <f t="shared" si="30"/>
        <v>64000</v>
      </c>
      <c r="CW25" s="91">
        <f t="shared" si="30"/>
        <v>64000</v>
      </c>
      <c r="CX25" s="91">
        <f t="shared" si="30"/>
        <v>64000</v>
      </c>
      <c r="CY25" s="91">
        <f t="shared" si="30"/>
        <v>64000</v>
      </c>
      <c r="CZ25" s="91">
        <f t="shared" si="30"/>
        <v>64000</v>
      </c>
      <c r="DA25" s="91">
        <f t="shared" si="30"/>
        <v>64000</v>
      </c>
      <c r="DB25" s="91">
        <f t="shared" si="30"/>
        <v>72000</v>
      </c>
      <c r="DC25" s="91">
        <f t="shared" si="30"/>
        <v>72000</v>
      </c>
      <c r="DD25" s="91">
        <f t="shared" si="30"/>
        <v>72000</v>
      </c>
      <c r="DE25" s="91">
        <f t="shared" si="30"/>
        <v>72000</v>
      </c>
      <c r="DF25" s="91">
        <f t="shared" si="30"/>
        <v>72000</v>
      </c>
      <c r="DG25" s="91">
        <f t="shared" si="30"/>
        <v>72000</v>
      </c>
    </row>
    <row r="26" spans="1:111" s="37" customFormat="1" x14ac:dyDescent="0.3">
      <c r="A26" s="3"/>
      <c r="B26" s="4" t="s">
        <v>253</v>
      </c>
      <c r="C26" s="4"/>
      <c r="U26" s="37">
        <f t="shared" ref="U26:AA26" si="31">SUM(U22:U24)</f>
        <v>3398</v>
      </c>
      <c r="V26" s="37">
        <f t="shared" si="31"/>
        <v>486</v>
      </c>
      <c r="W26" s="37">
        <f t="shared" si="31"/>
        <v>20141.21</v>
      </c>
      <c r="X26" s="37">
        <f t="shared" si="31"/>
        <v>1818.12</v>
      </c>
      <c r="Y26" s="37">
        <f t="shared" si="31"/>
        <v>82249.72</v>
      </c>
      <c r="Z26" s="37">
        <f t="shared" si="31"/>
        <v>144176.27000000002</v>
      </c>
      <c r="AA26" s="37">
        <f t="shared" si="31"/>
        <v>99093.34</v>
      </c>
      <c r="AB26" s="37">
        <f t="shared" ref="AB26:AE26" si="32">SUM(AB22:AB25)</f>
        <v>65584.38</v>
      </c>
      <c r="AC26" s="37">
        <f t="shared" si="32"/>
        <v>13730.740000000002</v>
      </c>
      <c r="AD26" s="37">
        <f t="shared" si="32"/>
        <v>105150.09</v>
      </c>
      <c r="AE26" s="37">
        <f t="shared" si="32"/>
        <v>24349.75</v>
      </c>
      <c r="AF26" s="37">
        <f>SUM(AF22:AF25)</f>
        <v>24127.16</v>
      </c>
      <c r="AG26" s="37">
        <f>SUM(AG22:AG25)</f>
        <v>35612.239999999998</v>
      </c>
      <c r="AH26" s="37">
        <f>SUM(AH22:AH25)</f>
        <v>2899</v>
      </c>
      <c r="AI26" s="37">
        <f>SUM(AI22:AI25)</f>
        <v>39275</v>
      </c>
      <c r="AJ26" s="164">
        <f>SUM(AJ22:AJ25)</f>
        <v>36224.67</v>
      </c>
      <c r="AK26" s="37">
        <f t="shared" ref="AK26" si="33">SUM(AK22:AK25)</f>
        <v>50514.349049999997</v>
      </c>
      <c r="AL26" s="37">
        <f t="shared" ref="AL26:CR26" si="34">SUM(AL22:AL25)</f>
        <v>19422.749999999996</v>
      </c>
      <c r="AM26" s="164">
        <f t="shared" si="34"/>
        <v>8550</v>
      </c>
      <c r="AN26" s="37">
        <f t="shared" si="34"/>
        <v>29236.723365620739</v>
      </c>
      <c r="AO26" s="37">
        <f t="shared" si="34"/>
        <v>26034.44601403522</v>
      </c>
      <c r="AP26" s="37">
        <f t="shared" si="34"/>
        <v>47648.949387543878</v>
      </c>
      <c r="AQ26" s="37">
        <f t="shared" si="34"/>
        <v>27499.355940406822</v>
      </c>
      <c r="AR26" s="37">
        <f t="shared" si="34"/>
        <v>115948.6317068168</v>
      </c>
      <c r="AS26" s="37">
        <f t="shared" si="34"/>
        <v>187705.0360664149</v>
      </c>
      <c r="AT26" s="37">
        <f t="shared" si="34"/>
        <v>139316.79306992446</v>
      </c>
      <c r="AU26" s="37">
        <f t="shared" si="34"/>
        <v>98268.545287329121</v>
      </c>
      <c r="AV26" s="37">
        <f t="shared" si="34"/>
        <v>67392.547440153998</v>
      </c>
      <c r="AW26" s="37">
        <f t="shared" si="34"/>
        <v>143550.35860667733</v>
      </c>
      <c r="AX26" s="37">
        <f t="shared" si="34"/>
        <v>161690.67732607285</v>
      </c>
      <c r="AY26" s="164">
        <f t="shared" si="34"/>
        <v>221715.76943517933</v>
      </c>
      <c r="AZ26" s="37">
        <f t="shared" si="34"/>
        <v>157713.58450664204</v>
      </c>
      <c r="BA26" s="37">
        <f t="shared" si="34"/>
        <v>112744.40082131432</v>
      </c>
      <c r="BB26" s="37">
        <f t="shared" si="34"/>
        <v>43765.480044688287</v>
      </c>
      <c r="BC26" s="37">
        <f t="shared" si="34"/>
        <v>165377.15670038012</v>
      </c>
      <c r="BD26" s="37">
        <f t="shared" si="34"/>
        <v>57891.544280799768</v>
      </c>
      <c r="BE26" s="37">
        <f t="shared" si="34"/>
        <v>30622.927194802629</v>
      </c>
      <c r="BF26" s="37">
        <f t="shared" si="34"/>
        <v>34732.708245048285</v>
      </c>
      <c r="BG26" s="37">
        <f t="shared" si="34"/>
        <v>64365.495128084352</v>
      </c>
      <c r="BH26" s="37">
        <f t="shared" si="34"/>
        <v>36741.052498944839</v>
      </c>
      <c r="BI26" s="37">
        <f t="shared" si="34"/>
        <v>158002.15637224884</v>
      </c>
      <c r="BJ26" s="37">
        <f t="shared" si="34"/>
        <v>256377.87202653658</v>
      </c>
      <c r="BK26" s="164">
        <f t="shared" si="34"/>
        <v>183842.06244086099</v>
      </c>
      <c r="BL26" s="37">
        <f t="shared" si="34"/>
        <v>138876.98759748955</v>
      </c>
      <c r="BM26" s="37">
        <f t="shared" si="34"/>
        <v>60700.877383980056</v>
      </c>
      <c r="BN26" s="37">
        <f t="shared" si="34"/>
        <v>198527.44426043081</v>
      </c>
      <c r="BO26" s="37">
        <f t="shared" si="34"/>
        <v>76710.416851573071</v>
      </c>
      <c r="BP26" s="37">
        <f t="shared" si="34"/>
        <v>40000</v>
      </c>
      <c r="BQ26" s="37">
        <f t="shared" si="34"/>
        <v>45876.29884109713</v>
      </c>
      <c r="BR26" s="37">
        <f t="shared" si="34"/>
        <v>40840.459457555386</v>
      </c>
      <c r="BS26" s="37">
        <f t="shared" si="34"/>
        <v>74831.009117508511</v>
      </c>
      <c r="BT26" s="37">
        <f t="shared" si="34"/>
        <v>43144.148454672017</v>
      </c>
      <c r="BU26" s="37">
        <f t="shared" si="34"/>
        <v>182237.76760346189</v>
      </c>
      <c r="BV26" s="37">
        <f t="shared" si="34"/>
        <v>295080.50026573311</v>
      </c>
      <c r="BW26" s="164">
        <f t="shared" si="34"/>
        <v>211877.65985863467</v>
      </c>
      <c r="BX26" s="37">
        <f t="shared" si="34"/>
        <v>161417.72106770863</v>
      </c>
      <c r="BY26" s="37">
        <f t="shared" si="34"/>
        <v>71745.124058094778</v>
      </c>
      <c r="BZ26" s="37">
        <f t="shared" si="34"/>
        <v>229840.30371049416</v>
      </c>
      <c r="CA26" s="37">
        <f t="shared" si="34"/>
        <v>90109.007565039705</v>
      </c>
      <c r="CB26" s="37">
        <f t="shared" si="34"/>
        <v>48000</v>
      </c>
      <c r="CC26" s="37">
        <f t="shared" si="34"/>
        <v>55232.367804427238</v>
      </c>
      <c r="CD26" s="37">
        <f t="shared" si="34"/>
        <v>49034.411640068167</v>
      </c>
      <c r="CE26" s="37">
        <f t="shared" si="34"/>
        <v>90868.934298472028</v>
      </c>
      <c r="CF26" s="37">
        <f t="shared" si="34"/>
        <v>51869.721174980943</v>
      </c>
      <c r="CG26" s="37">
        <f t="shared" si="34"/>
        <v>223061.86781964541</v>
      </c>
      <c r="CH26" s="37">
        <f t="shared" si="34"/>
        <v>361945.23109628691</v>
      </c>
      <c r="CI26" s="164">
        <f t="shared" si="34"/>
        <v>259541.73521062726</v>
      </c>
      <c r="CJ26" s="37">
        <f t="shared" si="34"/>
        <v>195591.04131410291</v>
      </c>
      <c r="CK26" s="37">
        <f t="shared" si="34"/>
        <v>85224.768071501254</v>
      </c>
      <c r="CL26" s="37">
        <f t="shared" si="34"/>
        <v>279803.45072060818</v>
      </c>
      <c r="CM26" s="37">
        <f t="shared" si="34"/>
        <v>107826.47084927963</v>
      </c>
      <c r="CN26" s="37">
        <f t="shared" si="34"/>
        <v>56000</v>
      </c>
      <c r="CO26" s="37">
        <f t="shared" si="34"/>
        <v>65040.459755534052</v>
      </c>
      <c r="CP26" s="37">
        <f t="shared" si="34"/>
        <v>65293.014550085209</v>
      </c>
      <c r="CQ26" s="37">
        <f t="shared" si="34"/>
        <v>117586.16787309003</v>
      </c>
      <c r="CR26" s="37">
        <f t="shared" si="34"/>
        <v>68837.151468726181</v>
      </c>
      <c r="CS26" s="37">
        <f t="shared" ref="CS26:DG26" si="35">SUM(CS22:CS25)</f>
        <v>282827.33477455674</v>
      </c>
      <c r="CT26" s="37">
        <f t="shared" si="35"/>
        <v>456431.53887035867</v>
      </c>
      <c r="CU26" s="164">
        <f t="shared" si="35"/>
        <v>328427.16901328409</v>
      </c>
      <c r="CV26" s="37">
        <f t="shared" si="35"/>
        <v>238488.80164262865</v>
      </c>
      <c r="CW26" s="37">
        <f t="shared" si="35"/>
        <v>111379.51179601744</v>
      </c>
      <c r="CX26" s="37">
        <f t="shared" si="35"/>
        <v>345305.93086086249</v>
      </c>
      <c r="CY26" s="37">
        <f t="shared" si="35"/>
        <v>193086.49000930757</v>
      </c>
      <c r="CZ26" s="37">
        <f t="shared" si="35"/>
        <v>69804.581762471411</v>
      </c>
      <c r="DA26" s="37">
        <f t="shared" si="35"/>
        <v>326592.8017294681</v>
      </c>
      <c r="DB26" s="37">
        <f t="shared" si="35"/>
        <v>542917.84664443042</v>
      </c>
      <c r="DC26" s="37">
        <f t="shared" si="35"/>
        <v>389312.60281594092</v>
      </c>
      <c r="DD26" s="37">
        <f t="shared" si="35"/>
        <v>281386.56197115441</v>
      </c>
      <c r="DE26" s="37">
        <f t="shared" si="35"/>
        <v>115837.1521072519</v>
      </c>
      <c r="DF26" s="37">
        <f t="shared" si="35"/>
        <v>407705.17608091229</v>
      </c>
      <c r="DG26" s="37">
        <f t="shared" si="35"/>
        <v>149739.70627391944</v>
      </c>
    </row>
    <row r="27" spans="1:111" s="37" customFormat="1" x14ac:dyDescent="0.3">
      <c r="A27" s="3"/>
      <c r="B27" s="4" t="s">
        <v>254</v>
      </c>
      <c r="C27" s="4"/>
      <c r="U27" s="37">
        <f>+U26</f>
        <v>3398</v>
      </c>
      <c r="V27" s="37">
        <f t="shared" ref="V27:CG27" si="36">+V26</f>
        <v>486</v>
      </c>
      <c r="W27" s="37">
        <f t="shared" si="36"/>
        <v>20141.21</v>
      </c>
      <c r="X27" s="37">
        <f t="shared" si="36"/>
        <v>1818.12</v>
      </c>
      <c r="Y27" s="37">
        <f t="shared" si="36"/>
        <v>82249.72</v>
      </c>
      <c r="Z27" s="37">
        <f t="shared" si="36"/>
        <v>144176.27000000002</v>
      </c>
      <c r="AA27" s="37">
        <f t="shared" si="36"/>
        <v>99093.34</v>
      </c>
      <c r="AB27" s="37">
        <f t="shared" si="36"/>
        <v>65584.38</v>
      </c>
      <c r="AC27" s="37">
        <f t="shared" ref="AC27" si="37">+AC26</f>
        <v>13730.740000000002</v>
      </c>
      <c r="AD27" s="37">
        <f t="shared" ref="AD27:AE27" si="38">+AD26</f>
        <v>105150.09</v>
      </c>
      <c r="AE27" s="37">
        <f t="shared" si="38"/>
        <v>24349.75</v>
      </c>
      <c r="AF27" s="37">
        <f t="shared" ref="AF27:AG27" si="39">+AF26</f>
        <v>24127.16</v>
      </c>
      <c r="AG27" s="37">
        <f t="shared" si="39"/>
        <v>35612.239999999998</v>
      </c>
      <c r="AH27" s="37">
        <f t="shared" ref="AH27:AI27" si="40">+AH26</f>
        <v>2899</v>
      </c>
      <c r="AI27" s="37">
        <f t="shared" si="40"/>
        <v>39275</v>
      </c>
      <c r="AJ27" s="164">
        <f t="shared" ref="AJ27" si="41">+AJ26</f>
        <v>36224.67</v>
      </c>
      <c r="AK27" s="37">
        <f t="shared" ref="AK27" si="42">+AK26</f>
        <v>50514.349049999997</v>
      </c>
      <c r="AL27" s="37">
        <f t="shared" si="36"/>
        <v>19422.749999999996</v>
      </c>
      <c r="AM27" s="164">
        <f t="shared" si="36"/>
        <v>8550</v>
      </c>
      <c r="AN27" s="37">
        <f t="shared" si="36"/>
        <v>29236.723365620739</v>
      </c>
      <c r="AO27" s="37">
        <f t="shared" si="36"/>
        <v>26034.44601403522</v>
      </c>
      <c r="AP27" s="37">
        <f t="shared" si="36"/>
        <v>47648.949387543878</v>
      </c>
      <c r="AQ27" s="37">
        <f t="shared" si="36"/>
        <v>27499.355940406822</v>
      </c>
      <c r="AR27" s="37">
        <f t="shared" si="36"/>
        <v>115948.6317068168</v>
      </c>
      <c r="AS27" s="37">
        <f t="shared" si="36"/>
        <v>187705.0360664149</v>
      </c>
      <c r="AT27" s="37">
        <f t="shared" si="36"/>
        <v>139316.79306992446</v>
      </c>
      <c r="AU27" s="37">
        <f t="shared" si="36"/>
        <v>98268.545287329121</v>
      </c>
      <c r="AV27" s="37">
        <f t="shared" si="36"/>
        <v>67392.547440153998</v>
      </c>
      <c r="AW27" s="37">
        <f t="shared" si="36"/>
        <v>143550.35860667733</v>
      </c>
      <c r="AX27" s="37">
        <f t="shared" si="36"/>
        <v>161690.67732607285</v>
      </c>
      <c r="AY27" s="164">
        <f t="shared" si="36"/>
        <v>221715.76943517933</v>
      </c>
      <c r="AZ27" s="37">
        <f t="shared" si="36"/>
        <v>157713.58450664204</v>
      </c>
      <c r="BA27" s="37">
        <f t="shared" si="36"/>
        <v>112744.40082131432</v>
      </c>
      <c r="BB27" s="37">
        <f t="shared" si="36"/>
        <v>43765.480044688287</v>
      </c>
      <c r="BC27" s="37">
        <f t="shared" si="36"/>
        <v>165377.15670038012</v>
      </c>
      <c r="BD27" s="37">
        <f t="shared" si="36"/>
        <v>57891.544280799768</v>
      </c>
      <c r="BE27" s="37">
        <f t="shared" si="36"/>
        <v>30622.927194802629</v>
      </c>
      <c r="BF27" s="37">
        <f t="shared" si="36"/>
        <v>34732.708245048285</v>
      </c>
      <c r="BG27" s="37">
        <f t="shared" si="36"/>
        <v>64365.495128084352</v>
      </c>
      <c r="BH27" s="37">
        <f t="shared" si="36"/>
        <v>36741.052498944839</v>
      </c>
      <c r="BI27" s="37">
        <f t="shared" si="36"/>
        <v>158002.15637224884</v>
      </c>
      <c r="BJ27" s="37">
        <f t="shared" si="36"/>
        <v>256377.87202653658</v>
      </c>
      <c r="BK27" s="164">
        <f t="shared" si="36"/>
        <v>183842.06244086099</v>
      </c>
      <c r="BL27" s="37">
        <f t="shared" si="36"/>
        <v>138876.98759748955</v>
      </c>
      <c r="BM27" s="37">
        <f t="shared" si="36"/>
        <v>60700.877383980056</v>
      </c>
      <c r="BN27" s="37">
        <f t="shared" si="36"/>
        <v>198527.44426043081</v>
      </c>
      <c r="BO27" s="37">
        <f t="shared" si="36"/>
        <v>76710.416851573071</v>
      </c>
      <c r="BP27" s="37">
        <f t="shared" si="36"/>
        <v>40000</v>
      </c>
      <c r="BQ27" s="37">
        <f t="shared" si="36"/>
        <v>45876.29884109713</v>
      </c>
      <c r="BR27" s="37">
        <f t="shared" si="36"/>
        <v>40840.459457555386</v>
      </c>
      <c r="BS27" s="37">
        <f t="shared" si="36"/>
        <v>74831.009117508511</v>
      </c>
      <c r="BT27" s="37">
        <f t="shared" si="36"/>
        <v>43144.148454672017</v>
      </c>
      <c r="BU27" s="37">
        <f t="shared" si="36"/>
        <v>182237.76760346189</v>
      </c>
      <c r="BV27" s="37">
        <f t="shared" si="36"/>
        <v>295080.50026573311</v>
      </c>
      <c r="BW27" s="164">
        <f t="shared" si="36"/>
        <v>211877.65985863467</v>
      </c>
      <c r="BX27" s="37">
        <f t="shared" si="36"/>
        <v>161417.72106770863</v>
      </c>
      <c r="BY27" s="37">
        <f t="shared" si="36"/>
        <v>71745.124058094778</v>
      </c>
      <c r="BZ27" s="37">
        <f t="shared" si="36"/>
        <v>229840.30371049416</v>
      </c>
      <c r="CA27" s="37">
        <f t="shared" si="36"/>
        <v>90109.007565039705</v>
      </c>
      <c r="CB27" s="37">
        <f t="shared" si="36"/>
        <v>48000</v>
      </c>
      <c r="CC27" s="37">
        <f t="shared" si="36"/>
        <v>55232.367804427238</v>
      </c>
      <c r="CD27" s="37">
        <f t="shared" si="36"/>
        <v>49034.411640068167</v>
      </c>
      <c r="CE27" s="37">
        <f t="shared" si="36"/>
        <v>90868.934298472028</v>
      </c>
      <c r="CF27" s="37">
        <f t="shared" si="36"/>
        <v>51869.721174980943</v>
      </c>
      <c r="CG27" s="37">
        <f t="shared" si="36"/>
        <v>223061.86781964541</v>
      </c>
      <c r="CH27" s="37">
        <f t="shared" ref="CH27:DG27" si="43">+CH26</f>
        <v>361945.23109628691</v>
      </c>
      <c r="CI27" s="164">
        <f t="shared" si="43"/>
        <v>259541.73521062726</v>
      </c>
      <c r="CJ27" s="37">
        <f t="shared" si="43"/>
        <v>195591.04131410291</v>
      </c>
      <c r="CK27" s="37">
        <f t="shared" si="43"/>
        <v>85224.768071501254</v>
      </c>
      <c r="CL27" s="37">
        <f t="shared" si="43"/>
        <v>279803.45072060818</v>
      </c>
      <c r="CM27" s="37">
        <f t="shared" si="43"/>
        <v>107826.47084927963</v>
      </c>
      <c r="CN27" s="37">
        <f t="shared" si="43"/>
        <v>56000</v>
      </c>
      <c r="CO27" s="37">
        <f t="shared" si="43"/>
        <v>65040.459755534052</v>
      </c>
      <c r="CP27" s="37">
        <f t="shared" si="43"/>
        <v>65293.014550085209</v>
      </c>
      <c r="CQ27" s="37">
        <f t="shared" si="43"/>
        <v>117586.16787309003</v>
      </c>
      <c r="CR27" s="37">
        <f t="shared" si="43"/>
        <v>68837.151468726181</v>
      </c>
      <c r="CS27" s="37">
        <f t="shared" si="43"/>
        <v>282827.33477455674</v>
      </c>
      <c r="CT27" s="37">
        <f t="shared" si="43"/>
        <v>456431.53887035867</v>
      </c>
      <c r="CU27" s="164">
        <f t="shared" si="43"/>
        <v>328427.16901328409</v>
      </c>
      <c r="CV27" s="37">
        <f t="shared" si="43"/>
        <v>238488.80164262865</v>
      </c>
      <c r="CW27" s="37">
        <f t="shared" si="43"/>
        <v>111379.51179601744</v>
      </c>
      <c r="CX27" s="37">
        <f t="shared" si="43"/>
        <v>345305.93086086249</v>
      </c>
      <c r="CY27" s="37">
        <f t="shared" si="43"/>
        <v>193086.49000930757</v>
      </c>
      <c r="CZ27" s="37">
        <f t="shared" si="43"/>
        <v>69804.581762471411</v>
      </c>
      <c r="DA27" s="37">
        <f t="shared" si="43"/>
        <v>326592.8017294681</v>
      </c>
      <c r="DB27" s="37">
        <f t="shared" si="43"/>
        <v>542917.84664443042</v>
      </c>
      <c r="DC27" s="37">
        <f t="shared" si="43"/>
        <v>389312.60281594092</v>
      </c>
      <c r="DD27" s="37">
        <f t="shared" si="43"/>
        <v>281386.56197115441</v>
      </c>
      <c r="DE27" s="37">
        <f t="shared" si="43"/>
        <v>115837.1521072519</v>
      </c>
      <c r="DF27" s="37">
        <f t="shared" si="43"/>
        <v>407705.17608091229</v>
      </c>
      <c r="DG27" s="37">
        <f t="shared" si="43"/>
        <v>149739.70627391944</v>
      </c>
    </row>
    <row r="28" spans="1:111" s="370" customFormat="1" hidden="1" x14ac:dyDescent="0.3">
      <c r="A28" s="368"/>
      <c r="B28" s="372" t="s">
        <v>352</v>
      </c>
      <c r="C28" s="369"/>
      <c r="U28" s="375"/>
      <c r="V28" s="375"/>
      <c r="W28" s="374">
        <f>+W22/W$10</f>
        <v>0.72655828329214744</v>
      </c>
      <c r="X28" s="374">
        <f t="shared" ref="X28:AD28" si="44">+X22/X$10</f>
        <v>9.7243306272413274E-2</v>
      </c>
      <c r="Y28" s="374">
        <f t="shared" si="44"/>
        <v>0.86571959961282141</v>
      </c>
      <c r="Z28" s="374">
        <f t="shared" si="44"/>
        <v>0.2830193021227364</v>
      </c>
      <c r="AA28" s="374">
        <f t="shared" si="44"/>
        <v>0.11881707702491903</v>
      </c>
      <c r="AB28" s="374">
        <f t="shared" si="44"/>
        <v>0</v>
      </c>
      <c r="AC28" s="374">
        <f t="shared" si="44"/>
        <v>0</v>
      </c>
      <c r="AD28" s="374">
        <f t="shared" si="44"/>
        <v>0</v>
      </c>
      <c r="AE28" s="374">
        <f t="shared" ref="AE28:AJ28" si="45">+AE22/AE$10</f>
        <v>0</v>
      </c>
      <c r="AF28" s="498">
        <f t="shared" si="45"/>
        <v>0</v>
      </c>
      <c r="AG28" s="498" t="e">
        <f t="shared" si="45"/>
        <v>#DIV/0!</v>
      </c>
      <c r="AH28" s="498" t="e">
        <f t="shared" si="45"/>
        <v>#DIV/0!</v>
      </c>
      <c r="AI28" s="498" t="e">
        <f t="shared" si="45"/>
        <v>#DIV/0!</v>
      </c>
      <c r="AJ28" s="542" t="e">
        <f t="shared" si="45"/>
        <v>#DIV/0!</v>
      </c>
      <c r="AK28" s="548">
        <v>0</v>
      </c>
      <c r="AL28" s="374">
        <f t="shared" ref="AL28:CS29" si="46">+AK28</f>
        <v>0</v>
      </c>
      <c r="AM28" s="377">
        <f t="shared" si="46"/>
        <v>0</v>
      </c>
      <c r="AN28" s="374">
        <f t="shared" si="46"/>
        <v>0</v>
      </c>
      <c r="AO28" s="374">
        <f t="shared" si="46"/>
        <v>0</v>
      </c>
      <c r="AP28" s="374">
        <f t="shared" si="46"/>
        <v>0</v>
      </c>
      <c r="AQ28" s="374">
        <f t="shared" si="46"/>
        <v>0</v>
      </c>
      <c r="AR28" s="374">
        <f t="shared" si="46"/>
        <v>0</v>
      </c>
      <c r="AS28" s="374">
        <f t="shared" si="46"/>
        <v>0</v>
      </c>
      <c r="AT28" s="374">
        <f t="shared" si="46"/>
        <v>0</v>
      </c>
      <c r="AU28" s="374">
        <f t="shared" si="46"/>
        <v>0</v>
      </c>
      <c r="AV28" s="374">
        <f t="shared" si="46"/>
        <v>0</v>
      </c>
      <c r="AW28" s="374">
        <f t="shared" si="46"/>
        <v>0</v>
      </c>
      <c r="AX28" s="374">
        <f t="shared" si="46"/>
        <v>0</v>
      </c>
      <c r="AY28" s="377">
        <f t="shared" si="46"/>
        <v>0</v>
      </c>
      <c r="AZ28" s="374">
        <f t="shared" si="46"/>
        <v>0</v>
      </c>
      <c r="BA28" s="374">
        <f t="shared" si="46"/>
        <v>0</v>
      </c>
      <c r="BB28" s="374">
        <f t="shared" si="46"/>
        <v>0</v>
      </c>
      <c r="BC28" s="374">
        <f t="shared" si="46"/>
        <v>0</v>
      </c>
      <c r="BD28" s="374">
        <f t="shared" si="46"/>
        <v>0</v>
      </c>
      <c r="BE28" s="374">
        <f t="shared" si="46"/>
        <v>0</v>
      </c>
      <c r="BF28" s="374">
        <f t="shared" si="46"/>
        <v>0</v>
      </c>
      <c r="BG28" s="374">
        <f t="shared" si="46"/>
        <v>0</v>
      </c>
      <c r="BH28" s="374">
        <f t="shared" si="46"/>
        <v>0</v>
      </c>
      <c r="BI28" s="374">
        <f t="shared" si="46"/>
        <v>0</v>
      </c>
      <c r="BJ28" s="374">
        <f t="shared" si="46"/>
        <v>0</v>
      </c>
      <c r="BK28" s="377">
        <f t="shared" si="46"/>
        <v>0</v>
      </c>
      <c r="BL28" s="374">
        <f t="shared" si="46"/>
        <v>0</v>
      </c>
      <c r="BM28" s="374">
        <f t="shared" si="46"/>
        <v>0</v>
      </c>
      <c r="BN28" s="374">
        <f t="shared" si="46"/>
        <v>0</v>
      </c>
      <c r="BO28" s="374">
        <f t="shared" si="46"/>
        <v>0</v>
      </c>
      <c r="BP28" s="374">
        <f t="shared" si="46"/>
        <v>0</v>
      </c>
      <c r="BQ28" s="374">
        <f t="shared" si="46"/>
        <v>0</v>
      </c>
      <c r="BR28" s="374">
        <f t="shared" si="46"/>
        <v>0</v>
      </c>
      <c r="BS28" s="374">
        <f t="shared" si="46"/>
        <v>0</v>
      </c>
      <c r="BT28" s="374">
        <f t="shared" si="46"/>
        <v>0</v>
      </c>
      <c r="BU28" s="374">
        <f t="shared" si="46"/>
        <v>0</v>
      </c>
      <c r="BV28" s="374">
        <f t="shared" si="46"/>
        <v>0</v>
      </c>
      <c r="BW28" s="377">
        <f t="shared" si="46"/>
        <v>0</v>
      </c>
      <c r="BX28" s="374">
        <f t="shared" si="46"/>
        <v>0</v>
      </c>
      <c r="BY28" s="374">
        <f t="shared" si="46"/>
        <v>0</v>
      </c>
      <c r="BZ28" s="374">
        <f t="shared" si="46"/>
        <v>0</v>
      </c>
      <c r="CA28" s="374">
        <f t="shared" si="46"/>
        <v>0</v>
      </c>
      <c r="CB28" s="374">
        <f t="shared" si="46"/>
        <v>0</v>
      </c>
      <c r="CC28" s="374">
        <f t="shared" si="46"/>
        <v>0</v>
      </c>
      <c r="CD28" s="374">
        <f t="shared" si="46"/>
        <v>0</v>
      </c>
      <c r="CE28" s="374">
        <f t="shared" si="46"/>
        <v>0</v>
      </c>
      <c r="CF28" s="374">
        <f t="shared" si="46"/>
        <v>0</v>
      </c>
      <c r="CG28" s="374">
        <f t="shared" si="46"/>
        <v>0</v>
      </c>
      <c r="CH28" s="374">
        <f t="shared" si="46"/>
        <v>0</v>
      </c>
      <c r="CI28" s="377">
        <f t="shared" si="46"/>
        <v>0</v>
      </c>
      <c r="CJ28" s="374">
        <f t="shared" si="46"/>
        <v>0</v>
      </c>
      <c r="CK28" s="374">
        <f t="shared" si="46"/>
        <v>0</v>
      </c>
      <c r="CL28" s="374">
        <f t="shared" si="46"/>
        <v>0</v>
      </c>
      <c r="CM28" s="374">
        <f t="shared" si="46"/>
        <v>0</v>
      </c>
      <c r="CN28" s="374">
        <f t="shared" si="46"/>
        <v>0</v>
      </c>
      <c r="CO28" s="374">
        <f t="shared" si="46"/>
        <v>0</v>
      </c>
      <c r="CP28" s="374">
        <f t="shared" si="46"/>
        <v>0</v>
      </c>
      <c r="CQ28" s="374">
        <f t="shared" si="46"/>
        <v>0</v>
      </c>
      <c r="CR28" s="374">
        <f t="shared" si="46"/>
        <v>0</v>
      </c>
      <c r="CS28" s="374">
        <f t="shared" si="46"/>
        <v>0</v>
      </c>
      <c r="CT28" s="374">
        <f t="shared" ref="CT28:DG30" si="47">+CS28</f>
        <v>0</v>
      </c>
      <c r="CU28" s="377">
        <f t="shared" si="47"/>
        <v>0</v>
      </c>
      <c r="CV28" s="374">
        <f t="shared" si="47"/>
        <v>0</v>
      </c>
      <c r="CW28" s="374">
        <f t="shared" si="47"/>
        <v>0</v>
      </c>
      <c r="CX28" s="374">
        <f t="shared" si="47"/>
        <v>0</v>
      </c>
      <c r="CY28" s="374">
        <f t="shared" si="47"/>
        <v>0</v>
      </c>
      <c r="CZ28" s="374">
        <f t="shared" si="47"/>
        <v>0</v>
      </c>
      <c r="DA28" s="374">
        <f t="shared" si="47"/>
        <v>0</v>
      </c>
      <c r="DB28" s="374">
        <f t="shared" si="47"/>
        <v>0</v>
      </c>
      <c r="DC28" s="374">
        <f t="shared" si="47"/>
        <v>0</v>
      </c>
      <c r="DD28" s="374">
        <f t="shared" si="47"/>
        <v>0</v>
      </c>
      <c r="DE28" s="374">
        <f t="shared" si="47"/>
        <v>0</v>
      </c>
      <c r="DF28" s="374">
        <f t="shared" si="47"/>
        <v>0</v>
      </c>
      <c r="DG28" s="374">
        <f t="shared" si="47"/>
        <v>0</v>
      </c>
    </row>
    <row r="29" spans="1:111" s="370" customFormat="1" x14ac:dyDescent="0.3">
      <c r="A29" s="368"/>
      <c r="B29" s="372" t="s">
        <v>353</v>
      </c>
      <c r="C29" s="369"/>
      <c r="W29" s="374">
        <f t="shared" ref="W29:AA30" si="48">+W23/W$10</f>
        <v>0</v>
      </c>
      <c r="X29" s="374">
        <f t="shared" si="48"/>
        <v>0.76942336039425341</v>
      </c>
      <c r="Y29" s="374">
        <f t="shared" si="48"/>
        <v>9.4706705384528967E-4</v>
      </c>
      <c r="Z29" s="374">
        <f t="shared" si="48"/>
        <v>0.54940858494786937</v>
      </c>
      <c r="AA29" s="374">
        <f t="shared" si="48"/>
        <v>0.18874539861151335</v>
      </c>
      <c r="AB29" s="374">
        <f>+IFERROR(AB23/AB$10, 0)</f>
        <v>0.10695712174253687</v>
      </c>
      <c r="AC29" s="374">
        <f t="shared" ref="AC29:AJ29" si="49">+IFERROR(AC23/AC$10, 0)</f>
        <v>0.604593472111423</v>
      </c>
      <c r="AD29" s="374">
        <f t="shared" si="49"/>
        <v>9.0253979261545089E-2</v>
      </c>
      <c r="AE29" s="374">
        <f t="shared" si="49"/>
        <v>4.1191318391609132E-2</v>
      </c>
      <c r="AF29" s="374">
        <f t="shared" si="49"/>
        <v>0.52940350877192988</v>
      </c>
      <c r="AG29" s="374">
        <f t="shared" si="49"/>
        <v>0</v>
      </c>
      <c r="AH29" s="374">
        <f t="shared" si="49"/>
        <v>0</v>
      </c>
      <c r="AI29" s="374">
        <f t="shared" si="49"/>
        <v>0</v>
      </c>
      <c r="AJ29" s="377">
        <f t="shared" si="49"/>
        <v>0</v>
      </c>
      <c r="AK29" s="548">
        <v>0.61179144825355081</v>
      </c>
      <c r="AL29" s="374">
        <f t="shared" ref="AL29:AV29" si="50">+AK29</f>
        <v>0.61179144825355081</v>
      </c>
      <c r="AM29" s="377">
        <f t="shared" si="50"/>
        <v>0.61179144825355081</v>
      </c>
      <c r="AN29" s="374">
        <f t="shared" si="50"/>
        <v>0.61179144825355081</v>
      </c>
      <c r="AO29" s="374">
        <f t="shared" si="50"/>
        <v>0.61179144825355081</v>
      </c>
      <c r="AP29" s="374">
        <f t="shared" si="50"/>
        <v>0.61179144825355081</v>
      </c>
      <c r="AQ29" s="374">
        <f t="shared" si="50"/>
        <v>0.61179144825355081</v>
      </c>
      <c r="AR29" s="374">
        <f t="shared" si="50"/>
        <v>0.61179144825355081</v>
      </c>
      <c r="AS29" s="374">
        <f t="shared" si="50"/>
        <v>0.61179144825355081</v>
      </c>
      <c r="AT29" s="374">
        <f t="shared" si="50"/>
        <v>0.61179144825355081</v>
      </c>
      <c r="AU29" s="374">
        <f t="shared" si="50"/>
        <v>0.61179144825355081</v>
      </c>
      <c r="AV29" s="374">
        <f t="shared" si="50"/>
        <v>0.61179144825355081</v>
      </c>
      <c r="AW29" s="374">
        <f t="shared" si="46"/>
        <v>0.61179144825355081</v>
      </c>
      <c r="AX29" s="374">
        <f t="shared" si="46"/>
        <v>0.61179144825355081</v>
      </c>
      <c r="AY29" s="377">
        <f t="shared" si="46"/>
        <v>0.61179144825355081</v>
      </c>
      <c r="AZ29" s="374">
        <f t="shared" si="46"/>
        <v>0.61179144825355081</v>
      </c>
      <c r="BA29" s="374">
        <f t="shared" si="46"/>
        <v>0.61179144825355081</v>
      </c>
      <c r="BB29" s="374">
        <f t="shared" si="46"/>
        <v>0.61179144825355081</v>
      </c>
      <c r="BC29" s="374">
        <f t="shared" si="46"/>
        <v>0.61179144825355081</v>
      </c>
      <c r="BD29" s="374">
        <f t="shared" si="46"/>
        <v>0.61179144825355081</v>
      </c>
      <c r="BE29" s="374">
        <f t="shared" si="46"/>
        <v>0.61179144825355081</v>
      </c>
      <c r="BF29" s="374">
        <f t="shared" si="46"/>
        <v>0.61179144825355081</v>
      </c>
      <c r="BG29" s="374">
        <f t="shared" si="46"/>
        <v>0.61179144825355081</v>
      </c>
      <c r="BH29" s="374">
        <f t="shared" si="46"/>
        <v>0.61179144825355081</v>
      </c>
      <c r="BI29" s="374">
        <f t="shared" si="46"/>
        <v>0.61179144825355081</v>
      </c>
      <c r="BJ29" s="374">
        <f t="shared" si="46"/>
        <v>0.61179144825355081</v>
      </c>
      <c r="BK29" s="377">
        <f t="shared" si="46"/>
        <v>0.61179144825355081</v>
      </c>
      <c r="BL29" s="374">
        <f t="shared" si="46"/>
        <v>0.61179144825355081</v>
      </c>
      <c r="BM29" s="374">
        <f t="shared" si="46"/>
        <v>0.61179144825355081</v>
      </c>
      <c r="BN29" s="374">
        <f t="shared" si="46"/>
        <v>0.61179144825355081</v>
      </c>
      <c r="BO29" s="374">
        <f t="shared" si="46"/>
        <v>0.61179144825355081</v>
      </c>
      <c r="BP29" s="374">
        <f t="shared" si="46"/>
        <v>0.61179144825355081</v>
      </c>
      <c r="BQ29" s="374">
        <f t="shared" si="46"/>
        <v>0.61179144825355081</v>
      </c>
      <c r="BR29" s="374">
        <f t="shared" si="46"/>
        <v>0.61179144825355081</v>
      </c>
      <c r="BS29" s="374">
        <f t="shared" si="46"/>
        <v>0.61179144825355081</v>
      </c>
      <c r="BT29" s="374">
        <f t="shared" si="46"/>
        <v>0.61179144825355081</v>
      </c>
      <c r="BU29" s="374">
        <f t="shared" si="46"/>
        <v>0.61179144825355081</v>
      </c>
      <c r="BV29" s="374">
        <f t="shared" si="46"/>
        <v>0.61179144825355081</v>
      </c>
      <c r="BW29" s="377">
        <f t="shared" si="46"/>
        <v>0.61179144825355081</v>
      </c>
      <c r="BX29" s="374">
        <f t="shared" si="46"/>
        <v>0.61179144825355081</v>
      </c>
      <c r="BY29" s="374">
        <f t="shared" si="46"/>
        <v>0.61179144825355081</v>
      </c>
      <c r="BZ29" s="374">
        <f t="shared" si="46"/>
        <v>0.61179144825355081</v>
      </c>
      <c r="CA29" s="374">
        <f t="shared" si="46"/>
        <v>0.61179144825355081</v>
      </c>
      <c r="CB29" s="374">
        <f t="shared" si="46"/>
        <v>0.61179144825355081</v>
      </c>
      <c r="CC29" s="374">
        <f t="shared" si="46"/>
        <v>0.61179144825355081</v>
      </c>
      <c r="CD29" s="374">
        <f t="shared" si="46"/>
        <v>0.61179144825355081</v>
      </c>
      <c r="CE29" s="374">
        <f t="shared" si="46"/>
        <v>0.61179144825355081</v>
      </c>
      <c r="CF29" s="374">
        <f t="shared" si="46"/>
        <v>0.61179144825355081</v>
      </c>
      <c r="CG29" s="374">
        <f t="shared" si="46"/>
        <v>0.61179144825355081</v>
      </c>
      <c r="CH29" s="374">
        <f t="shared" si="46"/>
        <v>0.61179144825355081</v>
      </c>
      <c r="CI29" s="377">
        <f t="shared" si="46"/>
        <v>0.61179144825355081</v>
      </c>
      <c r="CJ29" s="374">
        <f t="shared" si="46"/>
        <v>0.61179144825355081</v>
      </c>
      <c r="CK29" s="374">
        <f t="shared" si="46"/>
        <v>0.61179144825355081</v>
      </c>
      <c r="CL29" s="374">
        <f t="shared" si="46"/>
        <v>0.61179144825355081</v>
      </c>
      <c r="CM29" s="374">
        <f t="shared" si="46"/>
        <v>0.61179144825355081</v>
      </c>
      <c r="CN29" s="374">
        <f t="shared" si="46"/>
        <v>0.61179144825355081</v>
      </c>
      <c r="CO29" s="374">
        <f t="shared" si="46"/>
        <v>0.61179144825355081</v>
      </c>
      <c r="CP29" s="374">
        <f t="shared" si="46"/>
        <v>0.61179144825355081</v>
      </c>
      <c r="CQ29" s="374">
        <f t="shared" si="46"/>
        <v>0.61179144825355081</v>
      </c>
      <c r="CR29" s="374">
        <f t="shared" si="46"/>
        <v>0.61179144825355081</v>
      </c>
      <c r="CS29" s="374">
        <f t="shared" si="46"/>
        <v>0.61179144825355081</v>
      </c>
      <c r="CT29" s="374">
        <f t="shared" si="47"/>
        <v>0.61179144825355081</v>
      </c>
      <c r="CU29" s="377">
        <f t="shared" si="47"/>
        <v>0.61179144825355081</v>
      </c>
      <c r="CV29" s="374">
        <f t="shared" si="47"/>
        <v>0.61179144825355081</v>
      </c>
      <c r="CW29" s="374">
        <f t="shared" si="47"/>
        <v>0.61179144825355081</v>
      </c>
      <c r="CX29" s="374">
        <f t="shared" si="47"/>
        <v>0.61179144825355081</v>
      </c>
      <c r="CY29" s="374">
        <f t="shared" si="47"/>
        <v>0.61179144825355081</v>
      </c>
      <c r="CZ29" s="374">
        <f t="shared" si="47"/>
        <v>0.61179144825355081</v>
      </c>
      <c r="DA29" s="374">
        <f t="shared" si="47"/>
        <v>0.61179144825355081</v>
      </c>
      <c r="DB29" s="374">
        <f t="shared" si="47"/>
        <v>0.61179144825355081</v>
      </c>
      <c r="DC29" s="374">
        <f t="shared" si="47"/>
        <v>0.61179144825355081</v>
      </c>
      <c r="DD29" s="374">
        <f t="shared" si="47"/>
        <v>0.61179144825355081</v>
      </c>
      <c r="DE29" s="374">
        <f t="shared" si="47"/>
        <v>0.61179144825355081</v>
      </c>
      <c r="DF29" s="374">
        <f t="shared" si="47"/>
        <v>0.61179144825355081</v>
      </c>
      <c r="DG29" s="374">
        <f t="shared" si="47"/>
        <v>0.61179144825355081</v>
      </c>
    </row>
    <row r="30" spans="1:111" s="370" customFormat="1" x14ac:dyDescent="0.3">
      <c r="A30" s="368"/>
      <c r="B30" s="372" t="s">
        <v>354</v>
      </c>
      <c r="C30" s="369"/>
      <c r="W30" s="374">
        <f t="shared" si="48"/>
        <v>0</v>
      </c>
      <c r="X30" s="374">
        <f t="shared" si="48"/>
        <v>0</v>
      </c>
      <c r="Y30" s="374">
        <f t="shared" si="48"/>
        <v>0</v>
      </c>
      <c r="Z30" s="374">
        <f t="shared" si="48"/>
        <v>1.4629119947937145E-2</v>
      </c>
      <c r="AA30" s="374">
        <f t="shared" si="48"/>
        <v>0.33146580314384827</v>
      </c>
      <c r="AB30" s="374">
        <f>+IFERROR(AB24/AB$10, 0)</f>
        <v>0.64477455825746322</v>
      </c>
      <c r="AC30" s="374">
        <f t="shared" ref="AC30:AJ30" si="51">+IFERROR(AC24/AC$10, 0)</f>
        <v>0.14713820788857701</v>
      </c>
      <c r="AD30" s="374">
        <f t="shared" si="51"/>
        <v>0.66147770073845491</v>
      </c>
      <c r="AE30" s="374">
        <f t="shared" si="51"/>
        <v>0.4046689333025224</v>
      </c>
      <c r="AF30" s="374">
        <f t="shared" si="51"/>
        <v>11.195989974937344</v>
      </c>
      <c r="AG30" s="374">
        <f t="shared" si="51"/>
        <v>0</v>
      </c>
      <c r="AH30" s="374">
        <f t="shared" si="51"/>
        <v>0</v>
      </c>
      <c r="AI30" s="374">
        <f t="shared" si="51"/>
        <v>0</v>
      </c>
      <c r="AJ30" s="377">
        <f t="shared" si="51"/>
        <v>0</v>
      </c>
      <c r="AK30" s="548">
        <v>0.38820855174644919</v>
      </c>
      <c r="AL30" s="374">
        <f t="shared" ref="AL30:CS30" si="52">+AK30</f>
        <v>0.38820855174644919</v>
      </c>
      <c r="AM30" s="377">
        <f t="shared" si="52"/>
        <v>0.38820855174644919</v>
      </c>
      <c r="AN30" s="374">
        <f t="shared" si="52"/>
        <v>0.38820855174644919</v>
      </c>
      <c r="AO30" s="374">
        <f t="shared" si="52"/>
        <v>0.38820855174644919</v>
      </c>
      <c r="AP30" s="374">
        <f t="shared" si="52"/>
        <v>0.38820855174644919</v>
      </c>
      <c r="AQ30" s="374">
        <f t="shared" si="52"/>
        <v>0.38820855174644919</v>
      </c>
      <c r="AR30" s="374">
        <f t="shared" si="52"/>
        <v>0.38820855174644919</v>
      </c>
      <c r="AS30" s="374">
        <f t="shared" si="52"/>
        <v>0.38820855174644919</v>
      </c>
      <c r="AT30" s="374">
        <f t="shared" si="52"/>
        <v>0.38820855174644919</v>
      </c>
      <c r="AU30" s="374">
        <f t="shared" si="52"/>
        <v>0.38820855174644919</v>
      </c>
      <c r="AV30" s="374">
        <f t="shared" si="52"/>
        <v>0.38820855174644919</v>
      </c>
      <c r="AW30" s="374">
        <f t="shared" si="52"/>
        <v>0.38820855174644919</v>
      </c>
      <c r="AX30" s="374">
        <f t="shared" si="52"/>
        <v>0.38820855174644919</v>
      </c>
      <c r="AY30" s="377">
        <f t="shared" si="52"/>
        <v>0.38820855174644919</v>
      </c>
      <c r="AZ30" s="374">
        <f t="shared" si="52"/>
        <v>0.38820855174644919</v>
      </c>
      <c r="BA30" s="374">
        <f t="shared" si="52"/>
        <v>0.38820855174644919</v>
      </c>
      <c r="BB30" s="374">
        <f t="shared" si="52"/>
        <v>0.38820855174644919</v>
      </c>
      <c r="BC30" s="374">
        <f t="shared" si="52"/>
        <v>0.38820855174644919</v>
      </c>
      <c r="BD30" s="374">
        <f t="shared" si="52"/>
        <v>0.38820855174644919</v>
      </c>
      <c r="BE30" s="374">
        <f t="shared" si="52"/>
        <v>0.38820855174644919</v>
      </c>
      <c r="BF30" s="374">
        <f t="shared" si="52"/>
        <v>0.38820855174644919</v>
      </c>
      <c r="BG30" s="374">
        <f t="shared" si="52"/>
        <v>0.38820855174644919</v>
      </c>
      <c r="BH30" s="374">
        <f t="shared" si="52"/>
        <v>0.38820855174644919</v>
      </c>
      <c r="BI30" s="374">
        <f t="shared" si="52"/>
        <v>0.38820855174644919</v>
      </c>
      <c r="BJ30" s="374">
        <f t="shared" si="52"/>
        <v>0.38820855174644919</v>
      </c>
      <c r="BK30" s="377">
        <f t="shared" si="52"/>
        <v>0.38820855174644919</v>
      </c>
      <c r="BL30" s="374">
        <f t="shared" si="52"/>
        <v>0.38820855174644919</v>
      </c>
      <c r="BM30" s="374">
        <f t="shared" si="52"/>
        <v>0.38820855174644919</v>
      </c>
      <c r="BN30" s="374">
        <f t="shared" si="52"/>
        <v>0.38820855174644919</v>
      </c>
      <c r="BO30" s="374">
        <f t="shared" si="52"/>
        <v>0.38820855174644919</v>
      </c>
      <c r="BP30" s="374">
        <f t="shared" si="52"/>
        <v>0.38820855174644919</v>
      </c>
      <c r="BQ30" s="374">
        <f t="shared" si="52"/>
        <v>0.38820855174644919</v>
      </c>
      <c r="BR30" s="374">
        <f t="shared" si="52"/>
        <v>0.38820855174644919</v>
      </c>
      <c r="BS30" s="374">
        <f t="shared" si="52"/>
        <v>0.38820855174644919</v>
      </c>
      <c r="BT30" s="374">
        <f t="shared" si="52"/>
        <v>0.38820855174644919</v>
      </c>
      <c r="BU30" s="374">
        <f t="shared" si="52"/>
        <v>0.38820855174644919</v>
      </c>
      <c r="BV30" s="374">
        <f t="shared" si="52"/>
        <v>0.38820855174644919</v>
      </c>
      <c r="BW30" s="377">
        <f t="shared" si="52"/>
        <v>0.38820855174644919</v>
      </c>
      <c r="BX30" s="374">
        <f t="shared" si="52"/>
        <v>0.38820855174644919</v>
      </c>
      <c r="BY30" s="374">
        <f t="shared" si="52"/>
        <v>0.38820855174644919</v>
      </c>
      <c r="BZ30" s="374">
        <f t="shared" si="52"/>
        <v>0.38820855174644919</v>
      </c>
      <c r="CA30" s="374">
        <f t="shared" si="52"/>
        <v>0.38820855174644919</v>
      </c>
      <c r="CB30" s="374">
        <f t="shared" si="52"/>
        <v>0.38820855174644919</v>
      </c>
      <c r="CC30" s="374">
        <f t="shared" si="52"/>
        <v>0.38820855174644919</v>
      </c>
      <c r="CD30" s="374">
        <f t="shared" si="52"/>
        <v>0.38820855174644919</v>
      </c>
      <c r="CE30" s="374">
        <f t="shared" si="52"/>
        <v>0.38820855174644919</v>
      </c>
      <c r="CF30" s="374">
        <f t="shared" si="52"/>
        <v>0.38820855174644919</v>
      </c>
      <c r="CG30" s="374">
        <f t="shared" si="52"/>
        <v>0.38820855174644919</v>
      </c>
      <c r="CH30" s="374">
        <f t="shared" si="52"/>
        <v>0.38820855174644919</v>
      </c>
      <c r="CI30" s="377">
        <f t="shared" si="52"/>
        <v>0.38820855174644919</v>
      </c>
      <c r="CJ30" s="374">
        <f t="shared" si="52"/>
        <v>0.38820855174644919</v>
      </c>
      <c r="CK30" s="374">
        <f t="shared" si="52"/>
        <v>0.38820855174644919</v>
      </c>
      <c r="CL30" s="374">
        <f t="shared" si="52"/>
        <v>0.38820855174644919</v>
      </c>
      <c r="CM30" s="374">
        <f t="shared" si="52"/>
        <v>0.38820855174644919</v>
      </c>
      <c r="CN30" s="374">
        <f t="shared" si="52"/>
        <v>0.38820855174644919</v>
      </c>
      <c r="CO30" s="374">
        <f t="shared" si="52"/>
        <v>0.38820855174644919</v>
      </c>
      <c r="CP30" s="374">
        <f t="shared" si="52"/>
        <v>0.38820855174644919</v>
      </c>
      <c r="CQ30" s="374">
        <f t="shared" si="52"/>
        <v>0.38820855174644919</v>
      </c>
      <c r="CR30" s="374">
        <f t="shared" si="52"/>
        <v>0.38820855174644919</v>
      </c>
      <c r="CS30" s="374">
        <f t="shared" si="52"/>
        <v>0.38820855174644919</v>
      </c>
      <c r="CT30" s="374">
        <f t="shared" si="47"/>
        <v>0.38820855174644919</v>
      </c>
      <c r="CU30" s="377">
        <f t="shared" si="47"/>
        <v>0.38820855174644919</v>
      </c>
      <c r="CV30" s="374">
        <f t="shared" si="47"/>
        <v>0.38820855174644919</v>
      </c>
      <c r="CW30" s="374">
        <f t="shared" si="47"/>
        <v>0.38820855174644919</v>
      </c>
      <c r="CX30" s="374">
        <f t="shared" si="47"/>
        <v>0.38820855174644919</v>
      </c>
      <c r="CY30" s="374">
        <f t="shared" si="47"/>
        <v>0.38820855174644919</v>
      </c>
      <c r="CZ30" s="374">
        <f t="shared" si="47"/>
        <v>0.38820855174644919</v>
      </c>
      <c r="DA30" s="374">
        <f t="shared" si="47"/>
        <v>0.38820855174644919</v>
      </c>
      <c r="DB30" s="374">
        <f t="shared" si="47"/>
        <v>0.38820855174644919</v>
      </c>
      <c r="DC30" s="374">
        <f t="shared" si="47"/>
        <v>0.38820855174644919</v>
      </c>
      <c r="DD30" s="374">
        <f t="shared" si="47"/>
        <v>0.38820855174644919</v>
      </c>
      <c r="DE30" s="374">
        <f t="shared" si="47"/>
        <v>0.38820855174644919</v>
      </c>
      <c r="DF30" s="374">
        <f t="shared" si="47"/>
        <v>0.38820855174644919</v>
      </c>
      <c r="DG30" s="374">
        <f t="shared" si="47"/>
        <v>0.38820855174644919</v>
      </c>
    </row>
    <row r="31" spans="1:111" s="370" customFormat="1" x14ac:dyDescent="0.3">
      <c r="A31" s="368"/>
      <c r="B31" s="372" t="s">
        <v>356</v>
      </c>
      <c r="C31" s="369"/>
      <c r="AB31" s="373">
        <v>0</v>
      </c>
      <c r="AC31" s="373">
        <v>0</v>
      </c>
      <c r="AD31" s="373">
        <v>0</v>
      </c>
      <c r="AE31" s="373">
        <v>0</v>
      </c>
      <c r="AF31" s="374">
        <f t="shared" ref="AF31:AH31" si="53">+AF25/AF11</f>
        <v>0.13450895994378076</v>
      </c>
      <c r="AG31" s="374">
        <f>+AG25/(SUM(AF11:AG11)-926)</f>
        <v>0.76783026528807219</v>
      </c>
      <c r="AH31" s="374">
        <f t="shared" si="53"/>
        <v>0.8571428571428571</v>
      </c>
      <c r="AI31" s="374">
        <f>+AI25/AI11</f>
        <v>0.85408632372486215</v>
      </c>
      <c r="AJ31" s="377">
        <f>+AJ25/AJ11</f>
        <v>0.54629333017753412</v>
      </c>
      <c r="AK31" s="378">
        <v>0.85499999999999998</v>
      </c>
      <c r="AL31" s="373">
        <f t="shared" ref="AL31:CS31" si="54">+AK31</f>
        <v>0.85499999999999998</v>
      </c>
      <c r="AM31" s="376">
        <f t="shared" si="54"/>
        <v>0.85499999999999998</v>
      </c>
      <c r="AN31" s="378">
        <v>0.85</v>
      </c>
      <c r="AO31" s="373">
        <f t="shared" si="54"/>
        <v>0.85</v>
      </c>
      <c r="AP31" s="373">
        <f t="shared" si="54"/>
        <v>0.85</v>
      </c>
      <c r="AQ31" s="373">
        <f t="shared" si="54"/>
        <v>0.85</v>
      </c>
      <c r="AR31" s="373">
        <f t="shared" si="54"/>
        <v>0.85</v>
      </c>
      <c r="AS31" s="373">
        <f t="shared" si="54"/>
        <v>0.85</v>
      </c>
      <c r="AT31" s="373">
        <f t="shared" si="54"/>
        <v>0.85</v>
      </c>
      <c r="AU31" s="373">
        <f t="shared" si="54"/>
        <v>0.85</v>
      </c>
      <c r="AV31" s="373">
        <f t="shared" si="54"/>
        <v>0.85</v>
      </c>
      <c r="AW31" s="373">
        <f t="shared" si="54"/>
        <v>0.85</v>
      </c>
      <c r="AX31" s="373">
        <f t="shared" si="54"/>
        <v>0.85</v>
      </c>
      <c r="AY31" s="376">
        <f t="shared" si="54"/>
        <v>0.85</v>
      </c>
      <c r="AZ31" s="378">
        <v>0.85</v>
      </c>
      <c r="BA31" s="373">
        <f t="shared" si="54"/>
        <v>0.85</v>
      </c>
      <c r="BB31" s="373">
        <f t="shared" si="54"/>
        <v>0.85</v>
      </c>
      <c r="BC31" s="373">
        <f t="shared" si="54"/>
        <v>0.85</v>
      </c>
      <c r="BD31" s="373">
        <f t="shared" si="54"/>
        <v>0.85</v>
      </c>
      <c r="BE31" s="373">
        <f t="shared" si="54"/>
        <v>0.85</v>
      </c>
      <c r="BF31" s="373">
        <f t="shared" si="54"/>
        <v>0.85</v>
      </c>
      <c r="BG31" s="373">
        <f t="shared" si="54"/>
        <v>0.85</v>
      </c>
      <c r="BH31" s="373">
        <f t="shared" si="54"/>
        <v>0.85</v>
      </c>
      <c r="BI31" s="373">
        <f t="shared" si="54"/>
        <v>0.85</v>
      </c>
      <c r="BJ31" s="373">
        <f t="shared" si="54"/>
        <v>0.85</v>
      </c>
      <c r="BK31" s="376">
        <f t="shared" si="54"/>
        <v>0.85</v>
      </c>
      <c r="BL31" s="378">
        <v>0.8</v>
      </c>
      <c r="BM31" s="373">
        <f t="shared" si="54"/>
        <v>0.8</v>
      </c>
      <c r="BN31" s="373">
        <f t="shared" si="54"/>
        <v>0.8</v>
      </c>
      <c r="BO31" s="373">
        <f t="shared" si="54"/>
        <v>0.8</v>
      </c>
      <c r="BP31" s="373">
        <f t="shared" si="54"/>
        <v>0.8</v>
      </c>
      <c r="BQ31" s="373">
        <f t="shared" si="54"/>
        <v>0.8</v>
      </c>
      <c r="BR31" s="373">
        <f t="shared" si="54"/>
        <v>0.8</v>
      </c>
      <c r="BS31" s="373">
        <f t="shared" si="54"/>
        <v>0.8</v>
      </c>
      <c r="BT31" s="373">
        <f t="shared" si="54"/>
        <v>0.8</v>
      </c>
      <c r="BU31" s="373">
        <f t="shared" si="54"/>
        <v>0.8</v>
      </c>
      <c r="BV31" s="373">
        <f t="shared" si="54"/>
        <v>0.8</v>
      </c>
      <c r="BW31" s="376">
        <f t="shared" si="54"/>
        <v>0.8</v>
      </c>
      <c r="BX31" s="373">
        <f t="shared" si="54"/>
        <v>0.8</v>
      </c>
      <c r="BY31" s="373">
        <f t="shared" si="54"/>
        <v>0.8</v>
      </c>
      <c r="BZ31" s="373">
        <f t="shared" si="54"/>
        <v>0.8</v>
      </c>
      <c r="CA31" s="373">
        <f t="shared" si="54"/>
        <v>0.8</v>
      </c>
      <c r="CB31" s="373">
        <f t="shared" si="54"/>
        <v>0.8</v>
      </c>
      <c r="CC31" s="373">
        <f t="shared" si="54"/>
        <v>0.8</v>
      </c>
      <c r="CD31" s="373">
        <f t="shared" si="54"/>
        <v>0.8</v>
      </c>
      <c r="CE31" s="373">
        <f t="shared" si="54"/>
        <v>0.8</v>
      </c>
      <c r="CF31" s="373">
        <f t="shared" si="54"/>
        <v>0.8</v>
      </c>
      <c r="CG31" s="373">
        <f t="shared" si="54"/>
        <v>0.8</v>
      </c>
      <c r="CH31" s="373">
        <f t="shared" si="54"/>
        <v>0.8</v>
      </c>
      <c r="CI31" s="376">
        <f t="shared" si="54"/>
        <v>0.8</v>
      </c>
      <c r="CJ31" s="373">
        <f t="shared" si="54"/>
        <v>0.8</v>
      </c>
      <c r="CK31" s="373">
        <f t="shared" si="54"/>
        <v>0.8</v>
      </c>
      <c r="CL31" s="373">
        <f t="shared" si="54"/>
        <v>0.8</v>
      </c>
      <c r="CM31" s="373">
        <f t="shared" si="54"/>
        <v>0.8</v>
      </c>
      <c r="CN31" s="373">
        <f t="shared" si="54"/>
        <v>0.8</v>
      </c>
      <c r="CO31" s="373">
        <f t="shared" si="54"/>
        <v>0.8</v>
      </c>
      <c r="CP31" s="373">
        <f t="shared" si="54"/>
        <v>0.8</v>
      </c>
      <c r="CQ31" s="373">
        <f t="shared" si="54"/>
        <v>0.8</v>
      </c>
      <c r="CR31" s="373">
        <f t="shared" si="54"/>
        <v>0.8</v>
      </c>
      <c r="CS31" s="373">
        <f t="shared" si="54"/>
        <v>0.8</v>
      </c>
      <c r="CT31" s="373">
        <f t="shared" ref="CT31:DG31" si="55">+CS31</f>
        <v>0.8</v>
      </c>
      <c r="CU31" s="376">
        <f t="shared" si="55"/>
        <v>0.8</v>
      </c>
      <c r="CV31" s="373">
        <f t="shared" si="55"/>
        <v>0.8</v>
      </c>
      <c r="CW31" s="373">
        <f t="shared" si="55"/>
        <v>0.8</v>
      </c>
      <c r="CX31" s="373">
        <f t="shared" si="55"/>
        <v>0.8</v>
      </c>
      <c r="CY31" s="373">
        <f t="shared" si="55"/>
        <v>0.8</v>
      </c>
      <c r="CZ31" s="373">
        <f t="shared" si="55"/>
        <v>0.8</v>
      </c>
      <c r="DA31" s="373">
        <f t="shared" si="55"/>
        <v>0.8</v>
      </c>
      <c r="DB31" s="373">
        <f t="shared" si="55"/>
        <v>0.8</v>
      </c>
      <c r="DC31" s="373">
        <f t="shared" si="55"/>
        <v>0.8</v>
      </c>
      <c r="DD31" s="373">
        <f t="shared" si="55"/>
        <v>0.8</v>
      </c>
      <c r="DE31" s="373">
        <f t="shared" si="55"/>
        <v>0.8</v>
      </c>
      <c r="DF31" s="373">
        <f t="shared" si="55"/>
        <v>0.8</v>
      </c>
      <c r="DG31" s="373">
        <f t="shared" si="55"/>
        <v>0.8</v>
      </c>
    </row>
    <row r="32" spans="1:111" s="39" customFormat="1" x14ac:dyDescent="0.3">
      <c r="A32"/>
      <c r="B32" s="1"/>
      <c r="C32" s="1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543"/>
      <c r="AK32" s="549"/>
      <c r="AM32" s="165"/>
      <c r="AY32" s="165"/>
      <c r="BK32" s="165"/>
      <c r="BW32" s="165"/>
      <c r="CI32" s="165"/>
      <c r="CU32" s="165"/>
    </row>
    <row r="33" spans="1:111" s="37" customFormat="1" x14ac:dyDescent="0.3">
      <c r="A33" s="3"/>
      <c r="B33" s="4" t="s">
        <v>4</v>
      </c>
      <c r="C33" s="4"/>
      <c r="P33" s="37">
        <f t="shared" ref="P33:AU33" si="56">P9-P27</f>
        <v>0</v>
      </c>
      <c r="Q33" s="37">
        <f t="shared" si="56"/>
        <v>0</v>
      </c>
      <c r="R33" s="37">
        <f t="shared" si="56"/>
        <v>0</v>
      </c>
      <c r="S33" s="37">
        <f t="shared" si="56"/>
        <v>0</v>
      </c>
      <c r="T33" s="37">
        <f t="shared" si="56"/>
        <v>0</v>
      </c>
      <c r="U33" s="37">
        <f t="shared" si="56"/>
        <v>-3398</v>
      </c>
      <c r="V33" s="37">
        <f t="shared" si="56"/>
        <v>-486</v>
      </c>
      <c r="W33" s="37">
        <f t="shared" si="56"/>
        <v>-20141.21</v>
      </c>
      <c r="X33" s="37">
        <f t="shared" si="56"/>
        <v>-1818.12</v>
      </c>
      <c r="Y33" s="37">
        <f t="shared" si="56"/>
        <v>67750.28</v>
      </c>
      <c r="Z33" s="37">
        <f t="shared" si="56"/>
        <v>43323.729999999981</v>
      </c>
      <c r="AA33" s="37">
        <f t="shared" si="56"/>
        <v>13406.660000000003</v>
      </c>
      <c r="AB33" s="37">
        <f t="shared" si="56"/>
        <v>-65584.38</v>
      </c>
      <c r="AC33" s="37">
        <f t="shared" si="56"/>
        <v>98769.26</v>
      </c>
      <c r="AD33" s="37">
        <f t="shared" si="56"/>
        <v>7349.9100000000035</v>
      </c>
      <c r="AE33" s="37">
        <f t="shared" si="56"/>
        <v>-24349.75</v>
      </c>
      <c r="AF33" s="37">
        <f t="shared" si="56"/>
        <v>58332.160000000003</v>
      </c>
      <c r="AG33" s="37">
        <f t="shared" si="56"/>
        <v>-24683.599999999999</v>
      </c>
      <c r="AH33" s="37">
        <f t="shared" si="56"/>
        <v>-2199</v>
      </c>
      <c r="AI33" s="37">
        <f t="shared" si="56"/>
        <v>6622</v>
      </c>
      <c r="AJ33" s="164">
        <f t="shared" ref="AJ33" si="57">AJ9-AJ27</f>
        <v>12785.630000000005</v>
      </c>
      <c r="AK33" s="37">
        <f t="shared" ref="AK33" si="58">AK9-AK27</f>
        <v>64866.760950000004</v>
      </c>
      <c r="AL33" s="37">
        <f t="shared" si="56"/>
        <v>21493.916666666668</v>
      </c>
      <c r="AM33" s="164">
        <f t="shared" si="56"/>
        <v>89550</v>
      </c>
      <c r="AN33" s="37">
        <f t="shared" si="56"/>
        <v>463.27663437926094</v>
      </c>
      <c r="AO33" s="37">
        <f t="shared" si="56"/>
        <v>9965.5539859647797</v>
      </c>
      <c r="AP33" s="37">
        <f t="shared" si="56"/>
        <v>-23348.949387543878</v>
      </c>
      <c r="AQ33" s="37">
        <f t="shared" si="56"/>
        <v>182200.64405959318</v>
      </c>
      <c r="AR33" s="37">
        <f t="shared" si="56"/>
        <v>145051.36829318322</v>
      </c>
      <c r="AS33" s="37">
        <f t="shared" si="56"/>
        <v>121594.9639335851</v>
      </c>
      <c r="AT33" s="37">
        <f t="shared" si="56"/>
        <v>-109616.79306992446</v>
      </c>
      <c r="AU33" s="37">
        <f t="shared" si="56"/>
        <v>72731.454712670879</v>
      </c>
      <c r="AV33" s="37">
        <f t="shared" ref="AV33:CA33" si="59">AV9-AV27</f>
        <v>-43092.547440153998</v>
      </c>
      <c r="AW33" s="37">
        <f t="shared" si="59"/>
        <v>321149.64139332267</v>
      </c>
      <c r="AX33" s="37">
        <f t="shared" si="59"/>
        <v>249309.32267392715</v>
      </c>
      <c r="AY33" s="164">
        <f t="shared" si="59"/>
        <v>27584.230564820667</v>
      </c>
      <c r="AZ33" s="37">
        <f t="shared" si="59"/>
        <v>-128013.58450664204</v>
      </c>
      <c r="BA33" s="37">
        <f t="shared" si="59"/>
        <v>148255.59917868569</v>
      </c>
      <c r="BB33" s="37">
        <f t="shared" si="59"/>
        <v>-19465.480044688287</v>
      </c>
      <c r="BC33" s="37">
        <f t="shared" si="59"/>
        <v>89322.843299619883</v>
      </c>
      <c r="BD33" s="37">
        <f t="shared" si="59"/>
        <v>193108.45571920022</v>
      </c>
      <c r="BE33" s="37">
        <f t="shared" si="59"/>
        <v>-6322.9271948026289</v>
      </c>
      <c r="BF33" s="37">
        <f t="shared" si="59"/>
        <v>4867.2917549517151</v>
      </c>
      <c r="BG33" s="37">
        <f t="shared" si="59"/>
        <v>-16365.495128084352</v>
      </c>
      <c r="BH33" s="37">
        <f t="shared" si="59"/>
        <v>425658.94750105514</v>
      </c>
      <c r="BI33" s="37">
        <f t="shared" si="59"/>
        <v>419097.84362775116</v>
      </c>
      <c r="BJ33" s="37">
        <f t="shared" si="59"/>
        <v>114122.12797346342</v>
      </c>
      <c r="BK33" s="164">
        <f t="shared" si="59"/>
        <v>-151442.06244086099</v>
      </c>
      <c r="BL33" s="37">
        <f t="shared" si="59"/>
        <v>233123.01240251045</v>
      </c>
      <c r="BM33" s="37">
        <f t="shared" si="59"/>
        <v>-700.87738398005604</v>
      </c>
      <c r="BN33" s="37">
        <f t="shared" si="59"/>
        <v>164472.55573956919</v>
      </c>
      <c r="BO33" s="37">
        <f t="shared" si="59"/>
        <v>-27210.416851573071</v>
      </c>
      <c r="BP33" s="37">
        <f t="shared" si="59"/>
        <v>315000</v>
      </c>
      <c r="BQ33" s="37">
        <f t="shared" si="59"/>
        <v>-5376.2988410971302</v>
      </c>
      <c r="BR33" s="37">
        <f t="shared" si="59"/>
        <v>8659.5405424446144</v>
      </c>
      <c r="BS33" s="37">
        <f t="shared" si="59"/>
        <v>-14831.009117508511</v>
      </c>
      <c r="BT33" s="37">
        <f t="shared" si="59"/>
        <v>587355.85154532804</v>
      </c>
      <c r="BU33" s="37">
        <f t="shared" si="59"/>
        <v>604762.23239653814</v>
      </c>
      <c r="BV33" s="37">
        <f t="shared" si="59"/>
        <v>207419.49973426689</v>
      </c>
      <c r="BW33" s="164">
        <f t="shared" si="59"/>
        <v>-171377.65985863467</v>
      </c>
      <c r="BX33" s="37">
        <f t="shared" si="59"/>
        <v>340482.27893229137</v>
      </c>
      <c r="BY33" s="37">
        <f t="shared" si="59"/>
        <v>254.87594190522213</v>
      </c>
      <c r="BZ33" s="37">
        <f t="shared" si="59"/>
        <v>261259.69628950584</v>
      </c>
      <c r="CA33" s="37">
        <f t="shared" si="59"/>
        <v>-30709.007565039705</v>
      </c>
      <c r="CB33" s="37">
        <f t="shared" ref="CB33:DG33" si="60">CB9-CB27</f>
        <v>364000</v>
      </c>
      <c r="CC33" s="37">
        <f t="shared" si="60"/>
        <v>-6632.3678044272383</v>
      </c>
      <c r="CD33" s="37">
        <f t="shared" si="60"/>
        <v>10365.588359931833</v>
      </c>
      <c r="CE33" s="37">
        <f t="shared" si="60"/>
        <v>-18868.934298472028</v>
      </c>
      <c r="CF33" s="37">
        <f t="shared" si="60"/>
        <v>676730.27882501902</v>
      </c>
      <c r="CG33" s="37">
        <f t="shared" si="60"/>
        <v>686338.13218035456</v>
      </c>
      <c r="CH33" s="37">
        <f t="shared" si="60"/>
        <v>220054.76890371309</v>
      </c>
      <c r="CI33" s="164">
        <f t="shared" si="60"/>
        <v>-210941.73521062726</v>
      </c>
      <c r="CJ33" s="37">
        <f t="shared" si="60"/>
        <v>383708.95868589706</v>
      </c>
      <c r="CK33" s="37">
        <f t="shared" si="60"/>
        <v>-1224.7680715012539</v>
      </c>
      <c r="CL33" s="37">
        <f t="shared" si="60"/>
        <v>286896.54927939182</v>
      </c>
      <c r="CM33" s="37">
        <f t="shared" si="60"/>
        <v>-38526.470849279634</v>
      </c>
      <c r="CN33" s="37">
        <f t="shared" si="60"/>
        <v>478000</v>
      </c>
      <c r="CO33" s="37">
        <f t="shared" si="60"/>
        <v>-8340.4597555340442</v>
      </c>
      <c r="CP33" s="37">
        <f t="shared" si="60"/>
        <v>13906.985449914791</v>
      </c>
      <c r="CQ33" s="37">
        <f t="shared" si="60"/>
        <v>-21586.167873090031</v>
      </c>
      <c r="CR33" s="37">
        <f t="shared" si="60"/>
        <v>895962.84853127378</v>
      </c>
      <c r="CS33" s="37">
        <f t="shared" si="60"/>
        <v>921372.6652254432</v>
      </c>
      <c r="CT33" s="37">
        <f t="shared" si="60"/>
        <v>314568.46112964133</v>
      </c>
      <c r="CU33" s="164">
        <f t="shared" si="60"/>
        <v>-263627.16901328409</v>
      </c>
      <c r="CV33" s="37">
        <f t="shared" si="60"/>
        <v>1005711.1983573714</v>
      </c>
      <c r="CW33" s="37">
        <f t="shared" si="60"/>
        <v>-15379.511796017439</v>
      </c>
      <c r="CX33" s="37">
        <f t="shared" si="60"/>
        <v>394494.06913913751</v>
      </c>
      <c r="CY33" s="37">
        <f t="shared" si="60"/>
        <v>-113886.49000930757</v>
      </c>
      <c r="CZ33" s="37">
        <f t="shared" si="60"/>
        <v>1006195.4182375285</v>
      </c>
      <c r="DA33" s="37">
        <f t="shared" si="60"/>
        <v>963207.19827053184</v>
      </c>
      <c r="DB33" s="37">
        <f t="shared" si="60"/>
        <v>281182.15335556958</v>
      </c>
      <c r="DC33" s="37">
        <f t="shared" si="60"/>
        <v>-281312.60281594092</v>
      </c>
      <c r="DD33" s="37">
        <f t="shared" si="60"/>
        <v>526513.43802884559</v>
      </c>
      <c r="DE33" s="37">
        <f t="shared" si="60"/>
        <v>-26737.152107251895</v>
      </c>
      <c r="DF33" s="37">
        <f t="shared" si="60"/>
        <v>435294.82391908771</v>
      </c>
      <c r="DG33" s="37">
        <f t="shared" si="60"/>
        <v>-76839.706273919437</v>
      </c>
    </row>
    <row r="34" spans="1:111" s="293" customFormat="1" x14ac:dyDescent="0.3">
      <c r="A34" s="368"/>
      <c r="B34" s="369" t="s">
        <v>377</v>
      </c>
      <c r="C34" s="369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>
        <f t="shared" ref="U34:AA34" si="61">SUM(U10:U11)-U27</f>
        <v>-3398</v>
      </c>
      <c r="V34" s="370">
        <f t="shared" si="61"/>
        <v>-486</v>
      </c>
      <c r="W34" s="370">
        <f t="shared" si="61"/>
        <v>7580.1861538461526</v>
      </c>
      <c r="X34" s="370">
        <f t="shared" si="61"/>
        <v>279.71076923076907</v>
      </c>
      <c r="Y34" s="370">
        <f t="shared" si="61"/>
        <v>12653.803076923068</v>
      </c>
      <c r="Z34" s="370">
        <f t="shared" si="61"/>
        <v>26032.191538461513</v>
      </c>
      <c r="AA34" s="370">
        <f t="shared" si="61"/>
        <v>55975.446923077019</v>
      </c>
      <c r="AB34" s="370">
        <f t="shared" ref="AB34:BG34" si="62">SUM(AB10:AB11)-AB27</f>
        <v>21660.02082131432</v>
      </c>
      <c r="AC34" s="370">
        <f t="shared" si="62"/>
        <v>4534.7400446882857</v>
      </c>
      <c r="AD34" s="370">
        <f t="shared" si="62"/>
        <v>34727.066700380121</v>
      </c>
      <c r="AE34" s="370">
        <f t="shared" si="62"/>
        <v>30263.214280799766</v>
      </c>
      <c r="AF34" s="370">
        <f t="shared" si="62"/>
        <v>-16667.84</v>
      </c>
      <c r="AG34" s="370">
        <f t="shared" si="62"/>
        <v>-24683.599999999999</v>
      </c>
      <c r="AH34" s="370">
        <f t="shared" ref="AH34:AI34" si="63">SUM(AH10:AH11)-AH27</f>
        <v>-2199</v>
      </c>
      <c r="AI34" s="370">
        <f t="shared" si="63"/>
        <v>6622</v>
      </c>
      <c r="AJ34" s="371">
        <f t="shared" ref="AJ34" si="64">SUM(AJ10:AJ11)-AJ27</f>
        <v>12785.630000000005</v>
      </c>
      <c r="AK34" s="370">
        <f t="shared" ref="AK34" si="65">SUM(AK10:AK11)-AK27</f>
        <v>8566.7609500000035</v>
      </c>
      <c r="AL34" s="370">
        <f t="shared" si="62"/>
        <v>3293.9166666666679</v>
      </c>
      <c r="AM34" s="371">
        <f t="shared" si="62"/>
        <v>1450</v>
      </c>
      <c r="AN34" s="370">
        <f t="shared" si="62"/>
        <v>6187.5524876996933</v>
      </c>
      <c r="AO34" s="370">
        <f t="shared" si="62"/>
        <v>4741.3627160159049</v>
      </c>
      <c r="AP34" s="370">
        <f t="shared" si="62"/>
        <v>14502.751336310139</v>
      </c>
      <c r="AQ34" s="370">
        <f t="shared" si="62"/>
        <v>5402.9349408288836</v>
      </c>
      <c r="AR34" s="370">
        <f t="shared" si="62"/>
        <v>45347.769157917253</v>
      </c>
      <c r="AS34" s="370">
        <f t="shared" si="62"/>
        <v>77753.887255800306</v>
      </c>
      <c r="AT34" s="370">
        <f t="shared" si="62"/>
        <v>58379.968093580042</v>
      </c>
      <c r="AU34" s="370">
        <f t="shared" si="62"/>
        <v>37717.750248333265</v>
      </c>
      <c r="AV34" s="370">
        <f t="shared" si="62"/>
        <v>38112.196486561981</v>
      </c>
      <c r="AW34" s="370">
        <f t="shared" si="62"/>
        <v>59139.380902505014</v>
      </c>
      <c r="AX34" s="370">
        <f t="shared" si="62"/>
        <v>126006.51058544367</v>
      </c>
      <c r="AY34" s="371">
        <f t="shared" si="62"/>
        <v>200715.76943517933</v>
      </c>
      <c r="AZ34" s="370">
        <f t="shared" si="62"/>
        <v>136713.58450664204</v>
      </c>
      <c r="BA34" s="370">
        <f t="shared" si="62"/>
        <v>91744.400821314324</v>
      </c>
      <c r="BB34" s="370">
        <f t="shared" si="62"/>
        <v>22765.480044688287</v>
      </c>
      <c r="BC34" s="370">
        <f t="shared" si="62"/>
        <v>144377.15670038012</v>
      </c>
      <c r="BD34" s="370">
        <f t="shared" si="62"/>
        <v>36891.544280799768</v>
      </c>
      <c r="BE34" s="370">
        <f t="shared" si="62"/>
        <v>12335.065121462845</v>
      </c>
      <c r="BF34" s="370">
        <f t="shared" si="62"/>
        <v>7120.6126100738547</v>
      </c>
      <c r="BG34" s="370">
        <f t="shared" si="62"/>
        <v>52441.345490011357</v>
      </c>
      <c r="BH34" s="370">
        <f t="shared" ref="BH34:CM34" si="66">SUM(BH10:BH11)-BH27</f>
        <v>10192.197939562691</v>
      </c>
      <c r="BI34" s="370">
        <f t="shared" si="66"/>
        <v>195650.35680461588</v>
      </c>
      <c r="BJ34" s="370">
        <f t="shared" si="66"/>
        <v>346107.3336876441</v>
      </c>
      <c r="BK34" s="371">
        <f t="shared" si="66"/>
        <v>235170.21314484617</v>
      </c>
      <c r="BL34" s="370">
        <f t="shared" si="66"/>
        <v>161223.62809027819</v>
      </c>
      <c r="BM34" s="370">
        <f t="shared" si="66"/>
        <v>41660.165410793037</v>
      </c>
      <c r="BN34" s="370">
        <f t="shared" si="66"/>
        <v>252453.73828065884</v>
      </c>
      <c r="BO34" s="370">
        <f t="shared" si="66"/>
        <v>66145.34342005293</v>
      </c>
      <c r="BP34" s="370">
        <f t="shared" si="66"/>
        <v>10000</v>
      </c>
      <c r="BQ34" s="370">
        <f t="shared" si="66"/>
        <v>21903.272011453169</v>
      </c>
      <c r="BR34" s="370">
        <f t="shared" si="66"/>
        <v>11702.469157612199</v>
      </c>
      <c r="BS34" s="370">
        <f t="shared" si="66"/>
        <v>80555.121032901894</v>
      </c>
      <c r="BT34" s="370">
        <f t="shared" si="66"/>
        <v>16368.91610048947</v>
      </c>
      <c r="BU34" s="370">
        <f t="shared" si="66"/>
        <v>298122.65745316644</v>
      </c>
      <c r="BV34" s="370">
        <f t="shared" si="66"/>
        <v>526701.52617930563</v>
      </c>
      <c r="BW34" s="371">
        <f t="shared" si="66"/>
        <v>358162.43920082401</v>
      </c>
      <c r="BX34" s="370">
        <f t="shared" si="66"/>
        <v>241743.58882946108</v>
      </c>
      <c r="BY34" s="370">
        <f t="shared" si="66"/>
        <v>60099.097451012494</v>
      </c>
      <c r="BZ34" s="370">
        <f t="shared" si="66"/>
        <v>380343.17931100097</v>
      </c>
      <c r="CA34" s="370">
        <f t="shared" si="66"/>
        <v>97297.733272772719</v>
      </c>
      <c r="CB34" s="370">
        <f t="shared" si="66"/>
        <v>12000</v>
      </c>
      <c r="CC34" s="370">
        <f t="shared" si="66"/>
        <v>25259.340974783277</v>
      </c>
      <c r="CD34" s="370">
        <f t="shared" si="66"/>
        <v>13896.42134012498</v>
      </c>
      <c r="CE34" s="370">
        <f t="shared" si="66"/>
        <v>90593.046213865382</v>
      </c>
      <c r="CF34" s="370">
        <f t="shared" si="66"/>
        <v>19094.488820798397</v>
      </c>
      <c r="CG34" s="370">
        <f t="shared" si="66"/>
        <v>332946.7576693499</v>
      </c>
      <c r="CH34" s="370">
        <f t="shared" si="66"/>
        <v>587566.25700985943</v>
      </c>
      <c r="CI34" s="371">
        <f t="shared" si="66"/>
        <v>399826.51455281669</v>
      </c>
      <c r="CJ34" s="370">
        <f t="shared" si="66"/>
        <v>269916.90907585539</v>
      </c>
      <c r="CK34" s="370">
        <f t="shared" si="66"/>
        <v>67578.74146441897</v>
      </c>
      <c r="CL34" s="370">
        <f t="shared" si="66"/>
        <v>424306.32632111508</v>
      </c>
      <c r="CM34" s="370">
        <f t="shared" si="66"/>
        <v>109015.19655701265</v>
      </c>
      <c r="CN34" s="370">
        <f t="shared" ref="CN34:DG34" si="67">SUM(CN10:CN11)-CN27</f>
        <v>14000</v>
      </c>
      <c r="CO34" s="370">
        <f t="shared" si="67"/>
        <v>32080.919511068096</v>
      </c>
      <c r="CP34" s="370">
        <f t="shared" si="67"/>
        <v>18586.029100170432</v>
      </c>
      <c r="CQ34" s="370">
        <f t="shared" si="67"/>
        <v>123172.33574618008</v>
      </c>
      <c r="CR34" s="370">
        <f t="shared" si="67"/>
        <v>25674.302937452361</v>
      </c>
      <c r="CS34" s="370">
        <f t="shared" si="67"/>
        <v>453654.66954911355</v>
      </c>
      <c r="CT34" s="370">
        <f t="shared" si="67"/>
        <v>800863.07774071745</v>
      </c>
      <c r="CU34" s="371">
        <f t="shared" si="67"/>
        <v>544854.33802656806</v>
      </c>
      <c r="CV34" s="370">
        <f t="shared" si="67"/>
        <v>364977.60328525736</v>
      </c>
      <c r="CW34" s="370">
        <f t="shared" si="67"/>
        <v>107745.53700685684</v>
      </c>
      <c r="CX34" s="370">
        <f t="shared" si="67"/>
        <v>578180.85687169665</v>
      </c>
      <c r="CY34" s="370">
        <f t="shared" si="67"/>
        <v>256310.92406091845</v>
      </c>
      <c r="CZ34" s="370">
        <f t="shared" si="67"/>
        <v>25996.77970203411</v>
      </c>
      <c r="DA34" s="370">
        <f t="shared" si="67"/>
        <v>468243.15853408404</v>
      </c>
      <c r="DB34" s="370">
        <f t="shared" si="67"/>
        <v>829025.18033207464</v>
      </c>
      <c r="DC34" s="370">
        <f t="shared" si="67"/>
        <v>564482.815960787</v>
      </c>
      <c r="DD34" s="370">
        <f t="shared" si="67"/>
        <v>378610.19006143254</v>
      </c>
      <c r="DE34" s="370">
        <f t="shared" si="67"/>
        <v>93497.317518044933</v>
      </c>
      <c r="DF34" s="370">
        <f t="shared" si="67"/>
        <v>596158.91436157119</v>
      </c>
      <c r="DG34" s="370">
        <f t="shared" si="67"/>
        <v>151885.04969397234</v>
      </c>
    </row>
    <row r="35" spans="1:111" s="293" customFormat="1" ht="4.95" customHeight="1" x14ac:dyDescent="0.3">
      <c r="A35" s="368"/>
      <c r="B35" s="369"/>
      <c r="C35" s="369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  <c r="AD35" s="370"/>
      <c r="AE35" s="370"/>
      <c r="AF35" s="370"/>
      <c r="AG35" s="370"/>
      <c r="AH35" s="370"/>
      <c r="AI35" s="370"/>
      <c r="AJ35" s="371"/>
      <c r="AK35" s="370"/>
      <c r="AL35" s="370"/>
      <c r="AM35" s="371"/>
      <c r="AN35" s="370"/>
      <c r="AO35" s="370"/>
      <c r="AP35" s="370"/>
      <c r="AQ35" s="370"/>
      <c r="AR35" s="370"/>
      <c r="AS35" s="370"/>
      <c r="AT35" s="370"/>
      <c r="AU35" s="370"/>
      <c r="AV35" s="370"/>
      <c r="AW35" s="370"/>
      <c r="AX35" s="370"/>
      <c r="AY35" s="371"/>
      <c r="AZ35" s="370"/>
      <c r="BA35" s="370"/>
      <c r="BB35" s="370"/>
      <c r="BC35" s="370"/>
      <c r="BD35" s="370"/>
      <c r="BE35" s="370"/>
      <c r="BF35" s="370"/>
      <c r="BG35" s="370"/>
      <c r="BH35" s="370"/>
      <c r="BI35" s="370"/>
      <c r="BJ35" s="370"/>
      <c r="BK35" s="371"/>
      <c r="BL35" s="370"/>
      <c r="BM35" s="370"/>
      <c r="BN35" s="370"/>
      <c r="BO35" s="370"/>
      <c r="BP35" s="370"/>
      <c r="BQ35" s="370"/>
      <c r="BR35" s="370"/>
      <c r="BS35" s="370"/>
      <c r="BT35" s="370"/>
      <c r="BU35" s="370"/>
      <c r="BV35" s="370"/>
      <c r="BW35" s="371"/>
      <c r="BX35" s="370"/>
      <c r="BY35" s="370"/>
      <c r="BZ35" s="370"/>
      <c r="CA35" s="370"/>
      <c r="CB35" s="370"/>
      <c r="CC35" s="370"/>
      <c r="CD35" s="370"/>
      <c r="CE35" s="370"/>
      <c r="CF35" s="370"/>
      <c r="CG35" s="370"/>
      <c r="CH35" s="370"/>
      <c r="CI35" s="371"/>
      <c r="CJ35" s="370"/>
      <c r="CK35" s="370"/>
      <c r="CL35" s="370"/>
      <c r="CM35" s="370"/>
      <c r="CN35" s="370"/>
      <c r="CO35" s="370"/>
      <c r="CP35" s="370"/>
      <c r="CQ35" s="370"/>
      <c r="CR35" s="370"/>
      <c r="CS35" s="370"/>
      <c r="CT35" s="370"/>
      <c r="CU35" s="371"/>
      <c r="CV35" s="370"/>
      <c r="CW35" s="370"/>
      <c r="CX35" s="370"/>
      <c r="CY35" s="370"/>
      <c r="CZ35" s="370"/>
      <c r="DA35" s="370"/>
      <c r="DB35" s="370"/>
      <c r="DC35" s="370"/>
      <c r="DD35" s="370"/>
      <c r="DE35" s="370"/>
      <c r="DF35" s="370"/>
      <c r="DG35" s="370"/>
    </row>
    <row r="36" spans="1:111" s="37" customFormat="1" x14ac:dyDescent="0.3">
      <c r="A36"/>
      <c r="B36" s="1" t="s">
        <v>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/>
      <c r="AC36"/>
      <c r="AD36"/>
      <c r="AE36"/>
      <c r="AF36"/>
      <c r="AG36"/>
      <c r="AH36"/>
      <c r="AI36"/>
      <c r="AJ36" s="162"/>
      <c r="AK36"/>
      <c r="AL36"/>
      <c r="AM36" s="162"/>
      <c r="AN36"/>
      <c r="AO36"/>
      <c r="AP36"/>
      <c r="AQ36"/>
      <c r="AR36"/>
      <c r="AS36"/>
      <c r="AT36"/>
      <c r="AU36"/>
      <c r="AV36"/>
      <c r="AW36"/>
      <c r="AX36"/>
      <c r="AY36" s="162"/>
      <c r="AZ36"/>
      <c r="BA36"/>
      <c r="BB36"/>
      <c r="BC36"/>
      <c r="BD36"/>
      <c r="BE36"/>
      <c r="BF36"/>
      <c r="BG36"/>
      <c r="BH36"/>
      <c r="BI36"/>
      <c r="BJ36"/>
      <c r="BK36" s="162"/>
      <c r="BL36"/>
      <c r="BM36"/>
      <c r="BN36"/>
      <c r="BO36"/>
      <c r="BP36"/>
      <c r="BQ36"/>
      <c r="BR36"/>
      <c r="BS36"/>
      <c r="BT36"/>
      <c r="BU36"/>
      <c r="BV36"/>
      <c r="BW36" s="162"/>
      <c r="BX36"/>
      <c r="BY36"/>
      <c r="BZ36"/>
      <c r="CA36"/>
      <c r="CB36"/>
      <c r="CC36"/>
      <c r="CD36"/>
      <c r="CE36"/>
      <c r="CF36"/>
      <c r="CG36"/>
      <c r="CH36"/>
      <c r="CI36" s="162"/>
      <c r="CJ36"/>
      <c r="CK36"/>
      <c r="CL36"/>
      <c r="CM36"/>
      <c r="CN36"/>
      <c r="CO36"/>
      <c r="CP36"/>
      <c r="CQ36"/>
      <c r="CR36"/>
      <c r="CS36"/>
      <c r="CT36"/>
      <c r="CU36" s="162"/>
      <c r="CV36"/>
      <c r="CW36"/>
      <c r="CX36"/>
      <c r="CY36"/>
      <c r="CZ36"/>
      <c r="DA36"/>
      <c r="DB36"/>
      <c r="DC36"/>
      <c r="DD36"/>
      <c r="DE36"/>
      <c r="DF36"/>
      <c r="DG36"/>
    </row>
    <row r="37" spans="1:111" x14ac:dyDescent="0.3">
      <c r="B37" s="1" t="s">
        <v>257</v>
      </c>
      <c r="C37" s="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>
        <v>0</v>
      </c>
      <c r="AD37" s="91"/>
      <c r="AE37" s="91"/>
      <c r="AF37" s="91">
        <v>0</v>
      </c>
      <c r="AG37" s="91">
        <v>0</v>
      </c>
      <c r="AH37" s="91">
        <v>0</v>
      </c>
      <c r="AI37" s="91">
        <v>0</v>
      </c>
      <c r="AJ37" s="163">
        <v>0</v>
      </c>
      <c r="AK37" s="540">
        <v>0</v>
      </c>
      <c r="AL37" s="91">
        <f t="shared" ref="AL37:CA37" si="68">AK37</f>
        <v>0</v>
      </c>
      <c r="AM37" s="163">
        <f t="shared" si="68"/>
        <v>0</v>
      </c>
      <c r="AN37" s="91">
        <f t="shared" si="68"/>
        <v>0</v>
      </c>
      <c r="AO37" s="91">
        <f t="shared" si="68"/>
        <v>0</v>
      </c>
      <c r="AP37" s="91">
        <f t="shared" si="68"/>
        <v>0</v>
      </c>
      <c r="AQ37" s="91">
        <f t="shared" si="68"/>
        <v>0</v>
      </c>
      <c r="AR37" s="91">
        <f t="shared" si="68"/>
        <v>0</v>
      </c>
      <c r="AS37" s="91">
        <f t="shared" si="68"/>
        <v>0</v>
      </c>
      <c r="AT37" s="91">
        <f t="shared" si="68"/>
        <v>0</v>
      </c>
      <c r="AU37" s="91">
        <f t="shared" si="68"/>
        <v>0</v>
      </c>
      <c r="AV37" s="91">
        <f t="shared" si="68"/>
        <v>0</v>
      </c>
      <c r="AW37" s="91">
        <f t="shared" si="68"/>
        <v>0</v>
      </c>
      <c r="AX37" s="91">
        <f t="shared" si="68"/>
        <v>0</v>
      </c>
      <c r="AY37" s="163">
        <f t="shared" si="68"/>
        <v>0</v>
      </c>
      <c r="AZ37" s="381">
        <f>AY37*2</f>
        <v>0</v>
      </c>
      <c r="BA37" s="91">
        <f t="shared" si="68"/>
        <v>0</v>
      </c>
      <c r="BB37" s="91">
        <f t="shared" si="68"/>
        <v>0</v>
      </c>
      <c r="BC37" s="91">
        <f t="shared" si="68"/>
        <v>0</v>
      </c>
      <c r="BD37" s="91">
        <f t="shared" si="68"/>
        <v>0</v>
      </c>
      <c r="BE37" s="91">
        <f t="shared" si="68"/>
        <v>0</v>
      </c>
      <c r="BF37" s="91">
        <f t="shared" si="68"/>
        <v>0</v>
      </c>
      <c r="BG37" s="91">
        <f t="shared" si="68"/>
        <v>0</v>
      </c>
      <c r="BH37" s="91">
        <f t="shared" si="68"/>
        <v>0</v>
      </c>
      <c r="BI37" s="91">
        <f t="shared" si="68"/>
        <v>0</v>
      </c>
      <c r="BJ37" s="91">
        <f t="shared" si="68"/>
        <v>0</v>
      </c>
      <c r="BK37" s="163">
        <f t="shared" si="68"/>
        <v>0</v>
      </c>
      <c r="BL37" s="381">
        <f>BK37*2</f>
        <v>0</v>
      </c>
      <c r="BM37" s="91">
        <f t="shared" si="68"/>
        <v>0</v>
      </c>
      <c r="BN37" s="91">
        <f t="shared" si="68"/>
        <v>0</v>
      </c>
      <c r="BO37" s="91">
        <f t="shared" si="68"/>
        <v>0</v>
      </c>
      <c r="BP37" s="91">
        <f t="shared" si="68"/>
        <v>0</v>
      </c>
      <c r="BQ37" s="91">
        <f t="shared" si="68"/>
        <v>0</v>
      </c>
      <c r="BR37" s="91">
        <f t="shared" si="68"/>
        <v>0</v>
      </c>
      <c r="BS37" s="91">
        <f t="shared" si="68"/>
        <v>0</v>
      </c>
      <c r="BT37" s="91">
        <f t="shared" si="68"/>
        <v>0</v>
      </c>
      <c r="BU37" s="91">
        <f t="shared" si="68"/>
        <v>0</v>
      </c>
      <c r="BV37" s="91">
        <f t="shared" si="68"/>
        <v>0</v>
      </c>
      <c r="BW37" s="163">
        <f t="shared" si="68"/>
        <v>0</v>
      </c>
      <c r="BX37" s="381">
        <f>BW37*2</f>
        <v>0</v>
      </c>
      <c r="BY37" s="91">
        <f t="shared" si="68"/>
        <v>0</v>
      </c>
      <c r="BZ37" s="91">
        <f t="shared" si="68"/>
        <v>0</v>
      </c>
      <c r="CA37" s="91">
        <f t="shared" si="68"/>
        <v>0</v>
      </c>
      <c r="CB37" s="91">
        <f t="shared" ref="CB37:DG37" si="69">CA37</f>
        <v>0</v>
      </c>
      <c r="CC37" s="91">
        <f t="shared" si="69"/>
        <v>0</v>
      </c>
      <c r="CD37" s="91">
        <f t="shared" si="69"/>
        <v>0</v>
      </c>
      <c r="CE37" s="91">
        <f t="shared" si="69"/>
        <v>0</v>
      </c>
      <c r="CF37" s="91">
        <f t="shared" si="69"/>
        <v>0</v>
      </c>
      <c r="CG37" s="91">
        <f t="shared" si="69"/>
        <v>0</v>
      </c>
      <c r="CH37" s="91">
        <f t="shared" si="69"/>
        <v>0</v>
      </c>
      <c r="CI37" s="163">
        <f t="shared" si="69"/>
        <v>0</v>
      </c>
      <c r="CJ37" s="381">
        <f>CI37*2</f>
        <v>0</v>
      </c>
      <c r="CK37" s="91">
        <f t="shared" si="69"/>
        <v>0</v>
      </c>
      <c r="CL37" s="91">
        <f t="shared" si="69"/>
        <v>0</v>
      </c>
      <c r="CM37" s="91">
        <f t="shared" si="69"/>
        <v>0</v>
      </c>
      <c r="CN37" s="91">
        <f t="shared" si="69"/>
        <v>0</v>
      </c>
      <c r="CO37" s="91">
        <f t="shared" si="69"/>
        <v>0</v>
      </c>
      <c r="CP37" s="91">
        <f t="shared" si="69"/>
        <v>0</v>
      </c>
      <c r="CQ37" s="91">
        <f t="shared" si="69"/>
        <v>0</v>
      </c>
      <c r="CR37" s="91">
        <f t="shared" si="69"/>
        <v>0</v>
      </c>
      <c r="CS37" s="91">
        <f t="shared" si="69"/>
        <v>0</v>
      </c>
      <c r="CT37" s="91">
        <f t="shared" si="69"/>
        <v>0</v>
      </c>
      <c r="CU37" s="163">
        <f t="shared" si="69"/>
        <v>0</v>
      </c>
      <c r="CV37" s="381">
        <f>CU37*2</f>
        <v>0</v>
      </c>
      <c r="CW37" s="91">
        <f t="shared" si="69"/>
        <v>0</v>
      </c>
      <c r="CX37" s="91">
        <f t="shared" si="69"/>
        <v>0</v>
      </c>
      <c r="CY37" s="91">
        <f t="shared" si="69"/>
        <v>0</v>
      </c>
      <c r="CZ37" s="91">
        <f t="shared" si="69"/>
        <v>0</v>
      </c>
      <c r="DA37" s="91">
        <f t="shared" si="69"/>
        <v>0</v>
      </c>
      <c r="DB37" s="91">
        <f t="shared" si="69"/>
        <v>0</v>
      </c>
      <c r="DC37" s="91">
        <f t="shared" si="69"/>
        <v>0</v>
      </c>
      <c r="DD37" s="91">
        <f t="shared" si="69"/>
        <v>0</v>
      </c>
      <c r="DE37" s="91">
        <f t="shared" si="69"/>
        <v>0</v>
      </c>
      <c r="DF37" s="91">
        <f t="shared" si="69"/>
        <v>0</v>
      </c>
      <c r="DG37" s="91">
        <f t="shared" si="69"/>
        <v>0</v>
      </c>
    </row>
    <row r="38" spans="1:111" x14ac:dyDescent="0.3">
      <c r="B38" s="1" t="s">
        <v>258</v>
      </c>
      <c r="C38" s="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>
        <v>586.36</v>
      </c>
      <c r="X38" s="91">
        <v>119.36</v>
      </c>
      <c r="Y38" s="91"/>
      <c r="Z38" s="91"/>
      <c r="AA38" s="91"/>
      <c r="AB38" s="91"/>
      <c r="AC38" s="91"/>
      <c r="AD38" s="91"/>
      <c r="AE38" s="91"/>
      <c r="AF38" s="91"/>
      <c r="AG38" s="91">
        <v>350</v>
      </c>
      <c r="AH38" s="91"/>
      <c r="AI38" s="91"/>
      <c r="AJ38" s="163">
        <v>35</v>
      </c>
      <c r="AK38" s="540">
        <v>100</v>
      </c>
      <c r="AL38" s="91">
        <f t="shared" ref="AL38:CA38" si="70">AK38</f>
        <v>100</v>
      </c>
      <c r="AM38" s="163">
        <f t="shared" si="70"/>
        <v>100</v>
      </c>
      <c r="AN38" s="91">
        <f t="shared" si="70"/>
        <v>100</v>
      </c>
      <c r="AO38" s="91">
        <f t="shared" si="70"/>
        <v>100</v>
      </c>
      <c r="AP38" s="91">
        <f t="shared" si="70"/>
        <v>100</v>
      </c>
      <c r="AQ38" s="91">
        <f t="shared" si="70"/>
        <v>100</v>
      </c>
      <c r="AR38" s="91">
        <f t="shared" si="70"/>
        <v>100</v>
      </c>
      <c r="AS38" s="91">
        <f t="shared" si="70"/>
        <v>100</v>
      </c>
      <c r="AT38" s="91">
        <f t="shared" si="70"/>
        <v>100</v>
      </c>
      <c r="AU38" s="91">
        <f t="shared" si="70"/>
        <v>100</v>
      </c>
      <c r="AV38" s="91">
        <f t="shared" si="70"/>
        <v>100</v>
      </c>
      <c r="AW38" s="91">
        <f t="shared" si="70"/>
        <v>100</v>
      </c>
      <c r="AX38" s="91">
        <f t="shared" si="70"/>
        <v>100</v>
      </c>
      <c r="AY38" s="163">
        <f t="shared" si="70"/>
        <v>100</v>
      </c>
      <c r="AZ38" s="381">
        <f>AY38*2</f>
        <v>200</v>
      </c>
      <c r="BA38" s="91">
        <f t="shared" si="70"/>
        <v>200</v>
      </c>
      <c r="BB38" s="91">
        <f t="shared" si="70"/>
        <v>200</v>
      </c>
      <c r="BC38" s="91">
        <f t="shared" si="70"/>
        <v>200</v>
      </c>
      <c r="BD38" s="91">
        <f t="shared" si="70"/>
        <v>200</v>
      </c>
      <c r="BE38" s="91">
        <f t="shared" si="70"/>
        <v>200</v>
      </c>
      <c r="BF38" s="91">
        <f t="shared" si="70"/>
        <v>200</v>
      </c>
      <c r="BG38" s="91">
        <f t="shared" si="70"/>
        <v>200</v>
      </c>
      <c r="BH38" s="91">
        <f t="shared" si="70"/>
        <v>200</v>
      </c>
      <c r="BI38" s="91">
        <f t="shared" si="70"/>
        <v>200</v>
      </c>
      <c r="BJ38" s="91">
        <f t="shared" si="70"/>
        <v>200</v>
      </c>
      <c r="BK38" s="163">
        <f t="shared" si="70"/>
        <v>200</v>
      </c>
      <c r="BL38" s="381">
        <f>BK38*2</f>
        <v>400</v>
      </c>
      <c r="BM38" s="91">
        <f t="shared" si="70"/>
        <v>400</v>
      </c>
      <c r="BN38" s="91">
        <f t="shared" si="70"/>
        <v>400</v>
      </c>
      <c r="BO38" s="91">
        <f t="shared" si="70"/>
        <v>400</v>
      </c>
      <c r="BP38" s="91">
        <f t="shared" si="70"/>
        <v>400</v>
      </c>
      <c r="BQ38" s="91">
        <f t="shared" si="70"/>
        <v>400</v>
      </c>
      <c r="BR38" s="91">
        <f t="shared" si="70"/>
        <v>400</v>
      </c>
      <c r="BS38" s="91">
        <f t="shared" si="70"/>
        <v>400</v>
      </c>
      <c r="BT38" s="91">
        <f t="shared" si="70"/>
        <v>400</v>
      </c>
      <c r="BU38" s="91">
        <f t="shared" si="70"/>
        <v>400</v>
      </c>
      <c r="BV38" s="91">
        <f t="shared" si="70"/>
        <v>400</v>
      </c>
      <c r="BW38" s="163">
        <f t="shared" si="70"/>
        <v>400</v>
      </c>
      <c r="BX38" s="381">
        <f>BW38*2</f>
        <v>800</v>
      </c>
      <c r="BY38" s="91">
        <f t="shared" si="70"/>
        <v>800</v>
      </c>
      <c r="BZ38" s="91">
        <f t="shared" si="70"/>
        <v>800</v>
      </c>
      <c r="CA38" s="91">
        <f t="shared" si="70"/>
        <v>800</v>
      </c>
      <c r="CB38" s="91">
        <f t="shared" ref="CB38:DG38" si="71">CA38</f>
        <v>800</v>
      </c>
      <c r="CC38" s="91">
        <f t="shared" si="71"/>
        <v>800</v>
      </c>
      <c r="CD38" s="91">
        <f t="shared" si="71"/>
        <v>800</v>
      </c>
      <c r="CE38" s="91">
        <f t="shared" si="71"/>
        <v>800</v>
      </c>
      <c r="CF38" s="91">
        <f t="shared" si="71"/>
        <v>800</v>
      </c>
      <c r="CG38" s="91">
        <f t="shared" si="71"/>
        <v>800</v>
      </c>
      <c r="CH38" s="91">
        <f t="shared" si="71"/>
        <v>800</v>
      </c>
      <c r="CI38" s="163">
        <f t="shared" si="71"/>
        <v>800</v>
      </c>
      <c r="CJ38" s="381">
        <f>CI38*2</f>
        <v>1600</v>
      </c>
      <c r="CK38" s="91">
        <f t="shared" si="71"/>
        <v>1600</v>
      </c>
      <c r="CL38" s="91">
        <f t="shared" si="71"/>
        <v>1600</v>
      </c>
      <c r="CM38" s="91">
        <f t="shared" si="71"/>
        <v>1600</v>
      </c>
      <c r="CN38" s="91">
        <f t="shared" si="71"/>
        <v>1600</v>
      </c>
      <c r="CO38" s="91">
        <f t="shared" si="71"/>
        <v>1600</v>
      </c>
      <c r="CP38" s="91">
        <f t="shared" si="71"/>
        <v>1600</v>
      </c>
      <c r="CQ38" s="91">
        <f t="shared" si="71"/>
        <v>1600</v>
      </c>
      <c r="CR38" s="91">
        <f t="shared" si="71"/>
        <v>1600</v>
      </c>
      <c r="CS38" s="91">
        <f t="shared" si="71"/>
        <v>1600</v>
      </c>
      <c r="CT38" s="91">
        <f t="shared" si="71"/>
        <v>1600</v>
      </c>
      <c r="CU38" s="163">
        <f t="shared" si="71"/>
        <v>1600</v>
      </c>
      <c r="CV38" s="381">
        <f>CU38*2</f>
        <v>3200</v>
      </c>
      <c r="CW38" s="91">
        <f t="shared" si="71"/>
        <v>3200</v>
      </c>
      <c r="CX38" s="91">
        <f t="shared" si="71"/>
        <v>3200</v>
      </c>
      <c r="CY38" s="91">
        <f t="shared" si="71"/>
        <v>3200</v>
      </c>
      <c r="CZ38" s="91">
        <f t="shared" si="71"/>
        <v>3200</v>
      </c>
      <c r="DA38" s="91">
        <f t="shared" si="71"/>
        <v>3200</v>
      </c>
      <c r="DB38" s="91">
        <f t="shared" si="71"/>
        <v>3200</v>
      </c>
      <c r="DC38" s="91">
        <f t="shared" si="71"/>
        <v>3200</v>
      </c>
      <c r="DD38" s="91">
        <f t="shared" si="71"/>
        <v>3200</v>
      </c>
      <c r="DE38" s="91">
        <f t="shared" si="71"/>
        <v>3200</v>
      </c>
      <c r="DF38" s="91">
        <f t="shared" si="71"/>
        <v>3200</v>
      </c>
      <c r="DG38" s="91">
        <f t="shared" si="71"/>
        <v>3200</v>
      </c>
    </row>
    <row r="39" spans="1:111" x14ac:dyDescent="0.3">
      <c r="B39" s="1" t="s">
        <v>312</v>
      </c>
      <c r="C39" s="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>
        <v>690.27</v>
      </c>
      <c r="AD39" s="91"/>
      <c r="AE39" s="91"/>
      <c r="AF39" s="91">
        <v>108.38</v>
      </c>
      <c r="AG39" s="91">
        <v>250</v>
      </c>
      <c r="AH39" s="91"/>
      <c r="AI39" s="91">
        <v>0</v>
      </c>
      <c r="AJ39" s="163">
        <v>0</v>
      </c>
      <c r="AK39" s="540">
        <f>+AVERAGE(AH39:AJ39)</f>
        <v>0</v>
      </c>
      <c r="AL39" s="91">
        <f t="shared" ref="AL39:BP39" si="72">IF(AL2&lt;&gt;AK2, AK39*1.01, AK39)</f>
        <v>0</v>
      </c>
      <c r="AM39" s="163">
        <f t="shared" si="72"/>
        <v>0</v>
      </c>
      <c r="AN39" s="91">
        <f t="shared" si="72"/>
        <v>0</v>
      </c>
      <c r="AO39" s="91">
        <f t="shared" si="72"/>
        <v>0</v>
      </c>
      <c r="AP39" s="91">
        <f t="shared" si="72"/>
        <v>0</v>
      </c>
      <c r="AQ39" s="91">
        <f t="shared" si="72"/>
        <v>0</v>
      </c>
      <c r="AR39" s="91">
        <f t="shared" si="72"/>
        <v>0</v>
      </c>
      <c r="AS39" s="91">
        <f t="shared" si="72"/>
        <v>0</v>
      </c>
      <c r="AT39" s="91">
        <f t="shared" si="72"/>
        <v>0</v>
      </c>
      <c r="AU39" s="91">
        <f t="shared" si="72"/>
        <v>0</v>
      </c>
      <c r="AV39" s="91">
        <f t="shared" si="72"/>
        <v>0</v>
      </c>
      <c r="AW39" s="91">
        <f t="shared" si="72"/>
        <v>0</v>
      </c>
      <c r="AX39" s="91">
        <f t="shared" si="72"/>
        <v>0</v>
      </c>
      <c r="AY39" s="163">
        <f t="shared" si="72"/>
        <v>0</v>
      </c>
      <c r="AZ39" s="91">
        <f t="shared" si="72"/>
        <v>0</v>
      </c>
      <c r="BA39" s="91">
        <f t="shared" si="72"/>
        <v>0</v>
      </c>
      <c r="BB39" s="91">
        <f t="shared" si="72"/>
        <v>0</v>
      </c>
      <c r="BC39" s="91">
        <f t="shared" si="72"/>
        <v>0</v>
      </c>
      <c r="BD39" s="91">
        <f t="shared" si="72"/>
        <v>0</v>
      </c>
      <c r="BE39" s="91">
        <f t="shared" si="72"/>
        <v>0</v>
      </c>
      <c r="BF39" s="91">
        <f t="shared" si="72"/>
        <v>0</v>
      </c>
      <c r="BG39" s="91">
        <f t="shared" si="72"/>
        <v>0</v>
      </c>
      <c r="BH39" s="91">
        <f t="shared" si="72"/>
        <v>0</v>
      </c>
      <c r="BI39" s="91">
        <f t="shared" si="72"/>
        <v>0</v>
      </c>
      <c r="BJ39" s="91">
        <f t="shared" si="72"/>
        <v>0</v>
      </c>
      <c r="BK39" s="163">
        <f t="shared" si="72"/>
        <v>0</v>
      </c>
      <c r="BL39" s="91">
        <f t="shared" si="72"/>
        <v>0</v>
      </c>
      <c r="BM39" s="91">
        <f t="shared" si="72"/>
        <v>0</v>
      </c>
      <c r="BN39" s="91">
        <f t="shared" si="72"/>
        <v>0</v>
      </c>
      <c r="BO39" s="91">
        <f t="shared" si="72"/>
        <v>0</v>
      </c>
      <c r="BP39" s="91">
        <f t="shared" si="72"/>
        <v>0</v>
      </c>
      <c r="BQ39" s="91">
        <f t="shared" ref="BQ39:CV39" si="73">IF(BQ2&lt;&gt;BP2, BP39*1.01, BP39)</f>
        <v>0</v>
      </c>
      <c r="BR39" s="91">
        <f t="shared" si="73"/>
        <v>0</v>
      </c>
      <c r="BS39" s="91">
        <f t="shared" si="73"/>
        <v>0</v>
      </c>
      <c r="BT39" s="91">
        <f t="shared" si="73"/>
        <v>0</v>
      </c>
      <c r="BU39" s="91">
        <f t="shared" si="73"/>
        <v>0</v>
      </c>
      <c r="BV39" s="91">
        <f t="shared" si="73"/>
        <v>0</v>
      </c>
      <c r="BW39" s="163">
        <f t="shared" si="73"/>
        <v>0</v>
      </c>
      <c r="BX39" s="91">
        <f t="shared" si="73"/>
        <v>0</v>
      </c>
      <c r="BY39" s="91">
        <f t="shared" si="73"/>
        <v>0</v>
      </c>
      <c r="BZ39" s="91">
        <f t="shared" si="73"/>
        <v>0</v>
      </c>
      <c r="CA39" s="91">
        <f t="shared" si="73"/>
        <v>0</v>
      </c>
      <c r="CB39" s="91">
        <f t="shared" si="73"/>
        <v>0</v>
      </c>
      <c r="CC39" s="91">
        <f t="shared" si="73"/>
        <v>0</v>
      </c>
      <c r="CD39" s="91">
        <f t="shared" si="73"/>
        <v>0</v>
      </c>
      <c r="CE39" s="91">
        <f t="shared" si="73"/>
        <v>0</v>
      </c>
      <c r="CF39" s="91">
        <f t="shared" si="73"/>
        <v>0</v>
      </c>
      <c r="CG39" s="91">
        <f t="shared" si="73"/>
        <v>0</v>
      </c>
      <c r="CH39" s="91">
        <f t="shared" si="73"/>
        <v>0</v>
      </c>
      <c r="CI39" s="163">
        <f t="shared" si="73"/>
        <v>0</v>
      </c>
      <c r="CJ39" s="91">
        <f t="shared" si="73"/>
        <v>0</v>
      </c>
      <c r="CK39" s="91">
        <f t="shared" si="73"/>
        <v>0</v>
      </c>
      <c r="CL39" s="91">
        <f t="shared" si="73"/>
        <v>0</v>
      </c>
      <c r="CM39" s="91">
        <f t="shared" si="73"/>
        <v>0</v>
      </c>
      <c r="CN39" s="91">
        <f t="shared" si="73"/>
        <v>0</v>
      </c>
      <c r="CO39" s="91">
        <f t="shared" si="73"/>
        <v>0</v>
      </c>
      <c r="CP39" s="91">
        <f t="shared" si="73"/>
        <v>0</v>
      </c>
      <c r="CQ39" s="91">
        <f t="shared" si="73"/>
        <v>0</v>
      </c>
      <c r="CR39" s="91">
        <f t="shared" si="73"/>
        <v>0</v>
      </c>
      <c r="CS39" s="91">
        <f t="shared" si="73"/>
        <v>0</v>
      </c>
      <c r="CT39" s="91">
        <f t="shared" si="73"/>
        <v>0</v>
      </c>
      <c r="CU39" s="163">
        <f t="shared" si="73"/>
        <v>0</v>
      </c>
      <c r="CV39" s="91">
        <f t="shared" si="73"/>
        <v>0</v>
      </c>
      <c r="CW39" s="91">
        <f t="shared" ref="CW39:DG39" si="74">IF(CW2&lt;&gt;CV2, CV39*1.01, CV39)</f>
        <v>0</v>
      </c>
      <c r="CX39" s="91">
        <f t="shared" si="74"/>
        <v>0</v>
      </c>
      <c r="CY39" s="91">
        <f t="shared" si="74"/>
        <v>0</v>
      </c>
      <c r="CZ39" s="91">
        <f t="shared" si="74"/>
        <v>0</v>
      </c>
      <c r="DA39" s="91">
        <f t="shared" si="74"/>
        <v>0</v>
      </c>
      <c r="DB39" s="91">
        <f t="shared" si="74"/>
        <v>0</v>
      </c>
      <c r="DC39" s="91">
        <f t="shared" si="74"/>
        <v>0</v>
      </c>
      <c r="DD39" s="91">
        <f t="shared" si="74"/>
        <v>0</v>
      </c>
      <c r="DE39" s="91">
        <f t="shared" si="74"/>
        <v>0</v>
      </c>
      <c r="DF39" s="91">
        <f t="shared" si="74"/>
        <v>0</v>
      </c>
      <c r="DG39" s="91">
        <f t="shared" si="74"/>
        <v>0</v>
      </c>
    </row>
    <row r="40" spans="1:111" s="5" customFormat="1" x14ac:dyDescent="0.3">
      <c r="A40"/>
      <c r="B40" s="1" t="s">
        <v>495</v>
      </c>
      <c r="C40" s="1"/>
      <c r="D40" s="91"/>
      <c r="E40" s="91"/>
      <c r="F40" s="91"/>
      <c r="G40" s="91"/>
      <c r="H40" s="91"/>
      <c r="I40" s="91"/>
      <c r="J40" s="91"/>
      <c r="K40" s="91"/>
      <c r="L40" s="91">
        <v>650</v>
      </c>
      <c r="M40" s="91"/>
      <c r="N40" s="91"/>
      <c r="O40" s="91"/>
      <c r="P40" s="91">
        <v>100</v>
      </c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>
        <v>1799</v>
      </c>
      <c r="AD40" s="91"/>
      <c r="AE40" s="91"/>
      <c r="AF40" s="91"/>
      <c r="AG40" s="91"/>
      <c r="AH40" s="91"/>
      <c r="AI40" s="91">
        <v>1799</v>
      </c>
      <c r="AJ40" s="163"/>
      <c r="AK40" s="540">
        <v>500</v>
      </c>
      <c r="AL40" s="91">
        <f>IF(AL1&lt;&gt;AK1, AK40*1.01, AK40)</f>
        <v>500</v>
      </c>
      <c r="AM40" s="163">
        <f t="shared" ref="AM40:CX40" si="75">IF(AM1&lt;&gt;AL1, AL40*1.01, AL40)</f>
        <v>500</v>
      </c>
      <c r="AN40" s="91">
        <f t="shared" si="75"/>
        <v>505</v>
      </c>
      <c r="AO40" s="91">
        <f t="shared" si="75"/>
        <v>505</v>
      </c>
      <c r="AP40" s="91">
        <f t="shared" si="75"/>
        <v>505</v>
      </c>
      <c r="AQ40" s="91">
        <f t="shared" si="75"/>
        <v>505</v>
      </c>
      <c r="AR40" s="91">
        <f t="shared" si="75"/>
        <v>505</v>
      </c>
      <c r="AS40" s="91">
        <f t="shared" si="75"/>
        <v>505</v>
      </c>
      <c r="AT40" s="91">
        <f t="shared" si="75"/>
        <v>505</v>
      </c>
      <c r="AU40" s="91">
        <f t="shared" si="75"/>
        <v>505</v>
      </c>
      <c r="AV40" s="91">
        <f t="shared" si="75"/>
        <v>505</v>
      </c>
      <c r="AW40" s="91">
        <f t="shared" si="75"/>
        <v>505</v>
      </c>
      <c r="AX40" s="91">
        <f t="shared" si="75"/>
        <v>505</v>
      </c>
      <c r="AY40" s="163">
        <f t="shared" si="75"/>
        <v>505</v>
      </c>
      <c r="AZ40" s="91">
        <f t="shared" si="75"/>
        <v>510.05</v>
      </c>
      <c r="BA40" s="91">
        <f t="shared" si="75"/>
        <v>510.05</v>
      </c>
      <c r="BB40" s="91">
        <f t="shared" si="75"/>
        <v>510.05</v>
      </c>
      <c r="BC40" s="91">
        <f t="shared" si="75"/>
        <v>510.05</v>
      </c>
      <c r="BD40" s="91">
        <f t="shared" si="75"/>
        <v>510.05</v>
      </c>
      <c r="BE40" s="91">
        <f t="shared" si="75"/>
        <v>510.05</v>
      </c>
      <c r="BF40" s="91">
        <f t="shared" si="75"/>
        <v>510.05</v>
      </c>
      <c r="BG40" s="91">
        <f t="shared" si="75"/>
        <v>510.05</v>
      </c>
      <c r="BH40" s="91">
        <f t="shared" si="75"/>
        <v>510.05</v>
      </c>
      <c r="BI40" s="91">
        <f t="shared" si="75"/>
        <v>510.05</v>
      </c>
      <c r="BJ40" s="91">
        <f t="shared" si="75"/>
        <v>510.05</v>
      </c>
      <c r="BK40" s="163">
        <f t="shared" si="75"/>
        <v>510.05</v>
      </c>
      <c r="BL40" s="91">
        <f t="shared" si="75"/>
        <v>515.15049999999997</v>
      </c>
      <c r="BM40" s="91">
        <f t="shared" si="75"/>
        <v>515.15049999999997</v>
      </c>
      <c r="BN40" s="91">
        <f t="shared" si="75"/>
        <v>515.15049999999997</v>
      </c>
      <c r="BO40" s="91">
        <f t="shared" si="75"/>
        <v>515.15049999999997</v>
      </c>
      <c r="BP40" s="91">
        <f t="shared" si="75"/>
        <v>515.15049999999997</v>
      </c>
      <c r="BQ40" s="91">
        <f t="shared" si="75"/>
        <v>515.15049999999997</v>
      </c>
      <c r="BR40" s="91">
        <f t="shared" si="75"/>
        <v>515.15049999999997</v>
      </c>
      <c r="BS40" s="91">
        <f t="shared" si="75"/>
        <v>515.15049999999997</v>
      </c>
      <c r="BT40" s="91">
        <f t="shared" si="75"/>
        <v>515.15049999999997</v>
      </c>
      <c r="BU40" s="91">
        <f t="shared" si="75"/>
        <v>515.15049999999997</v>
      </c>
      <c r="BV40" s="91">
        <f t="shared" si="75"/>
        <v>515.15049999999997</v>
      </c>
      <c r="BW40" s="163">
        <f t="shared" si="75"/>
        <v>515.15049999999997</v>
      </c>
      <c r="BX40" s="91">
        <f t="shared" si="75"/>
        <v>520.30200500000001</v>
      </c>
      <c r="BY40" s="91">
        <f t="shared" si="75"/>
        <v>520.30200500000001</v>
      </c>
      <c r="BZ40" s="91">
        <f t="shared" si="75"/>
        <v>520.30200500000001</v>
      </c>
      <c r="CA40" s="91">
        <f t="shared" si="75"/>
        <v>520.30200500000001</v>
      </c>
      <c r="CB40" s="91">
        <f t="shared" si="75"/>
        <v>520.30200500000001</v>
      </c>
      <c r="CC40" s="91">
        <f t="shared" si="75"/>
        <v>520.30200500000001</v>
      </c>
      <c r="CD40" s="91">
        <f t="shared" si="75"/>
        <v>520.30200500000001</v>
      </c>
      <c r="CE40" s="91">
        <f t="shared" si="75"/>
        <v>520.30200500000001</v>
      </c>
      <c r="CF40" s="91">
        <f t="shared" si="75"/>
        <v>520.30200500000001</v>
      </c>
      <c r="CG40" s="91">
        <f t="shared" si="75"/>
        <v>520.30200500000001</v>
      </c>
      <c r="CH40" s="91">
        <f t="shared" si="75"/>
        <v>520.30200500000001</v>
      </c>
      <c r="CI40" s="163">
        <f t="shared" si="75"/>
        <v>520.30200500000001</v>
      </c>
      <c r="CJ40" s="91">
        <f t="shared" si="75"/>
        <v>525.50502504999997</v>
      </c>
      <c r="CK40" s="91">
        <f t="shared" si="75"/>
        <v>525.50502504999997</v>
      </c>
      <c r="CL40" s="91">
        <f t="shared" si="75"/>
        <v>525.50502504999997</v>
      </c>
      <c r="CM40" s="91">
        <f t="shared" si="75"/>
        <v>525.50502504999997</v>
      </c>
      <c r="CN40" s="91">
        <f t="shared" si="75"/>
        <v>525.50502504999997</v>
      </c>
      <c r="CO40" s="91">
        <f t="shared" si="75"/>
        <v>525.50502504999997</v>
      </c>
      <c r="CP40" s="91">
        <f t="shared" si="75"/>
        <v>525.50502504999997</v>
      </c>
      <c r="CQ40" s="91">
        <f t="shared" si="75"/>
        <v>525.50502504999997</v>
      </c>
      <c r="CR40" s="91">
        <f t="shared" si="75"/>
        <v>525.50502504999997</v>
      </c>
      <c r="CS40" s="91">
        <f t="shared" si="75"/>
        <v>525.50502504999997</v>
      </c>
      <c r="CT40" s="91">
        <f t="shared" si="75"/>
        <v>525.50502504999997</v>
      </c>
      <c r="CU40" s="163">
        <f t="shared" si="75"/>
        <v>525.50502504999997</v>
      </c>
      <c r="CV40" s="91">
        <f t="shared" si="75"/>
        <v>530.76007530049992</v>
      </c>
      <c r="CW40" s="91">
        <f t="shared" si="75"/>
        <v>530.76007530049992</v>
      </c>
      <c r="CX40" s="91">
        <f t="shared" si="75"/>
        <v>530.76007530049992</v>
      </c>
      <c r="CY40" s="91">
        <f t="shared" ref="CY40:DG40" si="76">IF(CY1&lt;&gt;CX1, CX40*1.01, CX40)</f>
        <v>530.76007530049992</v>
      </c>
      <c r="CZ40" s="91">
        <f t="shared" si="76"/>
        <v>530.76007530049992</v>
      </c>
      <c r="DA40" s="91">
        <f t="shared" si="76"/>
        <v>530.76007530049992</v>
      </c>
      <c r="DB40" s="91">
        <f t="shared" si="76"/>
        <v>530.76007530049992</v>
      </c>
      <c r="DC40" s="91">
        <f t="shared" si="76"/>
        <v>530.76007530049992</v>
      </c>
      <c r="DD40" s="91">
        <f t="shared" si="76"/>
        <v>530.76007530049992</v>
      </c>
      <c r="DE40" s="91">
        <f t="shared" si="76"/>
        <v>530.76007530049992</v>
      </c>
      <c r="DF40" s="91">
        <f t="shared" si="76"/>
        <v>530.76007530049992</v>
      </c>
      <c r="DG40" s="91">
        <f t="shared" si="76"/>
        <v>530.76007530049992</v>
      </c>
    </row>
    <row r="41" spans="1:111" x14ac:dyDescent="0.3">
      <c r="A41" s="3"/>
      <c r="B41" s="4" t="s">
        <v>259</v>
      </c>
      <c r="C41" s="4"/>
      <c r="D41" s="37"/>
      <c r="E41" s="37"/>
      <c r="F41" s="37"/>
      <c r="G41" s="37"/>
      <c r="H41" s="37"/>
      <c r="I41" s="37"/>
      <c r="J41" s="37"/>
      <c r="K41" s="37"/>
      <c r="L41" s="37">
        <v>650</v>
      </c>
      <c r="M41" s="37"/>
      <c r="N41" s="37"/>
      <c r="O41" s="37"/>
      <c r="P41" s="37">
        <f t="shared" ref="P41:AE41" si="77">+SUM(P37:P40)</f>
        <v>100</v>
      </c>
      <c r="Q41" s="37">
        <f t="shared" si="77"/>
        <v>0</v>
      </c>
      <c r="R41" s="37">
        <f t="shared" si="77"/>
        <v>0</v>
      </c>
      <c r="S41" s="37">
        <f t="shared" si="77"/>
        <v>0</v>
      </c>
      <c r="T41" s="37">
        <f t="shared" si="77"/>
        <v>0</v>
      </c>
      <c r="U41" s="37">
        <f t="shared" si="77"/>
        <v>0</v>
      </c>
      <c r="V41" s="37">
        <f t="shared" si="77"/>
        <v>0</v>
      </c>
      <c r="W41" s="37">
        <f t="shared" si="77"/>
        <v>586.36</v>
      </c>
      <c r="X41" s="37">
        <f t="shared" si="77"/>
        <v>119.36</v>
      </c>
      <c r="Y41" s="37">
        <f t="shared" si="77"/>
        <v>0</v>
      </c>
      <c r="Z41" s="37">
        <f t="shared" si="77"/>
        <v>0</v>
      </c>
      <c r="AA41" s="37">
        <f t="shared" si="77"/>
        <v>0</v>
      </c>
      <c r="AB41" s="37">
        <f t="shared" si="77"/>
        <v>0</v>
      </c>
      <c r="AC41" s="37">
        <f t="shared" si="77"/>
        <v>2489.27</v>
      </c>
      <c r="AD41" s="37">
        <f t="shared" si="77"/>
        <v>0</v>
      </c>
      <c r="AE41" s="37">
        <f t="shared" si="77"/>
        <v>0</v>
      </c>
      <c r="AF41" s="37">
        <f t="shared" ref="AF41:AG41" si="78">+SUM(AF37:AF40)</f>
        <v>108.38</v>
      </c>
      <c r="AG41" s="37">
        <f t="shared" si="78"/>
        <v>600</v>
      </c>
      <c r="AH41" s="37">
        <f t="shared" ref="AH41:AI41" si="79">+SUM(AH37:AH40)</f>
        <v>0</v>
      </c>
      <c r="AI41" s="37">
        <f t="shared" si="79"/>
        <v>1799</v>
      </c>
      <c r="AJ41" s="164">
        <f t="shared" ref="AJ41" si="80">+SUM(AJ37:AJ40)</f>
        <v>35</v>
      </c>
      <c r="AK41" s="37">
        <f t="shared" ref="AK41" si="81">+SUM(AK37:AK40)</f>
        <v>600</v>
      </c>
      <c r="AL41" s="37">
        <f t="shared" ref="AL41:BK41" si="82">+SUM(AL37:AL40)</f>
        <v>600</v>
      </c>
      <c r="AM41" s="164">
        <f t="shared" si="82"/>
        <v>600</v>
      </c>
      <c r="AN41" s="37">
        <f t="shared" si="82"/>
        <v>605</v>
      </c>
      <c r="AO41" s="37">
        <f t="shared" si="82"/>
        <v>605</v>
      </c>
      <c r="AP41" s="37">
        <f t="shared" si="82"/>
        <v>605</v>
      </c>
      <c r="AQ41" s="37">
        <f t="shared" si="82"/>
        <v>605</v>
      </c>
      <c r="AR41" s="37">
        <f t="shared" si="82"/>
        <v>605</v>
      </c>
      <c r="AS41" s="37">
        <f t="shared" si="82"/>
        <v>605</v>
      </c>
      <c r="AT41" s="37">
        <f t="shared" si="82"/>
        <v>605</v>
      </c>
      <c r="AU41" s="37">
        <f t="shared" si="82"/>
        <v>605</v>
      </c>
      <c r="AV41" s="37">
        <f t="shared" si="82"/>
        <v>605</v>
      </c>
      <c r="AW41" s="37">
        <f t="shared" si="82"/>
        <v>605</v>
      </c>
      <c r="AX41" s="37">
        <f t="shared" si="82"/>
        <v>605</v>
      </c>
      <c r="AY41" s="164">
        <f t="shared" si="82"/>
        <v>605</v>
      </c>
      <c r="AZ41" s="37">
        <f t="shared" si="82"/>
        <v>710.05</v>
      </c>
      <c r="BA41" s="37">
        <f t="shared" si="82"/>
        <v>710.05</v>
      </c>
      <c r="BB41" s="37">
        <f t="shared" si="82"/>
        <v>710.05</v>
      </c>
      <c r="BC41" s="37">
        <f t="shared" si="82"/>
        <v>710.05</v>
      </c>
      <c r="BD41" s="37">
        <f t="shared" si="82"/>
        <v>710.05</v>
      </c>
      <c r="BE41" s="37">
        <f t="shared" si="82"/>
        <v>710.05</v>
      </c>
      <c r="BF41" s="37">
        <f t="shared" si="82"/>
        <v>710.05</v>
      </c>
      <c r="BG41" s="37">
        <f t="shared" si="82"/>
        <v>710.05</v>
      </c>
      <c r="BH41" s="37">
        <f t="shared" si="82"/>
        <v>710.05</v>
      </c>
      <c r="BI41" s="37">
        <f t="shared" si="82"/>
        <v>710.05</v>
      </c>
      <c r="BJ41" s="37">
        <f t="shared" si="82"/>
        <v>710.05</v>
      </c>
      <c r="BK41" s="164">
        <f t="shared" si="82"/>
        <v>710.05</v>
      </c>
      <c r="BL41" s="37">
        <f t="shared" ref="BL41" si="83">+SUM(BL37:BL40)</f>
        <v>915.15049999999997</v>
      </c>
      <c r="BM41" s="37">
        <f t="shared" ref="BM41:BW41" si="84">+SUM(BM37:BM40)</f>
        <v>915.15049999999997</v>
      </c>
      <c r="BN41" s="37">
        <f t="shared" si="84"/>
        <v>915.15049999999997</v>
      </c>
      <c r="BO41" s="37">
        <f t="shared" si="84"/>
        <v>915.15049999999997</v>
      </c>
      <c r="BP41" s="37">
        <f t="shared" si="84"/>
        <v>915.15049999999997</v>
      </c>
      <c r="BQ41" s="37">
        <f t="shared" si="84"/>
        <v>915.15049999999997</v>
      </c>
      <c r="BR41" s="37">
        <f t="shared" si="84"/>
        <v>915.15049999999997</v>
      </c>
      <c r="BS41" s="37">
        <f t="shared" si="84"/>
        <v>915.15049999999997</v>
      </c>
      <c r="BT41" s="37">
        <f t="shared" si="84"/>
        <v>915.15049999999997</v>
      </c>
      <c r="BU41" s="37">
        <f t="shared" si="84"/>
        <v>915.15049999999997</v>
      </c>
      <c r="BV41" s="37">
        <f t="shared" si="84"/>
        <v>915.15049999999997</v>
      </c>
      <c r="BW41" s="164">
        <f t="shared" si="84"/>
        <v>915.15049999999997</v>
      </c>
      <c r="BX41" s="37">
        <f t="shared" ref="BX41" si="85">+SUM(BX37:BX40)</f>
        <v>1320.302005</v>
      </c>
      <c r="BY41" s="37">
        <f>+SUM(BY37:BY40)</f>
        <v>1320.302005</v>
      </c>
      <c r="BZ41" s="37">
        <f>+SUM(BZ37:BZ40)</f>
        <v>1320.302005</v>
      </c>
      <c r="CA41" s="37">
        <f>+SUM(CA37:CA40)</f>
        <v>1320.302005</v>
      </c>
      <c r="CB41" s="37">
        <f>+SUM(CB37:CB40)</f>
        <v>1320.302005</v>
      </c>
      <c r="CC41" s="37">
        <f t="shared" ref="CC41:DG41" si="86">+SUM(CC37:CC40)</f>
        <v>1320.302005</v>
      </c>
      <c r="CD41" s="37">
        <f t="shared" si="86"/>
        <v>1320.302005</v>
      </c>
      <c r="CE41" s="37">
        <f t="shared" si="86"/>
        <v>1320.302005</v>
      </c>
      <c r="CF41" s="37">
        <f t="shared" si="86"/>
        <v>1320.302005</v>
      </c>
      <c r="CG41" s="37">
        <f t="shared" si="86"/>
        <v>1320.302005</v>
      </c>
      <c r="CH41" s="37">
        <f t="shared" si="86"/>
        <v>1320.302005</v>
      </c>
      <c r="CI41" s="164">
        <f t="shared" si="86"/>
        <v>1320.302005</v>
      </c>
      <c r="CJ41" s="37">
        <f t="shared" ref="CJ41" si="87">+SUM(CJ37:CJ40)</f>
        <v>2125.5050250499999</v>
      </c>
      <c r="CK41" s="37">
        <f t="shared" si="86"/>
        <v>2125.5050250499999</v>
      </c>
      <c r="CL41" s="37">
        <f t="shared" si="86"/>
        <v>2125.5050250499999</v>
      </c>
      <c r="CM41" s="37">
        <f t="shared" si="86"/>
        <v>2125.5050250499999</v>
      </c>
      <c r="CN41" s="37">
        <f t="shared" si="86"/>
        <v>2125.5050250499999</v>
      </c>
      <c r="CO41" s="37">
        <f t="shared" si="86"/>
        <v>2125.5050250499999</v>
      </c>
      <c r="CP41" s="37">
        <f t="shared" si="86"/>
        <v>2125.5050250499999</v>
      </c>
      <c r="CQ41" s="37">
        <f t="shared" si="86"/>
        <v>2125.5050250499999</v>
      </c>
      <c r="CR41" s="37">
        <f t="shared" si="86"/>
        <v>2125.5050250499999</v>
      </c>
      <c r="CS41" s="37">
        <f t="shared" si="86"/>
        <v>2125.5050250499999</v>
      </c>
      <c r="CT41" s="37">
        <f t="shared" si="86"/>
        <v>2125.5050250499999</v>
      </c>
      <c r="CU41" s="164">
        <f t="shared" si="86"/>
        <v>2125.5050250499999</v>
      </c>
      <c r="CV41" s="37">
        <f t="shared" ref="CV41" si="88">+SUM(CV37:CV40)</f>
        <v>3730.7600753004999</v>
      </c>
      <c r="CW41" s="37">
        <f t="shared" si="86"/>
        <v>3730.7600753004999</v>
      </c>
      <c r="CX41" s="37">
        <f t="shared" si="86"/>
        <v>3730.7600753004999</v>
      </c>
      <c r="CY41" s="37">
        <f t="shared" si="86"/>
        <v>3730.7600753004999</v>
      </c>
      <c r="CZ41" s="37">
        <f t="shared" si="86"/>
        <v>3730.7600753004999</v>
      </c>
      <c r="DA41" s="37">
        <f t="shared" si="86"/>
        <v>3730.7600753004999</v>
      </c>
      <c r="DB41" s="37">
        <f t="shared" si="86"/>
        <v>3730.7600753004999</v>
      </c>
      <c r="DC41" s="37">
        <f t="shared" si="86"/>
        <v>3730.7600753004999</v>
      </c>
      <c r="DD41" s="37">
        <f t="shared" si="86"/>
        <v>3730.7600753004999</v>
      </c>
      <c r="DE41" s="37">
        <f t="shared" si="86"/>
        <v>3730.7600753004999</v>
      </c>
      <c r="DF41" s="37">
        <f t="shared" si="86"/>
        <v>3730.7600753004999</v>
      </c>
      <c r="DG41" s="37">
        <f t="shared" si="86"/>
        <v>3730.7600753004999</v>
      </c>
    </row>
    <row r="42" spans="1:111" s="3" customFormat="1" x14ac:dyDescent="0.3">
      <c r="A42"/>
      <c r="B42" s="1" t="s">
        <v>260</v>
      </c>
      <c r="C42" s="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163"/>
      <c r="AK42" s="540">
        <v>0</v>
      </c>
      <c r="AL42" s="91">
        <f t="shared" ref="AL42:CA51" si="89">AK42</f>
        <v>0</v>
      </c>
      <c r="AM42" s="163">
        <f t="shared" si="89"/>
        <v>0</v>
      </c>
      <c r="AN42" s="91">
        <f t="shared" si="89"/>
        <v>0</v>
      </c>
      <c r="AO42" s="91">
        <f t="shared" si="89"/>
        <v>0</v>
      </c>
      <c r="AP42" s="91">
        <f t="shared" si="89"/>
        <v>0</v>
      </c>
      <c r="AQ42" s="91">
        <f t="shared" si="89"/>
        <v>0</v>
      </c>
      <c r="AR42" s="91">
        <f t="shared" si="89"/>
        <v>0</v>
      </c>
      <c r="AS42" s="91">
        <f t="shared" si="89"/>
        <v>0</v>
      </c>
      <c r="AT42" s="91">
        <f t="shared" si="89"/>
        <v>0</v>
      </c>
      <c r="AU42" s="91">
        <f t="shared" si="89"/>
        <v>0</v>
      </c>
      <c r="AV42" s="91">
        <f t="shared" si="89"/>
        <v>0</v>
      </c>
      <c r="AW42" s="91">
        <f t="shared" si="89"/>
        <v>0</v>
      </c>
      <c r="AX42" s="91">
        <f t="shared" si="89"/>
        <v>0</v>
      </c>
      <c r="AY42" s="163">
        <f t="shared" si="89"/>
        <v>0</v>
      </c>
      <c r="AZ42" s="91">
        <f t="shared" si="89"/>
        <v>0</v>
      </c>
      <c r="BA42" s="91">
        <f t="shared" si="89"/>
        <v>0</v>
      </c>
      <c r="BB42" s="91">
        <f t="shared" si="89"/>
        <v>0</v>
      </c>
      <c r="BC42" s="91">
        <f t="shared" si="89"/>
        <v>0</v>
      </c>
      <c r="BD42" s="91">
        <f t="shared" si="89"/>
        <v>0</v>
      </c>
      <c r="BE42" s="91">
        <f t="shared" si="89"/>
        <v>0</v>
      </c>
      <c r="BF42" s="91">
        <f t="shared" si="89"/>
        <v>0</v>
      </c>
      <c r="BG42" s="91">
        <f t="shared" si="89"/>
        <v>0</v>
      </c>
      <c r="BH42" s="91">
        <f t="shared" si="89"/>
        <v>0</v>
      </c>
      <c r="BI42" s="91">
        <f t="shared" si="89"/>
        <v>0</v>
      </c>
      <c r="BJ42" s="91">
        <f t="shared" si="89"/>
        <v>0</v>
      </c>
      <c r="BK42" s="163">
        <f t="shared" si="89"/>
        <v>0</v>
      </c>
      <c r="BL42" s="91">
        <f t="shared" si="89"/>
        <v>0</v>
      </c>
      <c r="BM42" s="91">
        <f t="shared" si="89"/>
        <v>0</v>
      </c>
      <c r="BN42" s="91">
        <f t="shared" si="89"/>
        <v>0</v>
      </c>
      <c r="BO42" s="91">
        <f t="shared" si="89"/>
        <v>0</v>
      </c>
      <c r="BP42" s="91">
        <f t="shared" si="89"/>
        <v>0</v>
      </c>
      <c r="BQ42" s="91">
        <f t="shared" si="89"/>
        <v>0</v>
      </c>
      <c r="BR42" s="91">
        <f t="shared" si="89"/>
        <v>0</v>
      </c>
      <c r="BS42" s="91">
        <f t="shared" si="89"/>
        <v>0</v>
      </c>
      <c r="BT42" s="91">
        <f t="shared" si="89"/>
        <v>0</v>
      </c>
      <c r="BU42" s="91">
        <f t="shared" si="89"/>
        <v>0</v>
      </c>
      <c r="BV42" s="91">
        <f t="shared" si="89"/>
        <v>0</v>
      </c>
      <c r="BW42" s="163">
        <f t="shared" si="89"/>
        <v>0</v>
      </c>
      <c r="BX42" s="91">
        <f t="shared" si="89"/>
        <v>0</v>
      </c>
      <c r="BY42" s="91">
        <f t="shared" si="89"/>
        <v>0</v>
      </c>
      <c r="BZ42" s="91">
        <f t="shared" si="89"/>
        <v>0</v>
      </c>
      <c r="CA42" s="91">
        <f t="shared" si="89"/>
        <v>0</v>
      </c>
      <c r="CB42" s="91">
        <f t="shared" ref="CB42:DG51" si="90">CA42</f>
        <v>0</v>
      </c>
      <c r="CC42" s="91">
        <f t="shared" si="90"/>
        <v>0</v>
      </c>
      <c r="CD42" s="91">
        <f t="shared" si="90"/>
        <v>0</v>
      </c>
      <c r="CE42" s="91">
        <f t="shared" si="90"/>
        <v>0</v>
      </c>
      <c r="CF42" s="91">
        <f t="shared" si="90"/>
        <v>0</v>
      </c>
      <c r="CG42" s="91">
        <f t="shared" si="90"/>
        <v>0</v>
      </c>
      <c r="CH42" s="91">
        <f t="shared" si="90"/>
        <v>0</v>
      </c>
      <c r="CI42" s="163">
        <f t="shared" si="90"/>
        <v>0</v>
      </c>
      <c r="CJ42" s="91">
        <f t="shared" si="90"/>
        <v>0</v>
      </c>
      <c r="CK42" s="91">
        <f t="shared" si="90"/>
        <v>0</v>
      </c>
      <c r="CL42" s="91">
        <f t="shared" si="90"/>
        <v>0</v>
      </c>
      <c r="CM42" s="91">
        <f t="shared" si="90"/>
        <v>0</v>
      </c>
      <c r="CN42" s="91">
        <f t="shared" si="90"/>
        <v>0</v>
      </c>
      <c r="CO42" s="91">
        <f t="shared" si="90"/>
        <v>0</v>
      </c>
      <c r="CP42" s="91">
        <f t="shared" si="90"/>
        <v>0</v>
      </c>
      <c r="CQ42" s="91">
        <f t="shared" si="90"/>
        <v>0</v>
      </c>
      <c r="CR42" s="91">
        <f t="shared" si="90"/>
        <v>0</v>
      </c>
      <c r="CS42" s="91">
        <f t="shared" si="90"/>
        <v>0</v>
      </c>
      <c r="CT42" s="91">
        <f t="shared" si="90"/>
        <v>0</v>
      </c>
      <c r="CU42" s="163">
        <f t="shared" si="90"/>
        <v>0</v>
      </c>
      <c r="CV42" s="91">
        <f t="shared" si="90"/>
        <v>0</v>
      </c>
      <c r="CW42" s="91">
        <f t="shared" si="90"/>
        <v>0</v>
      </c>
      <c r="CX42" s="91">
        <f t="shared" si="90"/>
        <v>0</v>
      </c>
      <c r="CY42" s="91">
        <f t="shared" si="90"/>
        <v>0</v>
      </c>
      <c r="CZ42" s="91">
        <f t="shared" si="90"/>
        <v>0</v>
      </c>
      <c r="DA42" s="91">
        <f t="shared" si="90"/>
        <v>0</v>
      </c>
      <c r="DB42" s="91">
        <f t="shared" si="90"/>
        <v>0</v>
      </c>
      <c r="DC42" s="91">
        <f t="shared" si="90"/>
        <v>0</v>
      </c>
      <c r="DD42" s="91">
        <f t="shared" si="90"/>
        <v>0</v>
      </c>
      <c r="DE42" s="91">
        <f t="shared" si="90"/>
        <v>0</v>
      </c>
      <c r="DF42" s="91">
        <f t="shared" si="90"/>
        <v>0</v>
      </c>
      <c r="DG42" s="91">
        <f t="shared" si="90"/>
        <v>0</v>
      </c>
    </row>
    <row r="43" spans="1:111" x14ac:dyDescent="0.3">
      <c r="B43" s="1" t="s">
        <v>497</v>
      </c>
      <c r="C43" s="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163"/>
      <c r="AK43" s="540"/>
      <c r="AL43" s="91"/>
      <c r="AM43" s="163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163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163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163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163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163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</row>
    <row r="44" spans="1:111" x14ac:dyDescent="0.3">
      <c r="B44" s="1" t="s">
        <v>502</v>
      </c>
      <c r="C44" s="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163"/>
      <c r="AK44" s="540"/>
      <c r="AL44" s="91"/>
      <c r="AM44" s="163"/>
      <c r="AN44" s="540">
        <f>2*12500</f>
        <v>25000</v>
      </c>
      <c r="AO44" s="91">
        <f t="shared" ref="AO44:AY44" si="91">2*12500</f>
        <v>25000</v>
      </c>
      <c r="AP44" s="91">
        <f t="shared" si="91"/>
        <v>25000</v>
      </c>
      <c r="AQ44" s="91">
        <f t="shared" si="91"/>
        <v>25000</v>
      </c>
      <c r="AR44" s="91">
        <f t="shared" si="91"/>
        <v>25000</v>
      </c>
      <c r="AS44" s="91">
        <f t="shared" si="91"/>
        <v>25000</v>
      </c>
      <c r="AT44" s="91">
        <f t="shared" si="91"/>
        <v>25000</v>
      </c>
      <c r="AU44" s="91">
        <f t="shared" si="91"/>
        <v>25000</v>
      </c>
      <c r="AV44" s="91">
        <f t="shared" si="91"/>
        <v>25000</v>
      </c>
      <c r="AW44" s="91">
        <f t="shared" si="91"/>
        <v>25000</v>
      </c>
      <c r="AX44" s="91">
        <f t="shared" si="91"/>
        <v>25000</v>
      </c>
      <c r="AY44" s="163">
        <f t="shared" si="91"/>
        <v>25000</v>
      </c>
      <c r="AZ44" s="91">
        <f t="shared" ref="AZ44:CE44" si="92">+IF(AZ1&lt;&gt;AY1, AY44*1.05, AY44)</f>
        <v>26250</v>
      </c>
      <c r="BA44" s="91">
        <f t="shared" si="92"/>
        <v>26250</v>
      </c>
      <c r="BB44" s="91">
        <f t="shared" si="92"/>
        <v>26250</v>
      </c>
      <c r="BC44" s="91">
        <f t="shared" si="92"/>
        <v>26250</v>
      </c>
      <c r="BD44" s="91">
        <f t="shared" si="92"/>
        <v>26250</v>
      </c>
      <c r="BE44" s="91">
        <f t="shared" si="92"/>
        <v>26250</v>
      </c>
      <c r="BF44" s="91">
        <f t="shared" si="92"/>
        <v>26250</v>
      </c>
      <c r="BG44" s="91">
        <f t="shared" si="92"/>
        <v>26250</v>
      </c>
      <c r="BH44" s="91">
        <f t="shared" si="92"/>
        <v>26250</v>
      </c>
      <c r="BI44" s="91">
        <f t="shared" si="92"/>
        <v>26250</v>
      </c>
      <c r="BJ44" s="91">
        <f t="shared" si="92"/>
        <v>26250</v>
      </c>
      <c r="BK44" s="163">
        <f t="shared" si="92"/>
        <v>26250</v>
      </c>
      <c r="BL44" s="91">
        <f t="shared" si="92"/>
        <v>27562.5</v>
      </c>
      <c r="BM44" s="91">
        <f t="shared" si="92"/>
        <v>27562.5</v>
      </c>
      <c r="BN44" s="91">
        <f t="shared" si="92"/>
        <v>27562.5</v>
      </c>
      <c r="BO44" s="91">
        <f t="shared" si="92"/>
        <v>27562.5</v>
      </c>
      <c r="BP44" s="91">
        <f t="shared" si="92"/>
        <v>27562.5</v>
      </c>
      <c r="BQ44" s="91">
        <f t="shared" si="92"/>
        <v>27562.5</v>
      </c>
      <c r="BR44" s="91">
        <f t="shared" si="92"/>
        <v>27562.5</v>
      </c>
      <c r="BS44" s="91">
        <f t="shared" si="92"/>
        <v>27562.5</v>
      </c>
      <c r="BT44" s="91">
        <f t="shared" si="92"/>
        <v>27562.5</v>
      </c>
      <c r="BU44" s="91">
        <f t="shared" si="92"/>
        <v>27562.5</v>
      </c>
      <c r="BV44" s="91">
        <f t="shared" si="92"/>
        <v>27562.5</v>
      </c>
      <c r="BW44" s="163">
        <f t="shared" si="92"/>
        <v>27562.5</v>
      </c>
      <c r="BX44" s="91">
        <f t="shared" si="92"/>
        <v>28940.625</v>
      </c>
      <c r="BY44" s="91">
        <f t="shared" si="92"/>
        <v>28940.625</v>
      </c>
      <c r="BZ44" s="91">
        <f t="shared" si="92"/>
        <v>28940.625</v>
      </c>
      <c r="CA44" s="91">
        <f t="shared" si="92"/>
        <v>28940.625</v>
      </c>
      <c r="CB44" s="91">
        <f t="shared" si="92"/>
        <v>28940.625</v>
      </c>
      <c r="CC44" s="91">
        <f t="shared" si="92"/>
        <v>28940.625</v>
      </c>
      <c r="CD44" s="91">
        <f t="shared" si="92"/>
        <v>28940.625</v>
      </c>
      <c r="CE44" s="91">
        <f t="shared" si="92"/>
        <v>28940.625</v>
      </c>
      <c r="CF44" s="91">
        <f t="shared" ref="CF44:DG44" si="93">+IF(CF1&lt;&gt;CE1, CE44*1.05, CE44)</f>
        <v>28940.625</v>
      </c>
      <c r="CG44" s="91">
        <f t="shared" si="93"/>
        <v>28940.625</v>
      </c>
      <c r="CH44" s="91">
        <f t="shared" si="93"/>
        <v>28940.625</v>
      </c>
      <c r="CI44" s="163">
        <f t="shared" si="93"/>
        <v>28940.625</v>
      </c>
      <c r="CJ44" s="91">
        <f t="shared" si="93"/>
        <v>30387.65625</v>
      </c>
      <c r="CK44" s="91">
        <f t="shared" si="93"/>
        <v>30387.65625</v>
      </c>
      <c r="CL44" s="91">
        <f t="shared" si="93"/>
        <v>30387.65625</v>
      </c>
      <c r="CM44" s="91">
        <f t="shared" si="93"/>
        <v>30387.65625</v>
      </c>
      <c r="CN44" s="91">
        <f t="shared" si="93"/>
        <v>30387.65625</v>
      </c>
      <c r="CO44" s="91">
        <f t="shared" si="93"/>
        <v>30387.65625</v>
      </c>
      <c r="CP44" s="91">
        <f t="shared" si="93"/>
        <v>30387.65625</v>
      </c>
      <c r="CQ44" s="91">
        <f t="shared" si="93"/>
        <v>30387.65625</v>
      </c>
      <c r="CR44" s="91">
        <f t="shared" si="93"/>
        <v>30387.65625</v>
      </c>
      <c r="CS44" s="91">
        <f t="shared" si="93"/>
        <v>30387.65625</v>
      </c>
      <c r="CT44" s="91">
        <f t="shared" si="93"/>
        <v>30387.65625</v>
      </c>
      <c r="CU44" s="163">
        <f t="shared" si="93"/>
        <v>30387.65625</v>
      </c>
      <c r="CV44" s="91">
        <f t="shared" si="93"/>
        <v>31907.0390625</v>
      </c>
      <c r="CW44" s="91">
        <f t="shared" si="93"/>
        <v>31907.0390625</v>
      </c>
      <c r="CX44" s="91">
        <f t="shared" si="93"/>
        <v>31907.0390625</v>
      </c>
      <c r="CY44" s="91">
        <f t="shared" si="93"/>
        <v>31907.0390625</v>
      </c>
      <c r="CZ44" s="91">
        <f t="shared" si="93"/>
        <v>31907.0390625</v>
      </c>
      <c r="DA44" s="91">
        <f t="shared" si="93"/>
        <v>31907.0390625</v>
      </c>
      <c r="DB44" s="91">
        <f t="shared" si="93"/>
        <v>31907.0390625</v>
      </c>
      <c r="DC44" s="91">
        <f t="shared" si="93"/>
        <v>31907.0390625</v>
      </c>
      <c r="DD44" s="91">
        <f t="shared" si="93"/>
        <v>31907.0390625</v>
      </c>
      <c r="DE44" s="91">
        <f t="shared" si="93"/>
        <v>31907.0390625</v>
      </c>
      <c r="DF44" s="91">
        <f t="shared" si="93"/>
        <v>31907.0390625</v>
      </c>
      <c r="DG44" s="91">
        <f t="shared" si="93"/>
        <v>31907.0390625</v>
      </c>
    </row>
    <row r="45" spans="1:111" x14ac:dyDescent="0.3">
      <c r="B45" s="1" t="s">
        <v>498</v>
      </c>
      <c r="C45" s="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163"/>
      <c r="AK45" s="540"/>
      <c r="AL45" s="91"/>
      <c r="AM45" s="163"/>
      <c r="AN45" s="540">
        <f>+AN44*AN48</f>
        <v>1912.5</v>
      </c>
      <c r="AO45" s="91">
        <f t="shared" ref="AO45:AY45" si="94">+AO44*AO48</f>
        <v>1912.5</v>
      </c>
      <c r="AP45" s="91">
        <f t="shared" si="94"/>
        <v>1912.5</v>
      </c>
      <c r="AQ45" s="91">
        <f t="shared" si="94"/>
        <v>1912.5</v>
      </c>
      <c r="AR45" s="91">
        <f t="shared" si="94"/>
        <v>1912.5</v>
      </c>
      <c r="AS45" s="91">
        <f t="shared" si="94"/>
        <v>1912.5</v>
      </c>
      <c r="AT45" s="91">
        <f t="shared" si="94"/>
        <v>1912.5</v>
      </c>
      <c r="AU45" s="91">
        <f t="shared" si="94"/>
        <v>1912.5</v>
      </c>
      <c r="AV45" s="91">
        <f t="shared" si="94"/>
        <v>1912.5</v>
      </c>
      <c r="AW45" s="91">
        <f t="shared" si="94"/>
        <v>1912.5</v>
      </c>
      <c r="AX45" s="91">
        <f t="shared" si="94"/>
        <v>1912.5</v>
      </c>
      <c r="AY45" s="163">
        <f t="shared" si="94"/>
        <v>1912.5</v>
      </c>
      <c r="AZ45" s="91">
        <f t="shared" ref="AZ45" si="95">+AZ44*AZ48</f>
        <v>2008.125</v>
      </c>
      <c r="BA45" s="91">
        <f t="shared" ref="BA45" si="96">+BA44*BA48</f>
        <v>2008.125</v>
      </c>
      <c r="BB45" s="91">
        <f t="shared" ref="BB45" si="97">+BB44*BB48</f>
        <v>2008.125</v>
      </c>
      <c r="BC45" s="91">
        <f t="shared" ref="BC45" si="98">+BC44*BC48</f>
        <v>2008.125</v>
      </c>
      <c r="BD45" s="91">
        <f t="shared" ref="BD45" si="99">+BD44*BD48</f>
        <v>2008.125</v>
      </c>
      <c r="BE45" s="91">
        <f t="shared" ref="BE45" si="100">+BE44*BE48</f>
        <v>2008.125</v>
      </c>
      <c r="BF45" s="91">
        <f t="shared" ref="BF45" si="101">+BF44*BF48</f>
        <v>2008.125</v>
      </c>
      <c r="BG45" s="91">
        <f t="shared" ref="BG45" si="102">+BG44*BG48</f>
        <v>2008.125</v>
      </c>
      <c r="BH45" s="91">
        <f t="shared" ref="BH45" si="103">+BH44*BH48</f>
        <v>2008.125</v>
      </c>
      <c r="BI45" s="91">
        <f t="shared" ref="BI45" si="104">+BI44*BI48</f>
        <v>2008.125</v>
      </c>
      <c r="BJ45" s="91">
        <f t="shared" ref="BJ45" si="105">+BJ44*BJ48</f>
        <v>2008.125</v>
      </c>
      <c r="BK45" s="163">
        <f t="shared" ref="BK45" si="106">+BK44*BK48</f>
        <v>2008.125</v>
      </c>
      <c r="BL45" s="91">
        <f t="shared" ref="BL45" si="107">+BL44*BL48</f>
        <v>2108.53125</v>
      </c>
      <c r="BM45" s="91">
        <f t="shared" ref="BM45" si="108">+BM44*BM48</f>
        <v>2108.53125</v>
      </c>
      <c r="BN45" s="91">
        <f t="shared" ref="BN45" si="109">+BN44*BN48</f>
        <v>2108.53125</v>
      </c>
      <c r="BO45" s="91">
        <f t="shared" ref="BO45" si="110">+BO44*BO48</f>
        <v>2108.53125</v>
      </c>
      <c r="BP45" s="91">
        <f t="shared" ref="BP45" si="111">+BP44*BP48</f>
        <v>2108.53125</v>
      </c>
      <c r="BQ45" s="91">
        <f t="shared" ref="BQ45" si="112">+BQ44*BQ48</f>
        <v>2108.53125</v>
      </c>
      <c r="BR45" s="91">
        <f t="shared" ref="BR45" si="113">+BR44*BR48</f>
        <v>2108.53125</v>
      </c>
      <c r="BS45" s="91">
        <f t="shared" ref="BS45" si="114">+BS44*BS48</f>
        <v>2108.53125</v>
      </c>
      <c r="BT45" s="91">
        <f t="shared" ref="BT45" si="115">+BT44*BT48</f>
        <v>2108.53125</v>
      </c>
      <c r="BU45" s="91">
        <f t="shared" ref="BU45" si="116">+BU44*BU48</f>
        <v>2108.53125</v>
      </c>
      <c r="BV45" s="91">
        <f t="shared" ref="BV45" si="117">+BV44*BV48</f>
        <v>2108.53125</v>
      </c>
      <c r="BW45" s="163">
        <f t="shared" ref="BW45" si="118">+BW44*BW48</f>
        <v>2108.53125</v>
      </c>
      <c r="BX45" s="91">
        <f t="shared" ref="BX45" si="119">+BX44*BX48</f>
        <v>2213.9578124999998</v>
      </c>
      <c r="BY45" s="91">
        <f t="shared" ref="BY45" si="120">+BY44*BY48</f>
        <v>2213.9578124999998</v>
      </c>
      <c r="BZ45" s="91">
        <f t="shared" ref="BZ45" si="121">+BZ44*BZ48</f>
        <v>2213.9578124999998</v>
      </c>
      <c r="CA45" s="91">
        <f t="shared" ref="CA45" si="122">+CA44*CA48</f>
        <v>2213.9578124999998</v>
      </c>
      <c r="CB45" s="91">
        <f t="shared" ref="CB45" si="123">+CB44*CB48</f>
        <v>2213.9578124999998</v>
      </c>
      <c r="CC45" s="91">
        <f t="shared" ref="CC45" si="124">+CC44*CC48</f>
        <v>2213.9578124999998</v>
      </c>
      <c r="CD45" s="91">
        <f t="shared" ref="CD45" si="125">+CD44*CD48</f>
        <v>2213.9578124999998</v>
      </c>
      <c r="CE45" s="91">
        <f t="shared" ref="CE45" si="126">+CE44*CE48</f>
        <v>2213.9578124999998</v>
      </c>
      <c r="CF45" s="91">
        <f t="shared" ref="CF45" si="127">+CF44*CF48</f>
        <v>2213.9578124999998</v>
      </c>
      <c r="CG45" s="91">
        <f t="shared" ref="CG45" si="128">+CG44*CG48</f>
        <v>2213.9578124999998</v>
      </c>
      <c r="CH45" s="91">
        <f t="shared" ref="CH45" si="129">+CH44*CH48</f>
        <v>2213.9578124999998</v>
      </c>
      <c r="CI45" s="163">
        <f t="shared" ref="CI45" si="130">+CI44*CI48</f>
        <v>2213.9578124999998</v>
      </c>
      <c r="CJ45" s="91">
        <f t="shared" ref="CJ45" si="131">+CJ44*CJ48</f>
        <v>2324.6557031249999</v>
      </c>
      <c r="CK45" s="91">
        <f t="shared" ref="CK45" si="132">+CK44*CK48</f>
        <v>2324.6557031249999</v>
      </c>
      <c r="CL45" s="91">
        <f t="shared" ref="CL45" si="133">+CL44*CL48</f>
        <v>2324.6557031249999</v>
      </c>
      <c r="CM45" s="91">
        <f t="shared" ref="CM45" si="134">+CM44*CM48</f>
        <v>2324.6557031249999</v>
      </c>
      <c r="CN45" s="91">
        <f t="shared" ref="CN45" si="135">+CN44*CN48</f>
        <v>2324.6557031249999</v>
      </c>
      <c r="CO45" s="91">
        <f t="shared" ref="CO45" si="136">+CO44*CO48</f>
        <v>2324.6557031249999</v>
      </c>
      <c r="CP45" s="91">
        <f t="shared" ref="CP45" si="137">+CP44*CP48</f>
        <v>2324.6557031249999</v>
      </c>
      <c r="CQ45" s="91">
        <f t="shared" ref="CQ45" si="138">+CQ44*CQ48</f>
        <v>2324.6557031249999</v>
      </c>
      <c r="CR45" s="91">
        <f t="shared" ref="CR45" si="139">+CR44*CR48</f>
        <v>2324.6557031249999</v>
      </c>
      <c r="CS45" s="91">
        <f t="shared" ref="CS45" si="140">+CS44*CS48</f>
        <v>2324.6557031249999</v>
      </c>
      <c r="CT45" s="91">
        <f t="shared" ref="CT45" si="141">+CT44*CT48</f>
        <v>2324.6557031249999</v>
      </c>
      <c r="CU45" s="163">
        <f t="shared" ref="CU45" si="142">+CU44*CU48</f>
        <v>2324.6557031249999</v>
      </c>
      <c r="CV45" s="91">
        <f t="shared" ref="CV45" si="143">+CV44*CV48</f>
        <v>2440.8884882812499</v>
      </c>
      <c r="CW45" s="91">
        <f t="shared" ref="CW45" si="144">+CW44*CW48</f>
        <v>2440.8884882812499</v>
      </c>
      <c r="CX45" s="91">
        <f t="shared" ref="CX45" si="145">+CX44*CX48</f>
        <v>2440.8884882812499</v>
      </c>
      <c r="CY45" s="91">
        <f t="shared" ref="CY45" si="146">+CY44*CY48</f>
        <v>2440.8884882812499</v>
      </c>
      <c r="CZ45" s="91">
        <f t="shared" ref="CZ45" si="147">+CZ44*CZ48</f>
        <v>2440.8884882812499</v>
      </c>
      <c r="DA45" s="91">
        <f t="shared" ref="DA45" si="148">+DA44*DA48</f>
        <v>2440.8884882812499</v>
      </c>
      <c r="DB45" s="91">
        <f t="shared" ref="DB45" si="149">+DB44*DB48</f>
        <v>2440.8884882812499</v>
      </c>
      <c r="DC45" s="91">
        <f t="shared" ref="DC45" si="150">+DC44*DC48</f>
        <v>2440.8884882812499</v>
      </c>
      <c r="DD45" s="91">
        <f t="shared" ref="DD45" si="151">+DD44*DD48</f>
        <v>2440.8884882812499</v>
      </c>
      <c r="DE45" s="91">
        <f t="shared" ref="DE45" si="152">+DE44*DE48</f>
        <v>2440.8884882812499</v>
      </c>
      <c r="DF45" s="91">
        <f t="shared" ref="DF45" si="153">+DF44*DF48</f>
        <v>2440.8884882812499</v>
      </c>
      <c r="DG45" s="91">
        <f t="shared" ref="DG45" si="154">+DG44*DG48</f>
        <v>2440.8884882812499</v>
      </c>
    </row>
    <row r="46" spans="1:111" x14ac:dyDescent="0.3">
      <c r="B46" s="1" t="s">
        <v>499</v>
      </c>
      <c r="C46" s="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163"/>
      <c r="AK46" s="540"/>
      <c r="AL46" s="91"/>
      <c r="AM46" s="163"/>
      <c r="AN46" s="540">
        <f>+AN44*AN49</f>
        <v>1125</v>
      </c>
      <c r="AO46" s="91">
        <f t="shared" ref="AO46:AY46" si="155">+AO44*AO49</f>
        <v>1125</v>
      </c>
      <c r="AP46" s="91">
        <f t="shared" si="155"/>
        <v>1125</v>
      </c>
      <c r="AQ46" s="91">
        <f t="shared" si="155"/>
        <v>1125</v>
      </c>
      <c r="AR46" s="91">
        <f t="shared" si="155"/>
        <v>1125</v>
      </c>
      <c r="AS46" s="91">
        <f t="shared" si="155"/>
        <v>1125</v>
      </c>
      <c r="AT46" s="91">
        <f t="shared" si="155"/>
        <v>1125</v>
      </c>
      <c r="AU46" s="91">
        <f t="shared" si="155"/>
        <v>1125</v>
      </c>
      <c r="AV46" s="91">
        <f t="shared" si="155"/>
        <v>1125</v>
      </c>
      <c r="AW46" s="91">
        <f t="shared" si="155"/>
        <v>1125</v>
      </c>
      <c r="AX46" s="91">
        <f t="shared" si="155"/>
        <v>1125</v>
      </c>
      <c r="AY46" s="163">
        <f t="shared" si="155"/>
        <v>1125</v>
      </c>
      <c r="AZ46" s="91">
        <f t="shared" ref="AZ46:DG46" si="156">+AZ44*AZ49</f>
        <v>1181.25</v>
      </c>
      <c r="BA46" s="91">
        <f t="shared" si="156"/>
        <v>1181.25</v>
      </c>
      <c r="BB46" s="91">
        <f t="shared" si="156"/>
        <v>1181.25</v>
      </c>
      <c r="BC46" s="91">
        <f t="shared" si="156"/>
        <v>1181.25</v>
      </c>
      <c r="BD46" s="91">
        <f t="shared" si="156"/>
        <v>1181.25</v>
      </c>
      <c r="BE46" s="91">
        <f t="shared" si="156"/>
        <v>1181.25</v>
      </c>
      <c r="BF46" s="91">
        <f t="shared" si="156"/>
        <v>1181.25</v>
      </c>
      <c r="BG46" s="91">
        <f t="shared" si="156"/>
        <v>1181.25</v>
      </c>
      <c r="BH46" s="91">
        <f t="shared" si="156"/>
        <v>1181.25</v>
      </c>
      <c r="BI46" s="91">
        <f t="shared" si="156"/>
        <v>1181.25</v>
      </c>
      <c r="BJ46" s="91">
        <f t="shared" si="156"/>
        <v>1181.25</v>
      </c>
      <c r="BK46" s="163">
        <f t="shared" si="156"/>
        <v>1181.25</v>
      </c>
      <c r="BL46" s="91">
        <f t="shared" si="156"/>
        <v>1240.3125</v>
      </c>
      <c r="BM46" s="91">
        <f t="shared" si="156"/>
        <v>1240.3125</v>
      </c>
      <c r="BN46" s="91">
        <f t="shared" si="156"/>
        <v>1240.3125</v>
      </c>
      <c r="BO46" s="91">
        <f t="shared" si="156"/>
        <v>1240.3125</v>
      </c>
      <c r="BP46" s="91">
        <f t="shared" si="156"/>
        <v>1240.3125</v>
      </c>
      <c r="BQ46" s="91">
        <f t="shared" si="156"/>
        <v>1240.3125</v>
      </c>
      <c r="BR46" s="91">
        <f t="shared" si="156"/>
        <v>1240.3125</v>
      </c>
      <c r="BS46" s="91">
        <f t="shared" si="156"/>
        <v>1240.3125</v>
      </c>
      <c r="BT46" s="91">
        <f t="shared" si="156"/>
        <v>1240.3125</v>
      </c>
      <c r="BU46" s="91">
        <f t="shared" si="156"/>
        <v>1240.3125</v>
      </c>
      <c r="BV46" s="91">
        <f t="shared" si="156"/>
        <v>1240.3125</v>
      </c>
      <c r="BW46" s="163">
        <f t="shared" si="156"/>
        <v>1240.3125</v>
      </c>
      <c r="BX46" s="91">
        <f t="shared" si="156"/>
        <v>1302.328125</v>
      </c>
      <c r="BY46" s="91">
        <f t="shared" si="156"/>
        <v>1302.328125</v>
      </c>
      <c r="BZ46" s="91">
        <f t="shared" si="156"/>
        <v>1302.328125</v>
      </c>
      <c r="CA46" s="91">
        <f t="shared" si="156"/>
        <v>1302.328125</v>
      </c>
      <c r="CB46" s="91">
        <f t="shared" si="156"/>
        <v>1302.328125</v>
      </c>
      <c r="CC46" s="91">
        <f t="shared" si="156"/>
        <v>1302.328125</v>
      </c>
      <c r="CD46" s="91">
        <f t="shared" si="156"/>
        <v>1302.328125</v>
      </c>
      <c r="CE46" s="91">
        <f t="shared" si="156"/>
        <v>1302.328125</v>
      </c>
      <c r="CF46" s="91">
        <f t="shared" si="156"/>
        <v>1302.328125</v>
      </c>
      <c r="CG46" s="91">
        <f t="shared" si="156"/>
        <v>1302.328125</v>
      </c>
      <c r="CH46" s="91">
        <f t="shared" si="156"/>
        <v>1302.328125</v>
      </c>
      <c r="CI46" s="163">
        <f t="shared" si="156"/>
        <v>1302.328125</v>
      </c>
      <c r="CJ46" s="91">
        <f t="shared" si="156"/>
        <v>1367.44453125</v>
      </c>
      <c r="CK46" s="91">
        <f t="shared" si="156"/>
        <v>1367.44453125</v>
      </c>
      <c r="CL46" s="91">
        <f t="shared" si="156"/>
        <v>1367.44453125</v>
      </c>
      <c r="CM46" s="91">
        <f t="shared" si="156"/>
        <v>1367.44453125</v>
      </c>
      <c r="CN46" s="91">
        <f t="shared" si="156"/>
        <v>1367.44453125</v>
      </c>
      <c r="CO46" s="91">
        <f t="shared" si="156"/>
        <v>1367.44453125</v>
      </c>
      <c r="CP46" s="91">
        <f t="shared" si="156"/>
        <v>1367.44453125</v>
      </c>
      <c r="CQ46" s="91">
        <f t="shared" si="156"/>
        <v>1367.44453125</v>
      </c>
      <c r="CR46" s="91">
        <f t="shared" si="156"/>
        <v>1367.44453125</v>
      </c>
      <c r="CS46" s="91">
        <f t="shared" si="156"/>
        <v>1367.44453125</v>
      </c>
      <c r="CT46" s="91">
        <f t="shared" si="156"/>
        <v>1367.44453125</v>
      </c>
      <c r="CU46" s="163">
        <f t="shared" si="156"/>
        <v>1367.44453125</v>
      </c>
      <c r="CV46" s="91">
        <f t="shared" si="156"/>
        <v>1435.8167578124999</v>
      </c>
      <c r="CW46" s="91">
        <f t="shared" si="156"/>
        <v>1435.8167578124999</v>
      </c>
      <c r="CX46" s="91">
        <f t="shared" si="156"/>
        <v>1435.8167578124999</v>
      </c>
      <c r="CY46" s="91">
        <f t="shared" si="156"/>
        <v>1435.8167578124999</v>
      </c>
      <c r="CZ46" s="91">
        <f t="shared" si="156"/>
        <v>1435.8167578124999</v>
      </c>
      <c r="DA46" s="91">
        <f t="shared" si="156"/>
        <v>1435.8167578124999</v>
      </c>
      <c r="DB46" s="91">
        <f t="shared" si="156"/>
        <v>1435.8167578124999</v>
      </c>
      <c r="DC46" s="91">
        <f t="shared" si="156"/>
        <v>1435.8167578124999</v>
      </c>
      <c r="DD46" s="91">
        <f t="shared" si="156"/>
        <v>1435.8167578124999</v>
      </c>
      <c r="DE46" s="91">
        <f t="shared" si="156"/>
        <v>1435.8167578124999</v>
      </c>
      <c r="DF46" s="91">
        <f t="shared" si="156"/>
        <v>1435.8167578124999</v>
      </c>
      <c r="DG46" s="91">
        <f t="shared" si="156"/>
        <v>1435.8167578124999</v>
      </c>
    </row>
    <row r="47" spans="1:111" x14ac:dyDescent="0.3">
      <c r="A47" s="3"/>
      <c r="B47" s="4" t="s">
        <v>500</v>
      </c>
      <c r="C47" s="4"/>
      <c r="D47" s="37"/>
      <c r="E47" s="37">
        <f t="shared" ref="E47:N47" si="157">SUM(E43:E46)</f>
        <v>0</v>
      </c>
      <c r="F47" s="37">
        <f t="shared" si="157"/>
        <v>0</v>
      </c>
      <c r="G47" s="37">
        <f t="shared" si="157"/>
        <v>0</v>
      </c>
      <c r="H47" s="37">
        <f t="shared" si="157"/>
        <v>0</v>
      </c>
      <c r="I47" s="37">
        <f t="shared" si="157"/>
        <v>0</v>
      </c>
      <c r="J47" s="37">
        <f t="shared" si="157"/>
        <v>0</v>
      </c>
      <c r="K47" s="37">
        <f t="shared" si="157"/>
        <v>0</v>
      </c>
      <c r="L47" s="37">
        <f t="shared" si="157"/>
        <v>0</v>
      </c>
      <c r="M47" s="37">
        <f t="shared" si="157"/>
        <v>0</v>
      </c>
      <c r="N47" s="37">
        <f t="shared" si="157"/>
        <v>0</v>
      </c>
      <c r="O47" s="37">
        <f>SUM(O43:O46)</f>
        <v>0</v>
      </c>
      <c r="P47" s="37">
        <f>SUM(P43:P46)</f>
        <v>0</v>
      </c>
      <c r="Q47" s="37">
        <f t="shared" ref="Q47:CB47" si="158">SUM(Q43:Q46)</f>
        <v>0</v>
      </c>
      <c r="R47" s="37">
        <f t="shared" si="158"/>
        <v>0</v>
      </c>
      <c r="S47" s="37">
        <f t="shared" si="158"/>
        <v>0</v>
      </c>
      <c r="T47" s="37">
        <f t="shared" si="158"/>
        <v>0</v>
      </c>
      <c r="U47" s="37">
        <f t="shared" si="158"/>
        <v>0</v>
      </c>
      <c r="V47" s="37">
        <f t="shared" si="158"/>
        <v>0</v>
      </c>
      <c r="W47" s="37">
        <f t="shared" si="158"/>
        <v>0</v>
      </c>
      <c r="X47" s="37">
        <f t="shared" si="158"/>
        <v>0</v>
      </c>
      <c r="Y47" s="37">
        <f t="shared" si="158"/>
        <v>0</v>
      </c>
      <c r="Z47" s="37">
        <f t="shared" si="158"/>
        <v>0</v>
      </c>
      <c r="AA47" s="37">
        <f t="shared" si="158"/>
        <v>0</v>
      </c>
      <c r="AB47" s="37">
        <f>SUM(AB43:AB46)</f>
        <v>0</v>
      </c>
      <c r="AC47" s="37">
        <f t="shared" si="158"/>
        <v>0</v>
      </c>
      <c r="AD47" s="37">
        <f t="shared" si="158"/>
        <v>0</v>
      </c>
      <c r="AE47" s="37">
        <f t="shared" si="158"/>
        <v>0</v>
      </c>
      <c r="AF47" s="37">
        <f t="shared" si="158"/>
        <v>0</v>
      </c>
      <c r="AG47" s="37">
        <f t="shared" si="158"/>
        <v>0</v>
      </c>
      <c r="AH47" s="37">
        <f t="shared" si="158"/>
        <v>0</v>
      </c>
      <c r="AI47" s="37">
        <f t="shared" si="158"/>
        <v>0</v>
      </c>
      <c r="AJ47" s="164">
        <f t="shared" ref="AJ47" si="159">SUM(AJ43:AJ46)</f>
        <v>0</v>
      </c>
      <c r="AK47" s="541">
        <f t="shared" ref="AK47" si="160">SUM(AK43:AK46)</f>
        <v>0</v>
      </c>
      <c r="AL47" s="37">
        <f t="shared" si="158"/>
        <v>0</v>
      </c>
      <c r="AM47" s="164">
        <f t="shared" si="158"/>
        <v>0</v>
      </c>
      <c r="AN47" s="37">
        <f t="shared" si="158"/>
        <v>28037.5</v>
      </c>
      <c r="AO47" s="37">
        <f t="shared" si="158"/>
        <v>28037.5</v>
      </c>
      <c r="AP47" s="37">
        <f t="shared" si="158"/>
        <v>28037.5</v>
      </c>
      <c r="AQ47" s="37">
        <f t="shared" si="158"/>
        <v>28037.5</v>
      </c>
      <c r="AR47" s="37">
        <f t="shared" si="158"/>
        <v>28037.5</v>
      </c>
      <c r="AS47" s="37">
        <f t="shared" si="158"/>
        <v>28037.5</v>
      </c>
      <c r="AT47" s="37">
        <f t="shared" si="158"/>
        <v>28037.5</v>
      </c>
      <c r="AU47" s="37">
        <f t="shared" si="158"/>
        <v>28037.5</v>
      </c>
      <c r="AV47" s="37">
        <f t="shared" si="158"/>
        <v>28037.5</v>
      </c>
      <c r="AW47" s="37">
        <f t="shared" si="158"/>
        <v>28037.5</v>
      </c>
      <c r="AX47" s="37">
        <f t="shared" si="158"/>
        <v>28037.5</v>
      </c>
      <c r="AY47" s="164">
        <f t="shared" si="158"/>
        <v>28037.5</v>
      </c>
      <c r="AZ47" s="37">
        <f t="shared" si="158"/>
        <v>29439.375</v>
      </c>
      <c r="BA47" s="37">
        <f t="shared" si="158"/>
        <v>29439.375</v>
      </c>
      <c r="BB47" s="37">
        <f t="shared" si="158"/>
        <v>29439.375</v>
      </c>
      <c r="BC47" s="37">
        <f t="shared" si="158"/>
        <v>29439.375</v>
      </c>
      <c r="BD47" s="37">
        <f t="shared" si="158"/>
        <v>29439.375</v>
      </c>
      <c r="BE47" s="37">
        <f t="shared" si="158"/>
        <v>29439.375</v>
      </c>
      <c r="BF47" s="37">
        <f t="shared" si="158"/>
        <v>29439.375</v>
      </c>
      <c r="BG47" s="37">
        <f t="shared" si="158"/>
        <v>29439.375</v>
      </c>
      <c r="BH47" s="37">
        <f t="shared" si="158"/>
        <v>29439.375</v>
      </c>
      <c r="BI47" s="37">
        <f t="shared" si="158"/>
        <v>29439.375</v>
      </c>
      <c r="BJ47" s="37">
        <f t="shared" si="158"/>
        <v>29439.375</v>
      </c>
      <c r="BK47" s="164">
        <f t="shared" si="158"/>
        <v>29439.375</v>
      </c>
      <c r="BL47" s="37">
        <f t="shared" si="158"/>
        <v>30911.34375</v>
      </c>
      <c r="BM47" s="37">
        <f t="shared" si="158"/>
        <v>30911.34375</v>
      </c>
      <c r="BN47" s="37">
        <f t="shared" si="158"/>
        <v>30911.34375</v>
      </c>
      <c r="BO47" s="37">
        <f t="shared" si="158"/>
        <v>30911.34375</v>
      </c>
      <c r="BP47" s="37">
        <f t="shared" si="158"/>
        <v>30911.34375</v>
      </c>
      <c r="BQ47" s="37">
        <f t="shared" si="158"/>
        <v>30911.34375</v>
      </c>
      <c r="BR47" s="37">
        <f t="shared" si="158"/>
        <v>30911.34375</v>
      </c>
      <c r="BS47" s="37">
        <f t="shared" si="158"/>
        <v>30911.34375</v>
      </c>
      <c r="BT47" s="37">
        <f t="shared" si="158"/>
        <v>30911.34375</v>
      </c>
      <c r="BU47" s="37">
        <f t="shared" si="158"/>
        <v>30911.34375</v>
      </c>
      <c r="BV47" s="37">
        <f t="shared" si="158"/>
        <v>30911.34375</v>
      </c>
      <c r="BW47" s="164">
        <f t="shared" si="158"/>
        <v>30911.34375</v>
      </c>
      <c r="BX47" s="37">
        <f t="shared" si="158"/>
        <v>32456.910937500001</v>
      </c>
      <c r="BY47" s="37">
        <f t="shared" si="158"/>
        <v>32456.910937500001</v>
      </c>
      <c r="BZ47" s="37">
        <f t="shared" si="158"/>
        <v>32456.910937500001</v>
      </c>
      <c r="CA47" s="37">
        <f t="shared" si="158"/>
        <v>32456.910937500001</v>
      </c>
      <c r="CB47" s="37">
        <f t="shared" si="158"/>
        <v>32456.910937500001</v>
      </c>
      <c r="CC47" s="37">
        <f t="shared" ref="CC47:DG47" si="161">SUM(CC43:CC46)</f>
        <v>32456.910937500001</v>
      </c>
      <c r="CD47" s="37">
        <f t="shared" si="161"/>
        <v>32456.910937500001</v>
      </c>
      <c r="CE47" s="37">
        <f t="shared" si="161"/>
        <v>32456.910937500001</v>
      </c>
      <c r="CF47" s="37">
        <f t="shared" si="161"/>
        <v>32456.910937500001</v>
      </c>
      <c r="CG47" s="37">
        <f t="shared" si="161"/>
        <v>32456.910937500001</v>
      </c>
      <c r="CH47" s="37">
        <f t="shared" si="161"/>
        <v>32456.910937500001</v>
      </c>
      <c r="CI47" s="164">
        <f t="shared" si="161"/>
        <v>32456.910937500001</v>
      </c>
      <c r="CJ47" s="37">
        <f t="shared" si="161"/>
        <v>34079.756484375001</v>
      </c>
      <c r="CK47" s="37">
        <f t="shared" si="161"/>
        <v>34079.756484375001</v>
      </c>
      <c r="CL47" s="37">
        <f t="shared" si="161"/>
        <v>34079.756484375001</v>
      </c>
      <c r="CM47" s="37">
        <f t="shared" si="161"/>
        <v>34079.756484375001</v>
      </c>
      <c r="CN47" s="37">
        <f t="shared" si="161"/>
        <v>34079.756484375001</v>
      </c>
      <c r="CO47" s="37">
        <f t="shared" si="161"/>
        <v>34079.756484375001</v>
      </c>
      <c r="CP47" s="37">
        <f t="shared" si="161"/>
        <v>34079.756484375001</v>
      </c>
      <c r="CQ47" s="37">
        <f t="shared" si="161"/>
        <v>34079.756484375001</v>
      </c>
      <c r="CR47" s="37">
        <f t="shared" si="161"/>
        <v>34079.756484375001</v>
      </c>
      <c r="CS47" s="37">
        <f t="shared" si="161"/>
        <v>34079.756484375001</v>
      </c>
      <c r="CT47" s="37">
        <f t="shared" si="161"/>
        <v>34079.756484375001</v>
      </c>
      <c r="CU47" s="164">
        <f t="shared" si="161"/>
        <v>34079.756484375001</v>
      </c>
      <c r="CV47" s="37">
        <f t="shared" si="161"/>
        <v>35783.744308593748</v>
      </c>
      <c r="CW47" s="37">
        <f t="shared" si="161"/>
        <v>35783.744308593748</v>
      </c>
      <c r="CX47" s="37">
        <f t="shared" si="161"/>
        <v>35783.744308593748</v>
      </c>
      <c r="CY47" s="37">
        <f t="shared" si="161"/>
        <v>35783.744308593748</v>
      </c>
      <c r="CZ47" s="37">
        <f t="shared" si="161"/>
        <v>35783.744308593748</v>
      </c>
      <c r="DA47" s="37">
        <f t="shared" si="161"/>
        <v>35783.744308593748</v>
      </c>
      <c r="DB47" s="37">
        <f t="shared" si="161"/>
        <v>35783.744308593748</v>
      </c>
      <c r="DC47" s="37">
        <f t="shared" si="161"/>
        <v>35783.744308593748</v>
      </c>
      <c r="DD47" s="37">
        <f t="shared" si="161"/>
        <v>35783.744308593748</v>
      </c>
      <c r="DE47" s="37">
        <f t="shared" si="161"/>
        <v>35783.744308593748</v>
      </c>
      <c r="DF47" s="37">
        <f t="shared" si="161"/>
        <v>35783.744308593748</v>
      </c>
      <c r="DG47" s="37">
        <f t="shared" si="161"/>
        <v>35783.744308593748</v>
      </c>
    </row>
    <row r="48" spans="1:111" s="370" customFormat="1" x14ac:dyDescent="0.3">
      <c r="A48" s="368"/>
      <c r="B48" s="372" t="s">
        <v>501</v>
      </c>
      <c r="C48" s="369"/>
      <c r="W48" s="374">
        <f t="shared" ref="W48:AA49" si="162">+W42/W$10</f>
        <v>0</v>
      </c>
      <c r="X48" s="374">
        <f t="shared" si="162"/>
        <v>0</v>
      </c>
      <c r="Y48" s="374">
        <f t="shared" si="162"/>
        <v>0</v>
      </c>
      <c r="Z48" s="374">
        <f t="shared" si="162"/>
        <v>0</v>
      </c>
      <c r="AA48" s="374">
        <f t="shared" si="162"/>
        <v>0</v>
      </c>
      <c r="AB48" s="374">
        <v>7.6499999999999999E-2</v>
      </c>
      <c r="AC48" s="374">
        <v>7.6499999999999999E-2</v>
      </c>
      <c r="AD48" s="374">
        <v>7.6499999999999999E-2</v>
      </c>
      <c r="AE48" s="374">
        <v>7.6499999999999999E-2</v>
      </c>
      <c r="AF48" s="374">
        <v>7.6499999999999999E-2</v>
      </c>
      <c r="AG48" s="374">
        <v>7.6499999999999999E-2</v>
      </c>
      <c r="AH48" s="374">
        <v>7.6499999999999999E-2</v>
      </c>
      <c r="AI48" s="374">
        <v>7.6499999999999999E-2</v>
      </c>
      <c r="AJ48" s="377">
        <v>7.6499999999999999E-2</v>
      </c>
      <c r="AK48" s="548">
        <v>7.6499999999999999E-2</v>
      </c>
      <c r="AL48" s="374">
        <v>7.6499999999999999E-2</v>
      </c>
      <c r="AM48" s="377">
        <v>7.6499999999999999E-2</v>
      </c>
      <c r="AN48" s="374">
        <v>7.6499999999999999E-2</v>
      </c>
      <c r="AO48" s="374">
        <v>7.6499999999999999E-2</v>
      </c>
      <c r="AP48" s="374">
        <v>7.6499999999999999E-2</v>
      </c>
      <c r="AQ48" s="374">
        <v>7.6499999999999999E-2</v>
      </c>
      <c r="AR48" s="374">
        <v>7.6499999999999999E-2</v>
      </c>
      <c r="AS48" s="374">
        <v>7.6499999999999999E-2</v>
      </c>
      <c r="AT48" s="374">
        <v>7.6499999999999999E-2</v>
      </c>
      <c r="AU48" s="374">
        <v>7.6499999999999999E-2</v>
      </c>
      <c r="AV48" s="374">
        <v>7.6499999999999999E-2</v>
      </c>
      <c r="AW48" s="374">
        <v>7.6499999999999999E-2</v>
      </c>
      <c r="AX48" s="374">
        <v>7.6499999999999999E-2</v>
      </c>
      <c r="AY48" s="377">
        <v>7.6499999999999999E-2</v>
      </c>
      <c r="AZ48" s="374">
        <v>7.6499999999999999E-2</v>
      </c>
      <c r="BA48" s="374">
        <v>7.6499999999999999E-2</v>
      </c>
      <c r="BB48" s="374">
        <v>7.6499999999999999E-2</v>
      </c>
      <c r="BC48" s="374">
        <v>7.6499999999999999E-2</v>
      </c>
      <c r="BD48" s="374">
        <v>7.6499999999999999E-2</v>
      </c>
      <c r="BE48" s="374">
        <v>7.6499999999999999E-2</v>
      </c>
      <c r="BF48" s="374">
        <v>7.6499999999999999E-2</v>
      </c>
      <c r="BG48" s="374">
        <v>7.6499999999999999E-2</v>
      </c>
      <c r="BH48" s="374">
        <v>7.6499999999999999E-2</v>
      </c>
      <c r="BI48" s="374">
        <v>7.6499999999999999E-2</v>
      </c>
      <c r="BJ48" s="374">
        <v>7.6499999999999999E-2</v>
      </c>
      <c r="BK48" s="377">
        <v>7.6499999999999999E-2</v>
      </c>
      <c r="BL48" s="374">
        <v>7.6499999999999999E-2</v>
      </c>
      <c r="BM48" s="374">
        <v>7.6499999999999999E-2</v>
      </c>
      <c r="BN48" s="374">
        <v>7.6499999999999999E-2</v>
      </c>
      <c r="BO48" s="374">
        <v>7.6499999999999999E-2</v>
      </c>
      <c r="BP48" s="374">
        <v>7.6499999999999999E-2</v>
      </c>
      <c r="BQ48" s="374">
        <v>7.6499999999999999E-2</v>
      </c>
      <c r="BR48" s="374">
        <v>7.6499999999999999E-2</v>
      </c>
      <c r="BS48" s="374">
        <v>7.6499999999999999E-2</v>
      </c>
      <c r="BT48" s="374">
        <v>7.6499999999999999E-2</v>
      </c>
      <c r="BU48" s="374">
        <v>7.6499999999999999E-2</v>
      </c>
      <c r="BV48" s="374">
        <v>7.6499999999999999E-2</v>
      </c>
      <c r="BW48" s="377">
        <v>7.6499999999999999E-2</v>
      </c>
      <c r="BX48" s="374">
        <v>7.6499999999999999E-2</v>
      </c>
      <c r="BY48" s="374">
        <v>7.6499999999999999E-2</v>
      </c>
      <c r="BZ48" s="374">
        <v>7.6499999999999999E-2</v>
      </c>
      <c r="CA48" s="374">
        <v>7.6499999999999999E-2</v>
      </c>
      <c r="CB48" s="374">
        <v>7.6499999999999999E-2</v>
      </c>
      <c r="CC48" s="374">
        <v>7.6499999999999999E-2</v>
      </c>
      <c r="CD48" s="374">
        <v>7.6499999999999999E-2</v>
      </c>
      <c r="CE48" s="374">
        <v>7.6499999999999999E-2</v>
      </c>
      <c r="CF48" s="374">
        <v>7.6499999999999999E-2</v>
      </c>
      <c r="CG48" s="374">
        <v>7.6499999999999999E-2</v>
      </c>
      <c r="CH48" s="374">
        <v>7.6499999999999999E-2</v>
      </c>
      <c r="CI48" s="377">
        <v>7.6499999999999999E-2</v>
      </c>
      <c r="CJ48" s="374">
        <v>7.6499999999999999E-2</v>
      </c>
      <c r="CK48" s="374">
        <v>7.6499999999999999E-2</v>
      </c>
      <c r="CL48" s="374">
        <v>7.6499999999999999E-2</v>
      </c>
      <c r="CM48" s="374">
        <v>7.6499999999999999E-2</v>
      </c>
      <c r="CN48" s="374">
        <v>7.6499999999999999E-2</v>
      </c>
      <c r="CO48" s="374">
        <v>7.6499999999999999E-2</v>
      </c>
      <c r="CP48" s="374">
        <v>7.6499999999999999E-2</v>
      </c>
      <c r="CQ48" s="374">
        <v>7.6499999999999999E-2</v>
      </c>
      <c r="CR48" s="374">
        <v>7.6499999999999999E-2</v>
      </c>
      <c r="CS48" s="374">
        <v>7.6499999999999999E-2</v>
      </c>
      <c r="CT48" s="374">
        <v>7.6499999999999999E-2</v>
      </c>
      <c r="CU48" s="377">
        <v>7.6499999999999999E-2</v>
      </c>
      <c r="CV48" s="374">
        <v>7.6499999999999999E-2</v>
      </c>
      <c r="CW48" s="374">
        <v>7.6499999999999999E-2</v>
      </c>
      <c r="CX48" s="374">
        <v>7.6499999999999999E-2</v>
      </c>
      <c r="CY48" s="374">
        <v>7.6499999999999999E-2</v>
      </c>
      <c r="CZ48" s="374">
        <v>7.6499999999999999E-2</v>
      </c>
      <c r="DA48" s="374">
        <v>7.6499999999999999E-2</v>
      </c>
      <c r="DB48" s="374">
        <v>7.6499999999999999E-2</v>
      </c>
      <c r="DC48" s="374">
        <v>7.6499999999999999E-2</v>
      </c>
      <c r="DD48" s="374">
        <v>7.6499999999999999E-2</v>
      </c>
      <c r="DE48" s="374">
        <v>7.6499999999999999E-2</v>
      </c>
      <c r="DF48" s="374">
        <v>7.6499999999999999E-2</v>
      </c>
      <c r="DG48" s="374">
        <v>7.6499999999999999E-2</v>
      </c>
    </row>
    <row r="49" spans="1:111" s="370" customFormat="1" x14ac:dyDescent="0.3">
      <c r="A49" s="368"/>
      <c r="B49" s="372" t="s">
        <v>503</v>
      </c>
      <c r="C49" s="369"/>
      <c r="W49" s="374">
        <f t="shared" si="162"/>
        <v>0</v>
      </c>
      <c r="X49" s="374">
        <f t="shared" si="162"/>
        <v>0</v>
      </c>
      <c r="Y49" s="374">
        <f t="shared" si="162"/>
        <v>0</v>
      </c>
      <c r="Z49" s="374">
        <f t="shared" si="162"/>
        <v>0</v>
      </c>
      <c r="AA49" s="374">
        <f t="shared" si="162"/>
        <v>0</v>
      </c>
      <c r="AB49" s="374">
        <v>4.4999999999999998E-2</v>
      </c>
      <c r="AC49" s="374">
        <v>4.4999999999999998E-2</v>
      </c>
      <c r="AD49" s="374">
        <v>4.4999999999999998E-2</v>
      </c>
      <c r="AE49" s="374">
        <v>4.4999999999999998E-2</v>
      </c>
      <c r="AF49" s="374">
        <v>4.4999999999999998E-2</v>
      </c>
      <c r="AG49" s="374">
        <v>4.4999999999999998E-2</v>
      </c>
      <c r="AH49" s="374">
        <v>4.4999999999999998E-2</v>
      </c>
      <c r="AI49" s="374">
        <v>4.4999999999999998E-2</v>
      </c>
      <c r="AJ49" s="377">
        <v>4.4999999999999998E-2</v>
      </c>
      <c r="AK49" s="548">
        <v>4.4999999999999998E-2</v>
      </c>
      <c r="AL49" s="374">
        <v>4.4999999999999998E-2</v>
      </c>
      <c r="AM49" s="377">
        <v>4.4999999999999998E-2</v>
      </c>
      <c r="AN49" s="374">
        <v>4.4999999999999998E-2</v>
      </c>
      <c r="AO49" s="374">
        <v>4.4999999999999998E-2</v>
      </c>
      <c r="AP49" s="374">
        <v>4.4999999999999998E-2</v>
      </c>
      <c r="AQ49" s="374">
        <v>4.4999999999999998E-2</v>
      </c>
      <c r="AR49" s="374">
        <v>4.4999999999999998E-2</v>
      </c>
      <c r="AS49" s="374">
        <v>4.4999999999999998E-2</v>
      </c>
      <c r="AT49" s="374">
        <v>4.4999999999999998E-2</v>
      </c>
      <c r="AU49" s="374">
        <v>4.4999999999999998E-2</v>
      </c>
      <c r="AV49" s="374">
        <v>4.4999999999999998E-2</v>
      </c>
      <c r="AW49" s="374">
        <v>4.4999999999999998E-2</v>
      </c>
      <c r="AX49" s="374">
        <v>4.4999999999999998E-2</v>
      </c>
      <c r="AY49" s="377">
        <v>4.4999999999999998E-2</v>
      </c>
      <c r="AZ49" s="374">
        <v>4.4999999999999998E-2</v>
      </c>
      <c r="BA49" s="374">
        <v>4.4999999999999998E-2</v>
      </c>
      <c r="BB49" s="374">
        <v>4.4999999999999998E-2</v>
      </c>
      <c r="BC49" s="374">
        <v>4.4999999999999998E-2</v>
      </c>
      <c r="BD49" s="374">
        <v>4.4999999999999998E-2</v>
      </c>
      <c r="BE49" s="374">
        <v>4.4999999999999998E-2</v>
      </c>
      <c r="BF49" s="374">
        <v>4.4999999999999998E-2</v>
      </c>
      <c r="BG49" s="374">
        <v>4.4999999999999998E-2</v>
      </c>
      <c r="BH49" s="374">
        <v>4.4999999999999998E-2</v>
      </c>
      <c r="BI49" s="374">
        <v>4.4999999999999998E-2</v>
      </c>
      <c r="BJ49" s="374">
        <v>4.4999999999999998E-2</v>
      </c>
      <c r="BK49" s="377">
        <v>4.4999999999999998E-2</v>
      </c>
      <c r="BL49" s="374">
        <v>4.4999999999999998E-2</v>
      </c>
      <c r="BM49" s="374">
        <v>4.4999999999999998E-2</v>
      </c>
      <c r="BN49" s="374">
        <v>4.4999999999999998E-2</v>
      </c>
      <c r="BO49" s="374">
        <v>4.4999999999999998E-2</v>
      </c>
      <c r="BP49" s="374">
        <v>4.4999999999999998E-2</v>
      </c>
      <c r="BQ49" s="374">
        <v>4.4999999999999998E-2</v>
      </c>
      <c r="BR49" s="374">
        <v>4.4999999999999998E-2</v>
      </c>
      <c r="BS49" s="374">
        <v>4.4999999999999998E-2</v>
      </c>
      <c r="BT49" s="374">
        <v>4.4999999999999998E-2</v>
      </c>
      <c r="BU49" s="374">
        <v>4.4999999999999998E-2</v>
      </c>
      <c r="BV49" s="374">
        <v>4.4999999999999998E-2</v>
      </c>
      <c r="BW49" s="377">
        <v>4.4999999999999998E-2</v>
      </c>
      <c r="BX49" s="374">
        <v>4.4999999999999998E-2</v>
      </c>
      <c r="BY49" s="374">
        <v>4.4999999999999998E-2</v>
      </c>
      <c r="BZ49" s="374">
        <v>4.4999999999999998E-2</v>
      </c>
      <c r="CA49" s="374">
        <v>4.4999999999999998E-2</v>
      </c>
      <c r="CB49" s="374">
        <v>4.4999999999999998E-2</v>
      </c>
      <c r="CC49" s="374">
        <v>4.4999999999999998E-2</v>
      </c>
      <c r="CD49" s="374">
        <v>4.4999999999999998E-2</v>
      </c>
      <c r="CE49" s="374">
        <v>4.4999999999999998E-2</v>
      </c>
      <c r="CF49" s="374">
        <v>4.4999999999999998E-2</v>
      </c>
      <c r="CG49" s="374">
        <v>4.4999999999999998E-2</v>
      </c>
      <c r="CH49" s="374">
        <v>4.4999999999999998E-2</v>
      </c>
      <c r="CI49" s="377">
        <v>4.4999999999999998E-2</v>
      </c>
      <c r="CJ49" s="374">
        <v>4.4999999999999998E-2</v>
      </c>
      <c r="CK49" s="374">
        <v>4.4999999999999998E-2</v>
      </c>
      <c r="CL49" s="374">
        <v>4.4999999999999998E-2</v>
      </c>
      <c r="CM49" s="374">
        <v>4.4999999999999998E-2</v>
      </c>
      <c r="CN49" s="374">
        <v>4.4999999999999998E-2</v>
      </c>
      <c r="CO49" s="374">
        <v>4.4999999999999998E-2</v>
      </c>
      <c r="CP49" s="374">
        <v>4.4999999999999998E-2</v>
      </c>
      <c r="CQ49" s="374">
        <v>4.4999999999999998E-2</v>
      </c>
      <c r="CR49" s="374">
        <v>4.4999999999999998E-2</v>
      </c>
      <c r="CS49" s="374">
        <v>4.4999999999999998E-2</v>
      </c>
      <c r="CT49" s="374">
        <v>4.4999999999999998E-2</v>
      </c>
      <c r="CU49" s="377">
        <v>4.4999999999999998E-2</v>
      </c>
      <c r="CV49" s="374">
        <v>4.4999999999999998E-2</v>
      </c>
      <c r="CW49" s="374">
        <v>4.4999999999999998E-2</v>
      </c>
      <c r="CX49" s="374">
        <v>4.4999999999999998E-2</v>
      </c>
      <c r="CY49" s="374">
        <v>4.4999999999999998E-2</v>
      </c>
      <c r="CZ49" s="374">
        <v>4.4999999999999998E-2</v>
      </c>
      <c r="DA49" s="374">
        <v>4.4999999999999998E-2</v>
      </c>
      <c r="DB49" s="374">
        <v>4.4999999999999998E-2</v>
      </c>
      <c r="DC49" s="374">
        <v>4.4999999999999998E-2</v>
      </c>
      <c r="DD49" s="374">
        <v>4.4999999999999998E-2</v>
      </c>
      <c r="DE49" s="374">
        <v>4.4999999999999998E-2</v>
      </c>
      <c r="DF49" s="374">
        <v>4.4999999999999998E-2</v>
      </c>
      <c r="DG49" s="374">
        <v>4.4999999999999998E-2</v>
      </c>
    </row>
    <row r="50" spans="1:111" x14ac:dyDescent="0.3">
      <c r="B50" s="1" t="s">
        <v>313</v>
      </c>
      <c r="C50" s="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163"/>
      <c r="AK50" s="540"/>
      <c r="AL50" s="91"/>
      <c r="AM50" s="163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163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163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163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163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163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</row>
    <row r="51" spans="1:111" x14ac:dyDescent="0.3">
      <c r="B51" s="1" t="s">
        <v>314</v>
      </c>
      <c r="C51" s="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>
        <v>4.87</v>
      </c>
      <c r="Q51" s="91">
        <v>113.01</v>
      </c>
      <c r="R51" s="91"/>
      <c r="S51" s="91"/>
      <c r="T51" s="91">
        <v>51.95</v>
      </c>
      <c r="U51" s="91"/>
      <c r="V51" s="91"/>
      <c r="W51" s="91">
        <v>243.25</v>
      </c>
      <c r="X51" s="91"/>
      <c r="Y51" s="91"/>
      <c r="Z51" s="91">
        <v>262.35000000000002</v>
      </c>
      <c r="AA51" s="91">
        <v>142.91</v>
      </c>
      <c r="AB51" s="91"/>
      <c r="AC51" s="91">
        <v>211.98</v>
      </c>
      <c r="AD51" s="91"/>
      <c r="AE51" s="91"/>
      <c r="AF51" s="91">
        <v>80.08</v>
      </c>
      <c r="AG51" s="91">
        <v>171.82</v>
      </c>
      <c r="AH51" s="91"/>
      <c r="AI51" s="91"/>
      <c r="AJ51" s="163">
        <v>468.73</v>
      </c>
      <c r="AK51" s="540">
        <f>AVERAGE(AE51:AJ51)</f>
        <v>240.21</v>
      </c>
      <c r="AL51" s="91">
        <f t="shared" si="89"/>
        <v>240.21</v>
      </c>
      <c r="AM51" s="163">
        <f t="shared" si="89"/>
        <v>240.21</v>
      </c>
      <c r="AN51" s="91">
        <f t="shared" si="89"/>
        <v>240.21</v>
      </c>
      <c r="AO51" s="91">
        <f t="shared" si="89"/>
        <v>240.21</v>
      </c>
      <c r="AP51" s="91">
        <f t="shared" si="89"/>
        <v>240.21</v>
      </c>
      <c r="AQ51" s="91">
        <f t="shared" si="89"/>
        <v>240.21</v>
      </c>
      <c r="AR51" s="91">
        <f t="shared" si="89"/>
        <v>240.21</v>
      </c>
      <c r="AS51" s="91">
        <f t="shared" si="89"/>
        <v>240.21</v>
      </c>
      <c r="AT51" s="91">
        <f t="shared" si="89"/>
        <v>240.21</v>
      </c>
      <c r="AU51" s="91">
        <f t="shared" si="89"/>
        <v>240.21</v>
      </c>
      <c r="AV51" s="91">
        <f t="shared" si="89"/>
        <v>240.21</v>
      </c>
      <c r="AW51" s="91">
        <f t="shared" si="89"/>
        <v>240.21</v>
      </c>
      <c r="AX51" s="91">
        <f t="shared" si="89"/>
        <v>240.21</v>
      </c>
      <c r="AY51" s="163">
        <f t="shared" si="89"/>
        <v>240.21</v>
      </c>
      <c r="AZ51" s="381">
        <f>AY51*1.5</f>
        <v>360.315</v>
      </c>
      <c r="BA51" s="91">
        <f t="shared" si="89"/>
        <v>360.315</v>
      </c>
      <c r="BB51" s="91">
        <f t="shared" si="89"/>
        <v>360.315</v>
      </c>
      <c r="BC51" s="91">
        <f t="shared" si="89"/>
        <v>360.315</v>
      </c>
      <c r="BD51" s="91">
        <f t="shared" si="89"/>
        <v>360.315</v>
      </c>
      <c r="BE51" s="91">
        <f t="shared" si="89"/>
        <v>360.315</v>
      </c>
      <c r="BF51" s="91">
        <f t="shared" si="89"/>
        <v>360.315</v>
      </c>
      <c r="BG51" s="91">
        <f t="shared" si="89"/>
        <v>360.315</v>
      </c>
      <c r="BH51" s="91">
        <f t="shared" si="89"/>
        <v>360.315</v>
      </c>
      <c r="BI51" s="91">
        <f t="shared" si="89"/>
        <v>360.315</v>
      </c>
      <c r="BJ51" s="91">
        <f t="shared" si="89"/>
        <v>360.315</v>
      </c>
      <c r="BK51" s="163">
        <f t="shared" si="89"/>
        <v>360.315</v>
      </c>
      <c r="BL51" s="381">
        <f>BK51*1.5</f>
        <v>540.47249999999997</v>
      </c>
      <c r="BM51" s="91">
        <f t="shared" si="89"/>
        <v>540.47249999999997</v>
      </c>
      <c r="BN51" s="91">
        <f t="shared" si="89"/>
        <v>540.47249999999997</v>
      </c>
      <c r="BO51" s="91">
        <f t="shared" si="89"/>
        <v>540.47249999999997</v>
      </c>
      <c r="BP51" s="91">
        <f t="shared" si="89"/>
        <v>540.47249999999997</v>
      </c>
      <c r="BQ51" s="91">
        <f t="shared" si="89"/>
        <v>540.47249999999997</v>
      </c>
      <c r="BR51" s="91">
        <f t="shared" si="89"/>
        <v>540.47249999999997</v>
      </c>
      <c r="BS51" s="91">
        <f t="shared" si="89"/>
        <v>540.47249999999997</v>
      </c>
      <c r="BT51" s="91">
        <f t="shared" si="89"/>
        <v>540.47249999999997</v>
      </c>
      <c r="BU51" s="91">
        <f t="shared" si="89"/>
        <v>540.47249999999997</v>
      </c>
      <c r="BV51" s="91">
        <f t="shared" si="89"/>
        <v>540.47249999999997</v>
      </c>
      <c r="BW51" s="163">
        <f t="shared" si="89"/>
        <v>540.47249999999997</v>
      </c>
      <c r="BX51" s="381">
        <f>BW51*1.5</f>
        <v>810.70875000000001</v>
      </c>
      <c r="BY51" s="91">
        <f t="shared" si="89"/>
        <v>810.70875000000001</v>
      </c>
      <c r="BZ51" s="91">
        <f t="shared" si="89"/>
        <v>810.70875000000001</v>
      </c>
      <c r="CA51" s="91">
        <f t="shared" si="89"/>
        <v>810.70875000000001</v>
      </c>
      <c r="CB51" s="91">
        <f t="shared" si="90"/>
        <v>810.70875000000001</v>
      </c>
      <c r="CC51" s="91">
        <f t="shared" si="90"/>
        <v>810.70875000000001</v>
      </c>
      <c r="CD51" s="91">
        <f t="shared" si="90"/>
        <v>810.70875000000001</v>
      </c>
      <c r="CE51" s="91">
        <f t="shared" si="90"/>
        <v>810.70875000000001</v>
      </c>
      <c r="CF51" s="91">
        <f t="shared" si="90"/>
        <v>810.70875000000001</v>
      </c>
      <c r="CG51" s="91">
        <f t="shared" si="90"/>
        <v>810.70875000000001</v>
      </c>
      <c r="CH51" s="91">
        <f t="shared" si="90"/>
        <v>810.70875000000001</v>
      </c>
      <c r="CI51" s="163">
        <f t="shared" si="90"/>
        <v>810.70875000000001</v>
      </c>
      <c r="CJ51" s="381">
        <f>CI51*1.5</f>
        <v>1216.0631250000001</v>
      </c>
      <c r="CK51" s="91">
        <f t="shared" si="90"/>
        <v>1216.0631250000001</v>
      </c>
      <c r="CL51" s="91">
        <f t="shared" si="90"/>
        <v>1216.0631250000001</v>
      </c>
      <c r="CM51" s="91">
        <f t="shared" si="90"/>
        <v>1216.0631250000001</v>
      </c>
      <c r="CN51" s="91">
        <f t="shared" si="90"/>
        <v>1216.0631250000001</v>
      </c>
      <c r="CO51" s="91">
        <f t="shared" si="90"/>
        <v>1216.0631250000001</v>
      </c>
      <c r="CP51" s="91">
        <f t="shared" si="90"/>
        <v>1216.0631250000001</v>
      </c>
      <c r="CQ51" s="91">
        <f t="shared" si="90"/>
        <v>1216.0631250000001</v>
      </c>
      <c r="CR51" s="91">
        <f t="shared" si="90"/>
        <v>1216.0631250000001</v>
      </c>
      <c r="CS51" s="91">
        <f t="shared" si="90"/>
        <v>1216.0631250000001</v>
      </c>
      <c r="CT51" s="91">
        <f t="shared" si="90"/>
        <v>1216.0631250000001</v>
      </c>
      <c r="CU51" s="163">
        <f t="shared" si="90"/>
        <v>1216.0631250000001</v>
      </c>
      <c r="CV51" s="381">
        <f>CU51*1.5</f>
        <v>1824.0946875000002</v>
      </c>
      <c r="CW51" s="91">
        <f t="shared" si="90"/>
        <v>1824.0946875000002</v>
      </c>
      <c r="CX51" s="91">
        <f t="shared" si="90"/>
        <v>1824.0946875000002</v>
      </c>
      <c r="CY51" s="91">
        <f t="shared" si="90"/>
        <v>1824.0946875000002</v>
      </c>
      <c r="CZ51" s="91">
        <f t="shared" si="90"/>
        <v>1824.0946875000002</v>
      </c>
      <c r="DA51" s="91">
        <f t="shared" si="90"/>
        <v>1824.0946875000002</v>
      </c>
      <c r="DB51" s="91">
        <f t="shared" si="90"/>
        <v>1824.0946875000002</v>
      </c>
      <c r="DC51" s="91">
        <f t="shared" si="90"/>
        <v>1824.0946875000002</v>
      </c>
      <c r="DD51" s="91">
        <f t="shared" si="90"/>
        <v>1824.0946875000002</v>
      </c>
      <c r="DE51" s="91">
        <f t="shared" si="90"/>
        <v>1824.0946875000002</v>
      </c>
      <c r="DF51" s="91">
        <f t="shared" si="90"/>
        <v>1824.0946875000002</v>
      </c>
      <c r="DG51" s="91">
        <f t="shared" si="90"/>
        <v>1824.0946875000002</v>
      </c>
    </row>
    <row r="52" spans="1:111" s="15" customFormat="1" x14ac:dyDescent="0.3">
      <c r="A52"/>
      <c r="B52" s="1" t="s">
        <v>315</v>
      </c>
      <c r="C52" s="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>
        <v>279.3</v>
      </c>
      <c r="P52" s="91"/>
      <c r="Q52" s="91"/>
      <c r="R52" s="91"/>
      <c r="S52" s="91">
        <v>23.99</v>
      </c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>
        <v>26.8</v>
      </c>
      <c r="AF52" s="91"/>
      <c r="AG52" s="91"/>
      <c r="AH52" s="91"/>
      <c r="AI52" s="91"/>
      <c r="AJ52" s="163"/>
      <c r="AK52" s="540">
        <f>AVERAGE(AE52:AJ52)</f>
        <v>26.8</v>
      </c>
      <c r="AL52" s="91">
        <f t="shared" ref="AL52:CA52" si="163">AK52</f>
        <v>26.8</v>
      </c>
      <c r="AM52" s="163">
        <f t="shared" si="163"/>
        <v>26.8</v>
      </c>
      <c r="AN52" s="91">
        <f t="shared" si="163"/>
        <v>26.8</v>
      </c>
      <c r="AO52" s="91">
        <f t="shared" si="163"/>
        <v>26.8</v>
      </c>
      <c r="AP52" s="91">
        <f t="shared" si="163"/>
        <v>26.8</v>
      </c>
      <c r="AQ52" s="91">
        <f t="shared" si="163"/>
        <v>26.8</v>
      </c>
      <c r="AR52" s="91">
        <f t="shared" si="163"/>
        <v>26.8</v>
      </c>
      <c r="AS52" s="91">
        <f t="shared" si="163"/>
        <v>26.8</v>
      </c>
      <c r="AT52" s="91">
        <f t="shared" si="163"/>
        <v>26.8</v>
      </c>
      <c r="AU52" s="91">
        <f t="shared" si="163"/>
        <v>26.8</v>
      </c>
      <c r="AV52" s="91">
        <f t="shared" si="163"/>
        <v>26.8</v>
      </c>
      <c r="AW52" s="91">
        <f t="shared" si="163"/>
        <v>26.8</v>
      </c>
      <c r="AX52" s="91">
        <f t="shared" si="163"/>
        <v>26.8</v>
      </c>
      <c r="AY52" s="163">
        <f t="shared" si="163"/>
        <v>26.8</v>
      </c>
      <c r="AZ52" s="381">
        <f t="shared" ref="AZ52:AZ54" si="164">AY52*1.5</f>
        <v>40.200000000000003</v>
      </c>
      <c r="BA52" s="91">
        <f t="shared" si="163"/>
        <v>40.200000000000003</v>
      </c>
      <c r="BB52" s="91">
        <f t="shared" si="163"/>
        <v>40.200000000000003</v>
      </c>
      <c r="BC52" s="91">
        <f t="shared" si="163"/>
        <v>40.200000000000003</v>
      </c>
      <c r="BD52" s="91">
        <f t="shared" si="163"/>
        <v>40.200000000000003</v>
      </c>
      <c r="BE52" s="91">
        <f t="shared" si="163"/>
        <v>40.200000000000003</v>
      </c>
      <c r="BF52" s="91">
        <f t="shared" si="163"/>
        <v>40.200000000000003</v>
      </c>
      <c r="BG52" s="91">
        <f t="shared" si="163"/>
        <v>40.200000000000003</v>
      </c>
      <c r="BH52" s="91">
        <f t="shared" si="163"/>
        <v>40.200000000000003</v>
      </c>
      <c r="BI52" s="91">
        <f t="shared" si="163"/>
        <v>40.200000000000003</v>
      </c>
      <c r="BJ52" s="91">
        <f t="shared" si="163"/>
        <v>40.200000000000003</v>
      </c>
      <c r="BK52" s="163">
        <f t="shared" si="163"/>
        <v>40.200000000000003</v>
      </c>
      <c r="BL52" s="381">
        <f t="shared" ref="BL52:BL54" si="165">BK52*1.5</f>
        <v>60.300000000000004</v>
      </c>
      <c r="BM52" s="91">
        <f t="shared" si="163"/>
        <v>60.300000000000004</v>
      </c>
      <c r="BN52" s="91">
        <f t="shared" si="163"/>
        <v>60.300000000000004</v>
      </c>
      <c r="BO52" s="91">
        <f t="shared" si="163"/>
        <v>60.300000000000004</v>
      </c>
      <c r="BP52" s="91">
        <f t="shared" si="163"/>
        <v>60.300000000000004</v>
      </c>
      <c r="BQ52" s="91">
        <f t="shared" si="163"/>
        <v>60.300000000000004</v>
      </c>
      <c r="BR52" s="91">
        <f t="shared" si="163"/>
        <v>60.300000000000004</v>
      </c>
      <c r="BS52" s="91">
        <f t="shared" si="163"/>
        <v>60.300000000000004</v>
      </c>
      <c r="BT52" s="91">
        <f t="shared" si="163"/>
        <v>60.300000000000004</v>
      </c>
      <c r="BU52" s="91">
        <f t="shared" si="163"/>
        <v>60.300000000000004</v>
      </c>
      <c r="BV52" s="91">
        <f t="shared" si="163"/>
        <v>60.300000000000004</v>
      </c>
      <c r="BW52" s="163">
        <f t="shared" si="163"/>
        <v>60.300000000000004</v>
      </c>
      <c r="BX52" s="381">
        <f t="shared" ref="BX52:BX54" si="166">BW52*1.5</f>
        <v>90.45</v>
      </c>
      <c r="BY52" s="91">
        <f t="shared" si="163"/>
        <v>90.45</v>
      </c>
      <c r="BZ52" s="91">
        <f t="shared" si="163"/>
        <v>90.45</v>
      </c>
      <c r="CA52" s="91">
        <f t="shared" si="163"/>
        <v>90.45</v>
      </c>
      <c r="CB52" s="91">
        <f t="shared" ref="CB52:DG52" si="167">CA52</f>
        <v>90.45</v>
      </c>
      <c r="CC52" s="91">
        <f t="shared" si="167"/>
        <v>90.45</v>
      </c>
      <c r="CD52" s="91">
        <f t="shared" si="167"/>
        <v>90.45</v>
      </c>
      <c r="CE52" s="91">
        <f t="shared" si="167"/>
        <v>90.45</v>
      </c>
      <c r="CF52" s="91">
        <f t="shared" si="167"/>
        <v>90.45</v>
      </c>
      <c r="CG52" s="91">
        <f t="shared" si="167"/>
        <v>90.45</v>
      </c>
      <c r="CH52" s="91">
        <f t="shared" si="167"/>
        <v>90.45</v>
      </c>
      <c r="CI52" s="163">
        <f t="shared" si="167"/>
        <v>90.45</v>
      </c>
      <c r="CJ52" s="381">
        <f t="shared" ref="CJ52:CJ54" si="168">CI52*1.5</f>
        <v>135.67500000000001</v>
      </c>
      <c r="CK52" s="91">
        <f t="shared" si="167"/>
        <v>135.67500000000001</v>
      </c>
      <c r="CL52" s="91">
        <f t="shared" si="167"/>
        <v>135.67500000000001</v>
      </c>
      <c r="CM52" s="91">
        <f t="shared" si="167"/>
        <v>135.67500000000001</v>
      </c>
      <c r="CN52" s="91">
        <f t="shared" si="167"/>
        <v>135.67500000000001</v>
      </c>
      <c r="CO52" s="91">
        <f t="shared" si="167"/>
        <v>135.67500000000001</v>
      </c>
      <c r="CP52" s="91">
        <f t="shared" si="167"/>
        <v>135.67500000000001</v>
      </c>
      <c r="CQ52" s="91">
        <f t="shared" si="167"/>
        <v>135.67500000000001</v>
      </c>
      <c r="CR52" s="91">
        <f t="shared" si="167"/>
        <v>135.67500000000001</v>
      </c>
      <c r="CS52" s="91">
        <f t="shared" si="167"/>
        <v>135.67500000000001</v>
      </c>
      <c r="CT52" s="91">
        <f t="shared" si="167"/>
        <v>135.67500000000001</v>
      </c>
      <c r="CU52" s="163">
        <f t="shared" si="167"/>
        <v>135.67500000000001</v>
      </c>
      <c r="CV52" s="381">
        <f t="shared" ref="CV52:CV54" si="169">CU52*1.5</f>
        <v>203.51250000000002</v>
      </c>
      <c r="CW52" s="91">
        <f t="shared" si="167"/>
        <v>203.51250000000002</v>
      </c>
      <c r="CX52" s="91">
        <f t="shared" si="167"/>
        <v>203.51250000000002</v>
      </c>
      <c r="CY52" s="91">
        <f t="shared" si="167"/>
        <v>203.51250000000002</v>
      </c>
      <c r="CZ52" s="91">
        <f t="shared" si="167"/>
        <v>203.51250000000002</v>
      </c>
      <c r="DA52" s="91">
        <f t="shared" si="167"/>
        <v>203.51250000000002</v>
      </c>
      <c r="DB52" s="91">
        <f t="shared" si="167"/>
        <v>203.51250000000002</v>
      </c>
      <c r="DC52" s="91">
        <f t="shared" si="167"/>
        <v>203.51250000000002</v>
      </c>
      <c r="DD52" s="91">
        <f t="shared" si="167"/>
        <v>203.51250000000002</v>
      </c>
      <c r="DE52" s="91">
        <f t="shared" si="167"/>
        <v>203.51250000000002</v>
      </c>
      <c r="DF52" s="91">
        <f t="shared" si="167"/>
        <v>203.51250000000002</v>
      </c>
      <c r="DG52" s="91">
        <f t="shared" si="167"/>
        <v>203.51250000000002</v>
      </c>
    </row>
    <row r="53" spans="1:111" s="15" customFormat="1" x14ac:dyDescent="0.3">
      <c r="A53"/>
      <c r="B53" s="1" t="s">
        <v>316</v>
      </c>
      <c r="C53" s="1"/>
      <c r="D53" s="91"/>
      <c r="E53" s="91"/>
      <c r="F53" s="91"/>
      <c r="G53" s="91"/>
      <c r="H53" s="91"/>
      <c r="I53" s="91"/>
      <c r="J53" s="91"/>
      <c r="K53" s="91"/>
      <c r="L53" s="91"/>
      <c r="M53" s="91">
        <v>50.3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>
        <v>324.25</v>
      </c>
      <c r="Y53" s="91"/>
      <c r="Z53" s="91"/>
      <c r="AA53" s="91"/>
      <c r="AB53" s="91"/>
      <c r="AC53" s="91"/>
      <c r="AD53" s="91"/>
      <c r="AE53" s="91"/>
      <c r="AF53" s="91">
        <v>0</v>
      </c>
      <c r="AG53" s="91">
        <v>0</v>
      </c>
      <c r="AH53" s="91">
        <v>0</v>
      </c>
      <c r="AI53" s="91">
        <v>0</v>
      </c>
      <c r="AJ53" s="163">
        <v>0</v>
      </c>
      <c r="AK53" s="540">
        <f>AVERAGE(AE53:AJ53)</f>
        <v>0</v>
      </c>
      <c r="AL53" s="91">
        <f t="shared" ref="AL53:CI53" si="170">+AK53</f>
        <v>0</v>
      </c>
      <c r="AM53" s="163">
        <f t="shared" si="170"/>
        <v>0</v>
      </c>
      <c r="AN53" s="91">
        <f t="shared" si="170"/>
        <v>0</v>
      </c>
      <c r="AO53" s="91">
        <f t="shared" si="170"/>
        <v>0</v>
      </c>
      <c r="AP53" s="91">
        <f t="shared" si="170"/>
        <v>0</v>
      </c>
      <c r="AQ53" s="91">
        <f t="shared" si="170"/>
        <v>0</v>
      </c>
      <c r="AR53" s="91">
        <f t="shared" si="170"/>
        <v>0</v>
      </c>
      <c r="AS53" s="91">
        <f t="shared" si="170"/>
        <v>0</v>
      </c>
      <c r="AT53" s="91">
        <f t="shared" si="170"/>
        <v>0</v>
      </c>
      <c r="AU53" s="91">
        <f t="shared" si="170"/>
        <v>0</v>
      </c>
      <c r="AV53" s="91">
        <f t="shared" si="170"/>
        <v>0</v>
      </c>
      <c r="AW53" s="91">
        <f t="shared" si="170"/>
        <v>0</v>
      </c>
      <c r="AX53" s="91">
        <f t="shared" si="170"/>
        <v>0</v>
      </c>
      <c r="AY53" s="163">
        <f t="shared" si="170"/>
        <v>0</v>
      </c>
      <c r="AZ53" s="381">
        <f t="shared" si="164"/>
        <v>0</v>
      </c>
      <c r="BA53" s="91">
        <f t="shared" si="170"/>
        <v>0</v>
      </c>
      <c r="BB53" s="91">
        <f t="shared" si="170"/>
        <v>0</v>
      </c>
      <c r="BC53" s="91">
        <f t="shared" si="170"/>
        <v>0</v>
      </c>
      <c r="BD53" s="91">
        <f t="shared" si="170"/>
        <v>0</v>
      </c>
      <c r="BE53" s="91">
        <f t="shared" si="170"/>
        <v>0</v>
      </c>
      <c r="BF53" s="91">
        <f t="shared" si="170"/>
        <v>0</v>
      </c>
      <c r="BG53" s="91">
        <f t="shared" si="170"/>
        <v>0</v>
      </c>
      <c r="BH53" s="91">
        <f t="shared" si="170"/>
        <v>0</v>
      </c>
      <c r="BI53" s="91">
        <f t="shared" si="170"/>
        <v>0</v>
      </c>
      <c r="BJ53" s="91">
        <f t="shared" si="170"/>
        <v>0</v>
      </c>
      <c r="BK53" s="163">
        <f t="shared" si="170"/>
        <v>0</v>
      </c>
      <c r="BL53" s="381">
        <f t="shared" si="165"/>
        <v>0</v>
      </c>
      <c r="BM53" s="91">
        <f t="shared" si="170"/>
        <v>0</v>
      </c>
      <c r="BN53" s="91">
        <f t="shared" si="170"/>
        <v>0</v>
      </c>
      <c r="BO53" s="91">
        <f t="shared" si="170"/>
        <v>0</v>
      </c>
      <c r="BP53" s="91">
        <f t="shared" si="170"/>
        <v>0</v>
      </c>
      <c r="BQ53" s="91">
        <f t="shared" si="170"/>
        <v>0</v>
      </c>
      <c r="BR53" s="91">
        <f t="shared" si="170"/>
        <v>0</v>
      </c>
      <c r="BS53" s="91">
        <f t="shared" si="170"/>
        <v>0</v>
      </c>
      <c r="BT53" s="91">
        <f t="shared" si="170"/>
        <v>0</v>
      </c>
      <c r="BU53" s="91">
        <f t="shared" si="170"/>
        <v>0</v>
      </c>
      <c r="BV53" s="91">
        <f t="shared" si="170"/>
        <v>0</v>
      </c>
      <c r="BW53" s="163">
        <f t="shared" si="170"/>
        <v>0</v>
      </c>
      <c r="BX53" s="381">
        <f t="shared" si="166"/>
        <v>0</v>
      </c>
      <c r="BY53" s="91">
        <f t="shared" si="170"/>
        <v>0</v>
      </c>
      <c r="BZ53" s="91">
        <f t="shared" si="170"/>
        <v>0</v>
      </c>
      <c r="CA53" s="91">
        <f t="shared" si="170"/>
        <v>0</v>
      </c>
      <c r="CB53" s="91">
        <f t="shared" si="170"/>
        <v>0</v>
      </c>
      <c r="CC53" s="91">
        <f t="shared" si="170"/>
        <v>0</v>
      </c>
      <c r="CD53" s="91">
        <f t="shared" si="170"/>
        <v>0</v>
      </c>
      <c r="CE53" s="91">
        <f t="shared" si="170"/>
        <v>0</v>
      </c>
      <c r="CF53" s="91">
        <f t="shared" si="170"/>
        <v>0</v>
      </c>
      <c r="CG53" s="91">
        <f t="shared" si="170"/>
        <v>0</v>
      </c>
      <c r="CH53" s="91">
        <f t="shared" si="170"/>
        <v>0</v>
      </c>
      <c r="CI53" s="163">
        <f t="shared" si="170"/>
        <v>0</v>
      </c>
      <c r="CJ53" s="381">
        <f t="shared" si="168"/>
        <v>0</v>
      </c>
      <c r="CK53" s="91">
        <f t="shared" ref="CK53:DG53" si="171">+CJ53</f>
        <v>0</v>
      </c>
      <c r="CL53" s="91">
        <f t="shared" si="171"/>
        <v>0</v>
      </c>
      <c r="CM53" s="91">
        <f t="shared" si="171"/>
        <v>0</v>
      </c>
      <c r="CN53" s="91">
        <f t="shared" si="171"/>
        <v>0</v>
      </c>
      <c r="CO53" s="91">
        <f t="shared" si="171"/>
        <v>0</v>
      </c>
      <c r="CP53" s="91">
        <f t="shared" si="171"/>
        <v>0</v>
      </c>
      <c r="CQ53" s="91">
        <f t="shared" si="171"/>
        <v>0</v>
      </c>
      <c r="CR53" s="91">
        <f t="shared" si="171"/>
        <v>0</v>
      </c>
      <c r="CS53" s="91">
        <f t="shared" si="171"/>
        <v>0</v>
      </c>
      <c r="CT53" s="91">
        <f t="shared" si="171"/>
        <v>0</v>
      </c>
      <c r="CU53" s="163">
        <f t="shared" si="171"/>
        <v>0</v>
      </c>
      <c r="CV53" s="381">
        <f t="shared" si="169"/>
        <v>0</v>
      </c>
      <c r="CW53" s="91">
        <f t="shared" si="171"/>
        <v>0</v>
      </c>
      <c r="CX53" s="91">
        <f t="shared" si="171"/>
        <v>0</v>
      </c>
      <c r="CY53" s="91">
        <f t="shared" si="171"/>
        <v>0</v>
      </c>
      <c r="CZ53" s="91">
        <f t="shared" si="171"/>
        <v>0</v>
      </c>
      <c r="DA53" s="91">
        <f t="shared" si="171"/>
        <v>0</v>
      </c>
      <c r="DB53" s="91">
        <f t="shared" si="171"/>
        <v>0</v>
      </c>
      <c r="DC53" s="91">
        <f t="shared" si="171"/>
        <v>0</v>
      </c>
      <c r="DD53" s="91">
        <f t="shared" si="171"/>
        <v>0</v>
      </c>
      <c r="DE53" s="91">
        <f t="shared" si="171"/>
        <v>0</v>
      </c>
      <c r="DF53" s="91">
        <f t="shared" si="171"/>
        <v>0</v>
      </c>
      <c r="DG53" s="91">
        <f t="shared" si="171"/>
        <v>0</v>
      </c>
    </row>
    <row r="54" spans="1:111" s="15" customFormat="1" x14ac:dyDescent="0.3">
      <c r="A54"/>
      <c r="B54" s="1" t="s">
        <v>317</v>
      </c>
      <c r="C54" s="1"/>
      <c r="D54" s="91"/>
      <c r="E54" s="91">
        <v>12</v>
      </c>
      <c r="F54" s="91">
        <v>11.83</v>
      </c>
      <c r="G54" s="91">
        <v>12</v>
      </c>
      <c r="H54" s="91">
        <v>132</v>
      </c>
      <c r="I54" s="91">
        <v>242</v>
      </c>
      <c r="J54" s="91">
        <v>12</v>
      </c>
      <c r="K54" s="91">
        <v>211</v>
      </c>
      <c r="L54" s="91">
        <v>211</v>
      </c>
      <c r="M54" s="91">
        <v>211</v>
      </c>
      <c r="N54" s="91">
        <v>211</v>
      </c>
      <c r="O54" s="91">
        <v>226.5</v>
      </c>
      <c r="P54" s="91">
        <v>255.56</v>
      </c>
      <c r="Q54" s="91">
        <v>222.1</v>
      </c>
      <c r="R54" s="91">
        <v>299.5</v>
      </c>
      <c r="S54" s="91">
        <v>272</v>
      </c>
      <c r="T54" s="91">
        <v>756.91</v>
      </c>
      <c r="U54" s="91">
        <v>272</v>
      </c>
      <c r="V54" s="91">
        <v>272</v>
      </c>
      <c r="W54" s="91">
        <v>289</v>
      </c>
      <c r="X54" s="91">
        <v>395.49</v>
      </c>
      <c r="Y54" s="91">
        <v>331</v>
      </c>
      <c r="Z54" s="91">
        <v>307</v>
      </c>
      <c r="AA54" s="91">
        <v>307</v>
      </c>
      <c r="AB54" s="91">
        <v>321.97000000000003</v>
      </c>
      <c r="AC54" s="91">
        <v>769</v>
      </c>
      <c r="AD54" s="91">
        <v>307</v>
      </c>
      <c r="AE54" s="91">
        <v>307</v>
      </c>
      <c r="AF54" s="91">
        <v>833.34</v>
      </c>
      <c r="AG54" s="91">
        <v>1006.94</v>
      </c>
      <c r="AH54" s="91">
        <v>319</v>
      </c>
      <c r="AI54" s="91">
        <v>459.36</v>
      </c>
      <c r="AJ54" s="163">
        <v>328</v>
      </c>
      <c r="AK54" s="540">
        <f>AVERAGE(AE54:AJ54)</f>
        <v>542.27333333333343</v>
      </c>
      <c r="AL54" s="91">
        <f t="shared" ref="AL54:CK55" si="172">+AK54</f>
        <v>542.27333333333343</v>
      </c>
      <c r="AM54" s="163">
        <f t="shared" si="172"/>
        <v>542.27333333333343</v>
      </c>
      <c r="AN54" s="91">
        <f t="shared" si="172"/>
        <v>542.27333333333343</v>
      </c>
      <c r="AO54" s="91">
        <f t="shared" si="172"/>
        <v>542.27333333333343</v>
      </c>
      <c r="AP54" s="91">
        <f t="shared" si="172"/>
        <v>542.27333333333343</v>
      </c>
      <c r="AQ54" s="91">
        <f t="shared" si="172"/>
        <v>542.27333333333343</v>
      </c>
      <c r="AR54" s="91">
        <f t="shared" si="172"/>
        <v>542.27333333333343</v>
      </c>
      <c r="AS54" s="91">
        <f t="shared" si="172"/>
        <v>542.27333333333343</v>
      </c>
      <c r="AT54" s="91">
        <f t="shared" si="172"/>
        <v>542.27333333333343</v>
      </c>
      <c r="AU54" s="91">
        <f t="shared" si="172"/>
        <v>542.27333333333343</v>
      </c>
      <c r="AV54" s="91">
        <f t="shared" si="172"/>
        <v>542.27333333333343</v>
      </c>
      <c r="AW54" s="91">
        <f t="shared" si="172"/>
        <v>542.27333333333343</v>
      </c>
      <c r="AX54" s="91">
        <f t="shared" si="172"/>
        <v>542.27333333333343</v>
      </c>
      <c r="AY54" s="163">
        <f t="shared" si="172"/>
        <v>542.27333333333343</v>
      </c>
      <c r="AZ54" s="381">
        <f t="shared" si="164"/>
        <v>813.41000000000008</v>
      </c>
      <c r="BA54" s="91">
        <f t="shared" si="172"/>
        <v>813.41000000000008</v>
      </c>
      <c r="BB54" s="91">
        <f t="shared" si="172"/>
        <v>813.41000000000008</v>
      </c>
      <c r="BC54" s="91">
        <f t="shared" si="172"/>
        <v>813.41000000000008</v>
      </c>
      <c r="BD54" s="91">
        <f t="shared" si="172"/>
        <v>813.41000000000008</v>
      </c>
      <c r="BE54" s="91">
        <f t="shared" si="172"/>
        <v>813.41000000000008</v>
      </c>
      <c r="BF54" s="91">
        <f t="shared" si="172"/>
        <v>813.41000000000008</v>
      </c>
      <c r="BG54" s="91">
        <f t="shared" si="172"/>
        <v>813.41000000000008</v>
      </c>
      <c r="BH54" s="91">
        <f t="shared" si="172"/>
        <v>813.41000000000008</v>
      </c>
      <c r="BI54" s="91">
        <f t="shared" si="172"/>
        <v>813.41000000000008</v>
      </c>
      <c r="BJ54" s="91">
        <f t="shared" si="172"/>
        <v>813.41000000000008</v>
      </c>
      <c r="BK54" s="163">
        <f t="shared" si="172"/>
        <v>813.41000000000008</v>
      </c>
      <c r="BL54" s="381">
        <f t="shared" si="165"/>
        <v>1220.1150000000002</v>
      </c>
      <c r="BM54" s="91">
        <f t="shared" si="172"/>
        <v>1220.1150000000002</v>
      </c>
      <c r="BN54" s="91">
        <f t="shared" si="172"/>
        <v>1220.1150000000002</v>
      </c>
      <c r="BO54" s="91">
        <f t="shared" si="172"/>
        <v>1220.1150000000002</v>
      </c>
      <c r="BP54" s="91">
        <f t="shared" si="172"/>
        <v>1220.1150000000002</v>
      </c>
      <c r="BQ54" s="91">
        <f t="shared" si="172"/>
        <v>1220.1150000000002</v>
      </c>
      <c r="BR54" s="91">
        <f t="shared" si="172"/>
        <v>1220.1150000000002</v>
      </c>
      <c r="BS54" s="91">
        <f t="shared" si="172"/>
        <v>1220.1150000000002</v>
      </c>
      <c r="BT54" s="91">
        <f t="shared" si="172"/>
        <v>1220.1150000000002</v>
      </c>
      <c r="BU54" s="91">
        <f t="shared" si="172"/>
        <v>1220.1150000000002</v>
      </c>
      <c r="BV54" s="91">
        <f t="shared" si="172"/>
        <v>1220.1150000000002</v>
      </c>
      <c r="BW54" s="163">
        <f t="shared" si="172"/>
        <v>1220.1150000000002</v>
      </c>
      <c r="BX54" s="381">
        <f t="shared" si="166"/>
        <v>1830.1725000000004</v>
      </c>
      <c r="BY54" s="91">
        <f t="shared" si="172"/>
        <v>1830.1725000000004</v>
      </c>
      <c r="BZ54" s="91">
        <f t="shared" si="172"/>
        <v>1830.1725000000004</v>
      </c>
      <c r="CA54" s="91">
        <f t="shared" si="172"/>
        <v>1830.1725000000004</v>
      </c>
      <c r="CB54" s="91">
        <f t="shared" si="172"/>
        <v>1830.1725000000004</v>
      </c>
      <c r="CC54" s="91">
        <f t="shared" si="172"/>
        <v>1830.1725000000004</v>
      </c>
      <c r="CD54" s="91">
        <f t="shared" si="172"/>
        <v>1830.1725000000004</v>
      </c>
      <c r="CE54" s="91">
        <f t="shared" si="172"/>
        <v>1830.1725000000004</v>
      </c>
      <c r="CF54" s="91">
        <f t="shared" si="172"/>
        <v>1830.1725000000004</v>
      </c>
      <c r="CG54" s="91">
        <f t="shared" si="172"/>
        <v>1830.1725000000004</v>
      </c>
      <c r="CH54" s="91">
        <f t="shared" si="172"/>
        <v>1830.1725000000004</v>
      </c>
      <c r="CI54" s="163">
        <f t="shared" si="172"/>
        <v>1830.1725000000004</v>
      </c>
      <c r="CJ54" s="381">
        <f t="shared" si="168"/>
        <v>2745.2587500000004</v>
      </c>
      <c r="CK54" s="91">
        <f t="shared" si="172"/>
        <v>2745.2587500000004</v>
      </c>
      <c r="CL54" s="91">
        <f t="shared" ref="CL54:DG55" si="173">+CK54</f>
        <v>2745.2587500000004</v>
      </c>
      <c r="CM54" s="91">
        <f t="shared" si="173"/>
        <v>2745.2587500000004</v>
      </c>
      <c r="CN54" s="91">
        <f t="shared" si="173"/>
        <v>2745.2587500000004</v>
      </c>
      <c r="CO54" s="91">
        <f t="shared" si="173"/>
        <v>2745.2587500000004</v>
      </c>
      <c r="CP54" s="91">
        <f t="shared" si="173"/>
        <v>2745.2587500000004</v>
      </c>
      <c r="CQ54" s="91">
        <f t="shared" si="173"/>
        <v>2745.2587500000004</v>
      </c>
      <c r="CR54" s="91">
        <f t="shared" si="173"/>
        <v>2745.2587500000004</v>
      </c>
      <c r="CS54" s="91">
        <f t="shared" si="173"/>
        <v>2745.2587500000004</v>
      </c>
      <c r="CT54" s="91">
        <f t="shared" si="173"/>
        <v>2745.2587500000004</v>
      </c>
      <c r="CU54" s="163">
        <f t="shared" si="173"/>
        <v>2745.2587500000004</v>
      </c>
      <c r="CV54" s="381">
        <f t="shared" si="169"/>
        <v>4117.8881250000004</v>
      </c>
      <c r="CW54" s="91">
        <f t="shared" si="173"/>
        <v>4117.8881250000004</v>
      </c>
      <c r="CX54" s="91">
        <f t="shared" si="173"/>
        <v>4117.8881250000004</v>
      </c>
      <c r="CY54" s="91">
        <f t="shared" si="173"/>
        <v>4117.8881250000004</v>
      </c>
      <c r="CZ54" s="91">
        <f t="shared" si="173"/>
        <v>4117.8881250000004</v>
      </c>
      <c r="DA54" s="91">
        <f t="shared" si="173"/>
        <v>4117.8881250000004</v>
      </c>
      <c r="DB54" s="91">
        <f t="shared" si="173"/>
        <v>4117.8881250000004</v>
      </c>
      <c r="DC54" s="91">
        <f t="shared" si="173"/>
        <v>4117.8881250000004</v>
      </c>
      <c r="DD54" s="91">
        <f t="shared" si="173"/>
        <v>4117.8881250000004</v>
      </c>
      <c r="DE54" s="91">
        <f t="shared" si="173"/>
        <v>4117.8881250000004</v>
      </c>
      <c r="DF54" s="91">
        <f t="shared" si="173"/>
        <v>4117.8881250000004</v>
      </c>
      <c r="DG54" s="91">
        <f t="shared" si="173"/>
        <v>4117.8881250000004</v>
      </c>
    </row>
    <row r="55" spans="1:111" x14ac:dyDescent="0.3">
      <c r="A55" s="3"/>
      <c r="B55" s="4" t="s">
        <v>261</v>
      </c>
      <c r="C55" s="4"/>
      <c r="D55" s="37"/>
      <c r="E55" s="37">
        <f t="shared" ref="E55:N55" si="174">SUM(E51:E54)</f>
        <v>12</v>
      </c>
      <c r="F55" s="37">
        <f t="shared" si="174"/>
        <v>11.83</v>
      </c>
      <c r="G55" s="37">
        <f t="shared" si="174"/>
        <v>12</v>
      </c>
      <c r="H55" s="37">
        <f t="shared" si="174"/>
        <v>132</v>
      </c>
      <c r="I55" s="37">
        <f t="shared" si="174"/>
        <v>242</v>
      </c>
      <c r="J55" s="37">
        <f t="shared" si="174"/>
        <v>12</v>
      </c>
      <c r="K55" s="37">
        <f t="shared" si="174"/>
        <v>211</v>
      </c>
      <c r="L55" s="37">
        <f t="shared" si="174"/>
        <v>211</v>
      </c>
      <c r="M55" s="37">
        <f t="shared" si="174"/>
        <v>261.3</v>
      </c>
      <c r="N55" s="37">
        <f t="shared" si="174"/>
        <v>211</v>
      </c>
      <c r="O55" s="37">
        <f>SUM(O51:O54)</f>
        <v>505.8</v>
      </c>
      <c r="P55" s="37">
        <f>SUM(P51:P54)</f>
        <v>260.43</v>
      </c>
      <c r="Q55" s="37">
        <f t="shared" ref="Q55:AB55" si="175">SUM(Q51:Q54)</f>
        <v>335.11</v>
      </c>
      <c r="R55" s="37">
        <f t="shared" si="175"/>
        <v>299.5</v>
      </c>
      <c r="S55" s="37">
        <f t="shared" si="175"/>
        <v>295.99</v>
      </c>
      <c r="T55" s="37">
        <f t="shared" si="175"/>
        <v>808.86</v>
      </c>
      <c r="U55" s="37">
        <f t="shared" si="175"/>
        <v>272</v>
      </c>
      <c r="V55" s="37">
        <f t="shared" si="175"/>
        <v>272</v>
      </c>
      <c r="W55" s="37">
        <f t="shared" si="175"/>
        <v>532.25</v>
      </c>
      <c r="X55" s="37">
        <f t="shared" si="175"/>
        <v>719.74</v>
      </c>
      <c r="Y55" s="37">
        <f t="shared" si="175"/>
        <v>331</v>
      </c>
      <c r="Z55" s="37">
        <f t="shared" si="175"/>
        <v>569.35</v>
      </c>
      <c r="AA55" s="37">
        <f t="shared" si="175"/>
        <v>449.90999999999997</v>
      </c>
      <c r="AB55" s="37">
        <f t="shared" si="175"/>
        <v>321.97000000000003</v>
      </c>
      <c r="AC55" s="37">
        <f t="shared" ref="AC55" si="176">SUM(AC51:AC54)</f>
        <v>980.98</v>
      </c>
      <c r="AD55" s="37">
        <f t="shared" ref="AD55:AE55" si="177">SUM(AD51:AD54)</f>
        <v>307</v>
      </c>
      <c r="AE55" s="37">
        <f t="shared" si="177"/>
        <v>333.8</v>
      </c>
      <c r="AF55" s="37">
        <f t="shared" ref="AF55:AG55" si="178">SUM(AF51:AF54)</f>
        <v>913.42000000000007</v>
      </c>
      <c r="AG55" s="37">
        <f t="shared" si="178"/>
        <v>1178.76</v>
      </c>
      <c r="AH55" s="37">
        <f t="shared" ref="AH55:AI55" si="179">SUM(AH51:AH54)</f>
        <v>319</v>
      </c>
      <c r="AI55" s="37">
        <f t="shared" si="179"/>
        <v>459.36</v>
      </c>
      <c r="AJ55" s="164">
        <f t="shared" ref="AJ55" si="180">SUM(AJ51:AJ54)</f>
        <v>796.73</v>
      </c>
      <c r="AK55" s="541">
        <f t="shared" ref="AK55" si="181">+AVERAGE(AH55:AJ55)</f>
        <v>525.03000000000009</v>
      </c>
      <c r="AL55" s="37">
        <f t="shared" si="172"/>
        <v>525.03000000000009</v>
      </c>
      <c r="AM55" s="164">
        <f t="shared" si="172"/>
        <v>525.03000000000009</v>
      </c>
      <c r="AN55" s="37">
        <f t="shared" si="172"/>
        <v>525.03000000000009</v>
      </c>
      <c r="AO55" s="37">
        <f t="shared" si="172"/>
        <v>525.03000000000009</v>
      </c>
      <c r="AP55" s="37">
        <f t="shared" si="172"/>
        <v>525.03000000000009</v>
      </c>
      <c r="AQ55" s="37">
        <f t="shared" si="172"/>
        <v>525.03000000000009</v>
      </c>
      <c r="AR55" s="37">
        <f t="shared" si="172"/>
        <v>525.03000000000009</v>
      </c>
      <c r="AS55" s="37">
        <f t="shared" si="172"/>
        <v>525.03000000000009</v>
      </c>
      <c r="AT55" s="37">
        <f t="shared" si="172"/>
        <v>525.03000000000009</v>
      </c>
      <c r="AU55" s="37">
        <f t="shared" si="172"/>
        <v>525.03000000000009</v>
      </c>
      <c r="AV55" s="37">
        <f t="shared" si="172"/>
        <v>525.03000000000009</v>
      </c>
      <c r="AW55" s="37">
        <f t="shared" si="172"/>
        <v>525.03000000000009</v>
      </c>
      <c r="AX55" s="37">
        <f t="shared" si="172"/>
        <v>525.03000000000009</v>
      </c>
      <c r="AY55" s="164">
        <f t="shared" si="172"/>
        <v>525.03000000000009</v>
      </c>
      <c r="AZ55" s="37">
        <f t="shared" si="172"/>
        <v>525.03000000000009</v>
      </c>
      <c r="BA55" s="37">
        <f t="shared" si="172"/>
        <v>525.03000000000009</v>
      </c>
      <c r="BB55" s="37">
        <f t="shared" si="172"/>
        <v>525.03000000000009</v>
      </c>
      <c r="BC55" s="37">
        <f t="shared" si="172"/>
        <v>525.03000000000009</v>
      </c>
      <c r="BD55" s="37">
        <f t="shared" si="172"/>
        <v>525.03000000000009</v>
      </c>
      <c r="BE55" s="37">
        <f t="shared" si="172"/>
        <v>525.03000000000009</v>
      </c>
      <c r="BF55" s="37">
        <f t="shared" si="172"/>
        <v>525.03000000000009</v>
      </c>
      <c r="BG55" s="37">
        <f t="shared" si="172"/>
        <v>525.03000000000009</v>
      </c>
      <c r="BH55" s="37">
        <f t="shared" si="172"/>
        <v>525.03000000000009</v>
      </c>
      <c r="BI55" s="37">
        <f t="shared" si="172"/>
        <v>525.03000000000009</v>
      </c>
      <c r="BJ55" s="37">
        <f t="shared" si="172"/>
        <v>525.03000000000009</v>
      </c>
      <c r="BK55" s="164">
        <f t="shared" si="172"/>
        <v>525.03000000000009</v>
      </c>
      <c r="BL55" s="37">
        <f t="shared" si="172"/>
        <v>525.03000000000009</v>
      </c>
      <c r="BM55" s="37">
        <f t="shared" si="172"/>
        <v>525.03000000000009</v>
      </c>
      <c r="BN55" s="37">
        <f t="shared" si="172"/>
        <v>525.03000000000009</v>
      </c>
      <c r="BO55" s="37">
        <f t="shared" si="172"/>
        <v>525.03000000000009</v>
      </c>
      <c r="BP55" s="37">
        <f t="shared" si="172"/>
        <v>525.03000000000009</v>
      </c>
      <c r="BQ55" s="37">
        <f t="shared" si="172"/>
        <v>525.03000000000009</v>
      </c>
      <c r="BR55" s="37">
        <f t="shared" si="172"/>
        <v>525.03000000000009</v>
      </c>
      <c r="BS55" s="37">
        <f t="shared" si="172"/>
        <v>525.03000000000009</v>
      </c>
      <c r="BT55" s="37">
        <f t="shared" si="172"/>
        <v>525.03000000000009</v>
      </c>
      <c r="BU55" s="37">
        <f t="shared" si="172"/>
        <v>525.03000000000009</v>
      </c>
      <c r="BV55" s="37">
        <f t="shared" si="172"/>
        <v>525.03000000000009</v>
      </c>
      <c r="BW55" s="164">
        <f t="shared" si="172"/>
        <v>525.03000000000009</v>
      </c>
      <c r="BX55" s="37">
        <f t="shared" si="172"/>
        <v>525.03000000000009</v>
      </c>
      <c r="BY55" s="37">
        <f t="shared" si="172"/>
        <v>525.03000000000009</v>
      </c>
      <c r="BZ55" s="37">
        <f t="shared" si="172"/>
        <v>525.03000000000009</v>
      </c>
      <c r="CA55" s="37">
        <f t="shared" si="172"/>
        <v>525.03000000000009</v>
      </c>
      <c r="CB55" s="37">
        <f t="shared" si="172"/>
        <v>525.03000000000009</v>
      </c>
      <c r="CC55" s="37">
        <f t="shared" si="172"/>
        <v>525.03000000000009</v>
      </c>
      <c r="CD55" s="37">
        <f t="shared" si="172"/>
        <v>525.03000000000009</v>
      </c>
      <c r="CE55" s="37">
        <f t="shared" si="172"/>
        <v>525.03000000000009</v>
      </c>
      <c r="CF55" s="37">
        <f t="shared" si="172"/>
        <v>525.03000000000009</v>
      </c>
      <c r="CG55" s="37">
        <f t="shared" si="172"/>
        <v>525.03000000000009</v>
      </c>
      <c r="CH55" s="37">
        <f t="shared" si="172"/>
        <v>525.03000000000009</v>
      </c>
      <c r="CI55" s="164">
        <f t="shared" si="172"/>
        <v>525.03000000000009</v>
      </c>
      <c r="CJ55" s="37">
        <f t="shared" si="172"/>
        <v>525.03000000000009</v>
      </c>
      <c r="CK55" s="37">
        <f t="shared" si="172"/>
        <v>525.03000000000009</v>
      </c>
      <c r="CL55" s="37">
        <f t="shared" si="173"/>
        <v>525.03000000000009</v>
      </c>
      <c r="CM55" s="37">
        <f t="shared" si="173"/>
        <v>525.03000000000009</v>
      </c>
      <c r="CN55" s="37">
        <f t="shared" si="173"/>
        <v>525.03000000000009</v>
      </c>
      <c r="CO55" s="37">
        <f t="shared" si="173"/>
        <v>525.03000000000009</v>
      </c>
      <c r="CP55" s="37">
        <f t="shared" si="173"/>
        <v>525.03000000000009</v>
      </c>
      <c r="CQ55" s="37">
        <f t="shared" si="173"/>
        <v>525.03000000000009</v>
      </c>
      <c r="CR55" s="37">
        <f t="shared" si="173"/>
        <v>525.03000000000009</v>
      </c>
      <c r="CS55" s="37">
        <f t="shared" si="173"/>
        <v>525.03000000000009</v>
      </c>
      <c r="CT55" s="37">
        <f t="shared" si="173"/>
        <v>525.03000000000009</v>
      </c>
      <c r="CU55" s="164">
        <f t="shared" si="173"/>
        <v>525.03000000000009</v>
      </c>
      <c r="CV55" s="37">
        <f t="shared" si="173"/>
        <v>525.03000000000009</v>
      </c>
      <c r="CW55" s="37">
        <f t="shared" si="173"/>
        <v>525.03000000000009</v>
      </c>
      <c r="CX55" s="37">
        <f t="shared" si="173"/>
        <v>525.03000000000009</v>
      </c>
      <c r="CY55" s="37">
        <f t="shared" si="173"/>
        <v>525.03000000000009</v>
      </c>
      <c r="CZ55" s="37">
        <f t="shared" si="173"/>
        <v>525.03000000000009</v>
      </c>
      <c r="DA55" s="37">
        <f t="shared" si="173"/>
        <v>525.03000000000009</v>
      </c>
      <c r="DB55" s="37">
        <f t="shared" si="173"/>
        <v>525.03000000000009</v>
      </c>
      <c r="DC55" s="37">
        <f t="shared" si="173"/>
        <v>525.03000000000009</v>
      </c>
      <c r="DD55" s="37">
        <f t="shared" si="173"/>
        <v>525.03000000000009</v>
      </c>
      <c r="DE55" s="37">
        <f t="shared" si="173"/>
        <v>525.03000000000009</v>
      </c>
      <c r="DF55" s="37">
        <f t="shared" si="173"/>
        <v>525.03000000000009</v>
      </c>
      <c r="DG55" s="37">
        <f t="shared" si="173"/>
        <v>525.03000000000009</v>
      </c>
    </row>
    <row r="56" spans="1:111" s="15" customFormat="1" x14ac:dyDescent="0.3">
      <c r="A56"/>
      <c r="B56" s="1" t="s">
        <v>262</v>
      </c>
      <c r="C56" s="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163"/>
      <c r="AK56" s="540">
        <v>0</v>
      </c>
      <c r="AL56" s="91">
        <f t="shared" ref="AL56:BK56" si="182">+AK56</f>
        <v>0</v>
      </c>
      <c r="AM56" s="163">
        <f t="shared" si="182"/>
        <v>0</v>
      </c>
      <c r="AN56" s="91">
        <f t="shared" si="182"/>
        <v>0</v>
      </c>
      <c r="AO56" s="91">
        <f t="shared" si="182"/>
        <v>0</v>
      </c>
      <c r="AP56" s="91">
        <f t="shared" si="182"/>
        <v>0</v>
      </c>
      <c r="AQ56" s="91">
        <f t="shared" si="182"/>
        <v>0</v>
      </c>
      <c r="AR56" s="91">
        <f t="shared" si="182"/>
        <v>0</v>
      </c>
      <c r="AS56" s="91">
        <f t="shared" si="182"/>
        <v>0</v>
      </c>
      <c r="AT56" s="91">
        <f t="shared" si="182"/>
        <v>0</v>
      </c>
      <c r="AU56" s="91">
        <f t="shared" si="182"/>
        <v>0</v>
      </c>
      <c r="AV56" s="91">
        <f t="shared" si="182"/>
        <v>0</v>
      </c>
      <c r="AW56" s="91">
        <f t="shared" si="182"/>
        <v>0</v>
      </c>
      <c r="AX56" s="91">
        <f t="shared" si="182"/>
        <v>0</v>
      </c>
      <c r="AY56" s="163">
        <f t="shared" si="182"/>
        <v>0</v>
      </c>
      <c r="AZ56" s="91">
        <f t="shared" si="182"/>
        <v>0</v>
      </c>
      <c r="BA56" s="91">
        <f t="shared" si="182"/>
        <v>0</v>
      </c>
      <c r="BB56" s="91">
        <f t="shared" si="182"/>
        <v>0</v>
      </c>
      <c r="BC56" s="91">
        <f t="shared" si="182"/>
        <v>0</v>
      </c>
      <c r="BD56" s="91">
        <f t="shared" si="182"/>
        <v>0</v>
      </c>
      <c r="BE56" s="91">
        <f t="shared" si="182"/>
        <v>0</v>
      </c>
      <c r="BF56" s="91">
        <f t="shared" si="182"/>
        <v>0</v>
      </c>
      <c r="BG56" s="91">
        <f t="shared" si="182"/>
        <v>0</v>
      </c>
      <c r="BH56" s="91">
        <f t="shared" si="182"/>
        <v>0</v>
      </c>
      <c r="BI56" s="91">
        <f t="shared" si="182"/>
        <v>0</v>
      </c>
      <c r="BJ56" s="91">
        <f t="shared" si="182"/>
        <v>0</v>
      </c>
      <c r="BK56" s="163">
        <f t="shared" si="182"/>
        <v>0</v>
      </c>
      <c r="BL56" s="91">
        <f t="shared" ref="BL56" si="183">+BK56</f>
        <v>0</v>
      </c>
      <c r="BM56" s="91">
        <f t="shared" ref="BM56:CR56" si="184">+BL56</f>
        <v>0</v>
      </c>
      <c r="BN56" s="91">
        <f t="shared" si="184"/>
        <v>0</v>
      </c>
      <c r="BO56" s="91">
        <f t="shared" si="184"/>
        <v>0</v>
      </c>
      <c r="BP56" s="91">
        <f t="shared" si="184"/>
        <v>0</v>
      </c>
      <c r="BQ56" s="91">
        <f t="shared" si="184"/>
        <v>0</v>
      </c>
      <c r="BR56" s="91">
        <f t="shared" si="184"/>
        <v>0</v>
      </c>
      <c r="BS56" s="91">
        <f t="shared" si="184"/>
        <v>0</v>
      </c>
      <c r="BT56" s="91">
        <f t="shared" si="184"/>
        <v>0</v>
      </c>
      <c r="BU56" s="91">
        <f t="shared" si="184"/>
        <v>0</v>
      </c>
      <c r="BV56" s="91">
        <f t="shared" si="184"/>
        <v>0</v>
      </c>
      <c r="BW56" s="163">
        <f t="shared" si="184"/>
        <v>0</v>
      </c>
      <c r="BX56" s="91">
        <f t="shared" si="184"/>
        <v>0</v>
      </c>
      <c r="BY56" s="91">
        <f t="shared" si="184"/>
        <v>0</v>
      </c>
      <c r="BZ56" s="91">
        <f t="shared" si="184"/>
        <v>0</v>
      </c>
      <c r="CA56" s="91">
        <f t="shared" si="184"/>
        <v>0</v>
      </c>
      <c r="CB56" s="91">
        <f t="shared" si="184"/>
        <v>0</v>
      </c>
      <c r="CC56" s="91">
        <f t="shared" si="184"/>
        <v>0</v>
      </c>
      <c r="CD56" s="91">
        <f t="shared" si="184"/>
        <v>0</v>
      </c>
      <c r="CE56" s="91">
        <f t="shared" si="184"/>
        <v>0</v>
      </c>
      <c r="CF56" s="91">
        <f t="shared" si="184"/>
        <v>0</v>
      </c>
      <c r="CG56" s="91">
        <f t="shared" si="184"/>
        <v>0</v>
      </c>
      <c r="CH56" s="91">
        <f t="shared" si="184"/>
        <v>0</v>
      </c>
      <c r="CI56" s="163">
        <f t="shared" si="184"/>
        <v>0</v>
      </c>
      <c r="CJ56" s="91">
        <f t="shared" si="184"/>
        <v>0</v>
      </c>
      <c r="CK56" s="91">
        <f t="shared" si="184"/>
        <v>0</v>
      </c>
      <c r="CL56" s="91">
        <f t="shared" si="184"/>
        <v>0</v>
      </c>
      <c r="CM56" s="91">
        <f t="shared" si="184"/>
        <v>0</v>
      </c>
      <c r="CN56" s="91">
        <f t="shared" si="184"/>
        <v>0</v>
      </c>
      <c r="CO56" s="91">
        <f t="shared" si="184"/>
        <v>0</v>
      </c>
      <c r="CP56" s="91">
        <f t="shared" si="184"/>
        <v>0</v>
      </c>
      <c r="CQ56" s="91">
        <f t="shared" si="184"/>
        <v>0</v>
      </c>
      <c r="CR56" s="91">
        <f t="shared" si="184"/>
        <v>0</v>
      </c>
      <c r="CS56" s="91">
        <f t="shared" ref="CS56:DG56" si="185">+CR56</f>
        <v>0</v>
      </c>
      <c r="CT56" s="91">
        <f t="shared" si="185"/>
        <v>0</v>
      </c>
      <c r="CU56" s="163">
        <f t="shared" si="185"/>
        <v>0</v>
      </c>
      <c r="CV56" s="91">
        <f t="shared" si="185"/>
        <v>0</v>
      </c>
      <c r="CW56" s="91">
        <f t="shared" si="185"/>
        <v>0</v>
      </c>
      <c r="CX56" s="91">
        <f t="shared" si="185"/>
        <v>0</v>
      </c>
      <c r="CY56" s="91">
        <f t="shared" si="185"/>
        <v>0</v>
      </c>
      <c r="CZ56" s="91">
        <f t="shared" si="185"/>
        <v>0</v>
      </c>
      <c r="DA56" s="91">
        <f t="shared" si="185"/>
        <v>0</v>
      </c>
      <c r="DB56" s="91">
        <f t="shared" si="185"/>
        <v>0</v>
      </c>
      <c r="DC56" s="91">
        <f t="shared" si="185"/>
        <v>0</v>
      </c>
      <c r="DD56" s="91">
        <f t="shared" si="185"/>
        <v>0</v>
      </c>
      <c r="DE56" s="91">
        <f t="shared" si="185"/>
        <v>0</v>
      </c>
      <c r="DF56" s="91">
        <f t="shared" si="185"/>
        <v>0</v>
      </c>
      <c r="DG56" s="91">
        <f t="shared" si="185"/>
        <v>0</v>
      </c>
    </row>
    <row r="57" spans="1:111" s="15" customFormat="1" x14ac:dyDescent="0.3">
      <c r="A57"/>
      <c r="B57" s="1" t="s">
        <v>318</v>
      </c>
      <c r="C57" s="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>
        <v>1088</v>
      </c>
      <c r="S57" s="91"/>
      <c r="T57" s="91"/>
      <c r="U57" s="91"/>
      <c r="V57" s="91"/>
      <c r="W57" s="91"/>
      <c r="X57" s="91"/>
      <c r="Y57" s="91"/>
      <c r="Z57" s="91"/>
      <c r="AA57" s="91"/>
      <c r="AB57" s="91">
        <v>543.75</v>
      </c>
      <c r="AC57" s="91">
        <v>262.5</v>
      </c>
      <c r="AD57" s="91">
        <v>375</v>
      </c>
      <c r="AE57" s="91">
        <v>262.5</v>
      </c>
      <c r="AF57" s="91">
        <v>712.5</v>
      </c>
      <c r="AG57" s="91">
        <v>450</v>
      </c>
      <c r="AH57" s="91">
        <v>337.5</v>
      </c>
      <c r="AI57" s="91">
        <v>407.5</v>
      </c>
      <c r="AJ57" s="163">
        <v>262.5</v>
      </c>
      <c r="AK57" s="540">
        <v>300</v>
      </c>
      <c r="AL57" s="91">
        <f t="shared" ref="AL57:BM57" si="186">+AK57</f>
        <v>300</v>
      </c>
      <c r="AM57" s="163">
        <f t="shared" si="186"/>
        <v>300</v>
      </c>
      <c r="AN57" s="91">
        <f t="shared" si="186"/>
        <v>300</v>
      </c>
      <c r="AO57" s="91">
        <f t="shared" si="186"/>
        <v>300</v>
      </c>
      <c r="AP57" s="91">
        <f t="shared" si="186"/>
        <v>300</v>
      </c>
      <c r="AQ57" s="91">
        <f t="shared" si="186"/>
        <v>300</v>
      </c>
      <c r="AR57" s="91">
        <f t="shared" si="186"/>
        <v>300</v>
      </c>
      <c r="AS57" s="91">
        <f t="shared" si="186"/>
        <v>300</v>
      </c>
      <c r="AT57" s="91">
        <f t="shared" si="186"/>
        <v>300</v>
      </c>
      <c r="AU57" s="91">
        <f t="shared" si="186"/>
        <v>300</v>
      </c>
      <c r="AV57" s="91">
        <f t="shared" si="186"/>
        <v>300</v>
      </c>
      <c r="AW57" s="91">
        <f t="shared" si="186"/>
        <v>300</v>
      </c>
      <c r="AX57" s="91">
        <f t="shared" si="186"/>
        <v>300</v>
      </c>
      <c r="AY57" s="163">
        <f t="shared" si="186"/>
        <v>300</v>
      </c>
      <c r="AZ57" s="381">
        <f>+AY57*1.5</f>
        <v>450</v>
      </c>
      <c r="BA57" s="91">
        <f t="shared" si="186"/>
        <v>450</v>
      </c>
      <c r="BB57" s="91">
        <f t="shared" si="186"/>
        <v>450</v>
      </c>
      <c r="BC57" s="91">
        <f t="shared" si="186"/>
        <v>450</v>
      </c>
      <c r="BD57" s="91">
        <f t="shared" si="186"/>
        <v>450</v>
      </c>
      <c r="BE57" s="91">
        <f t="shared" si="186"/>
        <v>450</v>
      </c>
      <c r="BF57" s="91">
        <f t="shared" si="186"/>
        <v>450</v>
      </c>
      <c r="BG57" s="91">
        <f t="shared" si="186"/>
        <v>450</v>
      </c>
      <c r="BH57" s="91">
        <f t="shared" si="186"/>
        <v>450</v>
      </c>
      <c r="BI57" s="91">
        <f t="shared" si="186"/>
        <v>450</v>
      </c>
      <c r="BJ57" s="91">
        <f t="shared" si="186"/>
        <v>450</v>
      </c>
      <c r="BK57" s="163">
        <f t="shared" si="186"/>
        <v>450</v>
      </c>
      <c r="BL57" s="381">
        <f>+BK57*1.5</f>
        <v>675</v>
      </c>
      <c r="BM57" s="91">
        <f t="shared" si="186"/>
        <v>675</v>
      </c>
      <c r="BN57" s="91">
        <f t="shared" ref="BN57:CS57" si="187">+BM57</f>
        <v>675</v>
      </c>
      <c r="BO57" s="91">
        <f t="shared" si="187"/>
        <v>675</v>
      </c>
      <c r="BP57" s="91">
        <f t="shared" si="187"/>
        <v>675</v>
      </c>
      <c r="BQ57" s="91">
        <f t="shared" si="187"/>
        <v>675</v>
      </c>
      <c r="BR57" s="91">
        <f t="shared" si="187"/>
        <v>675</v>
      </c>
      <c r="BS57" s="91">
        <f t="shared" si="187"/>
        <v>675</v>
      </c>
      <c r="BT57" s="91">
        <f t="shared" si="187"/>
        <v>675</v>
      </c>
      <c r="BU57" s="91">
        <f t="shared" si="187"/>
        <v>675</v>
      </c>
      <c r="BV57" s="91">
        <f t="shared" si="187"/>
        <v>675</v>
      </c>
      <c r="BW57" s="163">
        <f t="shared" si="187"/>
        <v>675</v>
      </c>
      <c r="BX57" s="381">
        <f>+BW57*1.5</f>
        <v>1012.5</v>
      </c>
      <c r="BY57" s="91">
        <f t="shared" si="187"/>
        <v>1012.5</v>
      </c>
      <c r="BZ57" s="91">
        <f t="shared" si="187"/>
        <v>1012.5</v>
      </c>
      <c r="CA57" s="91">
        <f t="shared" si="187"/>
        <v>1012.5</v>
      </c>
      <c r="CB57" s="91">
        <f t="shared" si="187"/>
        <v>1012.5</v>
      </c>
      <c r="CC57" s="91">
        <f t="shared" si="187"/>
        <v>1012.5</v>
      </c>
      <c r="CD57" s="91">
        <f t="shared" si="187"/>
        <v>1012.5</v>
      </c>
      <c r="CE57" s="91">
        <f t="shared" si="187"/>
        <v>1012.5</v>
      </c>
      <c r="CF57" s="91">
        <f t="shared" si="187"/>
        <v>1012.5</v>
      </c>
      <c r="CG57" s="91">
        <f t="shared" si="187"/>
        <v>1012.5</v>
      </c>
      <c r="CH57" s="91">
        <f t="shared" si="187"/>
        <v>1012.5</v>
      </c>
      <c r="CI57" s="163">
        <f t="shared" si="187"/>
        <v>1012.5</v>
      </c>
      <c r="CJ57" s="381">
        <f>+CI57*1.5</f>
        <v>1518.75</v>
      </c>
      <c r="CK57" s="91">
        <f t="shared" si="187"/>
        <v>1518.75</v>
      </c>
      <c r="CL57" s="91">
        <f t="shared" si="187"/>
        <v>1518.75</v>
      </c>
      <c r="CM57" s="91">
        <f t="shared" si="187"/>
        <v>1518.75</v>
      </c>
      <c r="CN57" s="91">
        <f t="shared" si="187"/>
        <v>1518.75</v>
      </c>
      <c r="CO57" s="91">
        <f t="shared" si="187"/>
        <v>1518.75</v>
      </c>
      <c r="CP57" s="91">
        <f t="shared" si="187"/>
        <v>1518.75</v>
      </c>
      <c r="CQ57" s="91">
        <f t="shared" si="187"/>
        <v>1518.75</v>
      </c>
      <c r="CR57" s="91">
        <f t="shared" si="187"/>
        <v>1518.75</v>
      </c>
      <c r="CS57" s="91">
        <f t="shared" si="187"/>
        <v>1518.75</v>
      </c>
      <c r="CT57" s="91">
        <f t="shared" ref="CT57:DG57" si="188">+CS57</f>
        <v>1518.75</v>
      </c>
      <c r="CU57" s="163">
        <f t="shared" si="188"/>
        <v>1518.75</v>
      </c>
      <c r="CV57" s="381">
        <f>+CU57*1.5</f>
        <v>2278.125</v>
      </c>
      <c r="CW57" s="91">
        <f t="shared" si="188"/>
        <v>2278.125</v>
      </c>
      <c r="CX57" s="91">
        <f t="shared" si="188"/>
        <v>2278.125</v>
      </c>
      <c r="CY57" s="91">
        <f t="shared" si="188"/>
        <v>2278.125</v>
      </c>
      <c r="CZ57" s="91">
        <f t="shared" si="188"/>
        <v>2278.125</v>
      </c>
      <c r="DA57" s="91">
        <f t="shared" si="188"/>
        <v>2278.125</v>
      </c>
      <c r="DB57" s="91">
        <f t="shared" si="188"/>
        <v>2278.125</v>
      </c>
      <c r="DC57" s="91">
        <f t="shared" si="188"/>
        <v>2278.125</v>
      </c>
      <c r="DD57" s="91">
        <f t="shared" si="188"/>
        <v>2278.125</v>
      </c>
      <c r="DE57" s="91">
        <f t="shared" si="188"/>
        <v>2278.125</v>
      </c>
      <c r="DF57" s="91">
        <f t="shared" si="188"/>
        <v>2278.125</v>
      </c>
      <c r="DG57" s="91">
        <f t="shared" si="188"/>
        <v>2278.125</v>
      </c>
    </row>
    <row r="58" spans="1:111" s="15" customFormat="1" x14ac:dyDescent="0.3">
      <c r="A58"/>
      <c r="B58" s="1" t="s">
        <v>319</v>
      </c>
      <c r="C58" s="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>
        <v>2275</v>
      </c>
      <c r="P58" s="91"/>
      <c r="Q58" s="91"/>
      <c r="R58" s="91"/>
      <c r="S58" s="91"/>
      <c r="T58" s="91">
        <v>1005</v>
      </c>
      <c r="U58" s="91"/>
      <c r="V58" s="91">
        <v>700</v>
      </c>
      <c r="W58" s="91"/>
      <c r="X58" s="91">
        <v>621</v>
      </c>
      <c r="Y58" s="91"/>
      <c r="Z58" s="91"/>
      <c r="AA58" s="91"/>
      <c r="AB58" s="91"/>
      <c r="AC58" s="91"/>
      <c r="AD58" s="91"/>
      <c r="AE58" s="91"/>
      <c r="AF58" s="91">
        <v>400</v>
      </c>
      <c r="AG58" s="91"/>
      <c r="AH58" s="91"/>
      <c r="AI58" s="91"/>
      <c r="AJ58" s="163"/>
      <c r="AK58" s="540">
        <v>100</v>
      </c>
      <c r="AL58" s="91">
        <f t="shared" ref="AL58:AS58" si="189">+AK58</f>
        <v>100</v>
      </c>
      <c r="AM58" s="163">
        <f t="shared" si="189"/>
        <v>100</v>
      </c>
      <c r="AN58" s="91">
        <f t="shared" si="189"/>
        <v>100</v>
      </c>
      <c r="AO58" s="91">
        <f t="shared" si="189"/>
        <v>100</v>
      </c>
      <c r="AP58" s="91">
        <f t="shared" si="189"/>
        <v>100</v>
      </c>
      <c r="AQ58" s="91">
        <f t="shared" si="189"/>
        <v>100</v>
      </c>
      <c r="AR58" s="91">
        <f t="shared" si="189"/>
        <v>100</v>
      </c>
      <c r="AS58" s="91">
        <f t="shared" si="189"/>
        <v>100</v>
      </c>
      <c r="AT58" s="91">
        <f t="shared" ref="AT58:CO58" si="190">+AS58</f>
        <v>100</v>
      </c>
      <c r="AU58" s="91">
        <f t="shared" si="190"/>
        <v>100</v>
      </c>
      <c r="AV58" s="91">
        <f t="shared" si="190"/>
        <v>100</v>
      </c>
      <c r="AW58" s="91">
        <f t="shared" si="190"/>
        <v>100</v>
      </c>
      <c r="AX58" s="91">
        <f t="shared" si="190"/>
        <v>100</v>
      </c>
      <c r="AY58" s="163">
        <f t="shared" si="190"/>
        <v>100</v>
      </c>
      <c r="AZ58" s="91">
        <f t="shared" si="190"/>
        <v>100</v>
      </c>
      <c r="BA58" s="91">
        <f t="shared" si="190"/>
        <v>100</v>
      </c>
      <c r="BB58" s="91">
        <f t="shared" si="190"/>
        <v>100</v>
      </c>
      <c r="BC58" s="91">
        <f t="shared" si="190"/>
        <v>100</v>
      </c>
      <c r="BD58" s="91">
        <f t="shared" si="190"/>
        <v>100</v>
      </c>
      <c r="BE58" s="91">
        <f t="shared" si="190"/>
        <v>100</v>
      </c>
      <c r="BF58" s="91">
        <f t="shared" si="190"/>
        <v>100</v>
      </c>
      <c r="BG58" s="91">
        <f t="shared" si="190"/>
        <v>100</v>
      </c>
      <c r="BH58" s="91">
        <f t="shared" si="190"/>
        <v>100</v>
      </c>
      <c r="BI58" s="91">
        <f t="shared" si="190"/>
        <v>100</v>
      </c>
      <c r="BJ58" s="91">
        <f t="shared" si="190"/>
        <v>100</v>
      </c>
      <c r="BK58" s="163">
        <f t="shared" si="190"/>
        <v>100</v>
      </c>
      <c r="BL58" s="91">
        <f t="shared" si="190"/>
        <v>100</v>
      </c>
      <c r="BM58" s="91">
        <f t="shared" si="190"/>
        <v>100</v>
      </c>
      <c r="BN58" s="91">
        <f t="shared" si="190"/>
        <v>100</v>
      </c>
      <c r="BO58" s="91">
        <f t="shared" si="190"/>
        <v>100</v>
      </c>
      <c r="BP58" s="91">
        <f t="shared" si="190"/>
        <v>100</v>
      </c>
      <c r="BQ58" s="91">
        <f t="shared" si="190"/>
        <v>100</v>
      </c>
      <c r="BR58" s="91">
        <f t="shared" si="190"/>
        <v>100</v>
      </c>
      <c r="BS58" s="91">
        <f t="shared" si="190"/>
        <v>100</v>
      </c>
      <c r="BT58" s="91">
        <f t="shared" si="190"/>
        <v>100</v>
      </c>
      <c r="BU58" s="91">
        <f t="shared" si="190"/>
        <v>100</v>
      </c>
      <c r="BV58" s="91">
        <f t="shared" si="190"/>
        <v>100</v>
      </c>
      <c r="BW58" s="163">
        <f t="shared" si="190"/>
        <v>100</v>
      </c>
      <c r="BX58" s="91">
        <f t="shared" si="190"/>
        <v>100</v>
      </c>
      <c r="BY58" s="91">
        <f t="shared" si="190"/>
        <v>100</v>
      </c>
      <c r="BZ58" s="91">
        <f t="shared" si="190"/>
        <v>100</v>
      </c>
      <c r="CA58" s="91">
        <f t="shared" si="190"/>
        <v>100</v>
      </c>
      <c r="CB58" s="91">
        <f t="shared" si="190"/>
        <v>100</v>
      </c>
      <c r="CC58" s="91">
        <f t="shared" si="190"/>
        <v>100</v>
      </c>
      <c r="CD58" s="91">
        <f t="shared" si="190"/>
        <v>100</v>
      </c>
      <c r="CE58" s="91">
        <f t="shared" si="190"/>
        <v>100</v>
      </c>
      <c r="CF58" s="91">
        <f t="shared" si="190"/>
        <v>100</v>
      </c>
      <c r="CG58" s="91">
        <f t="shared" si="190"/>
        <v>100</v>
      </c>
      <c r="CH58" s="91">
        <f t="shared" si="190"/>
        <v>100</v>
      </c>
      <c r="CI58" s="163">
        <f t="shared" si="190"/>
        <v>100</v>
      </c>
      <c r="CJ58" s="91">
        <f t="shared" si="190"/>
        <v>100</v>
      </c>
      <c r="CK58" s="91">
        <f t="shared" si="190"/>
        <v>100</v>
      </c>
      <c r="CL58" s="91">
        <f t="shared" si="190"/>
        <v>100</v>
      </c>
      <c r="CM58" s="91">
        <f t="shared" si="190"/>
        <v>100</v>
      </c>
      <c r="CN58" s="91">
        <f t="shared" si="190"/>
        <v>100</v>
      </c>
      <c r="CO58" s="91">
        <f t="shared" si="190"/>
        <v>100</v>
      </c>
      <c r="CP58" s="91">
        <f t="shared" ref="CP58:DG58" si="191">+CO58</f>
        <v>100</v>
      </c>
      <c r="CQ58" s="91">
        <f t="shared" si="191"/>
        <v>100</v>
      </c>
      <c r="CR58" s="91">
        <f t="shared" si="191"/>
        <v>100</v>
      </c>
      <c r="CS58" s="91">
        <f t="shared" si="191"/>
        <v>100</v>
      </c>
      <c r="CT58" s="91">
        <f t="shared" si="191"/>
        <v>100</v>
      </c>
      <c r="CU58" s="163">
        <f t="shared" si="191"/>
        <v>100</v>
      </c>
      <c r="CV58" s="91">
        <f t="shared" si="191"/>
        <v>100</v>
      </c>
      <c r="CW58" s="91">
        <f t="shared" si="191"/>
        <v>100</v>
      </c>
      <c r="CX58" s="91">
        <f t="shared" si="191"/>
        <v>100</v>
      </c>
      <c r="CY58" s="91">
        <f t="shared" si="191"/>
        <v>100</v>
      </c>
      <c r="CZ58" s="91">
        <f t="shared" si="191"/>
        <v>100</v>
      </c>
      <c r="DA58" s="91">
        <f t="shared" si="191"/>
        <v>100</v>
      </c>
      <c r="DB58" s="91">
        <f t="shared" si="191"/>
        <v>100</v>
      </c>
      <c r="DC58" s="91">
        <f t="shared" si="191"/>
        <v>100</v>
      </c>
      <c r="DD58" s="91">
        <f t="shared" si="191"/>
        <v>100</v>
      </c>
      <c r="DE58" s="91">
        <f t="shared" si="191"/>
        <v>100</v>
      </c>
      <c r="DF58" s="91">
        <f t="shared" si="191"/>
        <v>100</v>
      </c>
      <c r="DG58" s="91">
        <f t="shared" si="191"/>
        <v>100</v>
      </c>
    </row>
    <row r="59" spans="1:111" x14ac:dyDescent="0.3">
      <c r="A59" s="3"/>
      <c r="B59" s="4" t="s">
        <v>263</v>
      </c>
      <c r="C59" s="4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>
        <f>SUM(O57:O58)</f>
        <v>2275</v>
      </c>
      <c r="P59" s="37">
        <f t="shared" ref="P59:CA59" si="192">SUM(P57:P58)</f>
        <v>0</v>
      </c>
      <c r="Q59" s="37">
        <f t="shared" si="192"/>
        <v>0</v>
      </c>
      <c r="R59" s="37">
        <f t="shared" si="192"/>
        <v>1088</v>
      </c>
      <c r="S59" s="37">
        <f t="shared" si="192"/>
        <v>0</v>
      </c>
      <c r="T59" s="37">
        <f t="shared" si="192"/>
        <v>1005</v>
      </c>
      <c r="U59" s="37">
        <f t="shared" si="192"/>
        <v>0</v>
      </c>
      <c r="V59" s="37">
        <f t="shared" si="192"/>
        <v>700</v>
      </c>
      <c r="W59" s="37">
        <f t="shared" si="192"/>
        <v>0</v>
      </c>
      <c r="X59" s="37">
        <f t="shared" si="192"/>
        <v>621</v>
      </c>
      <c r="Y59" s="37">
        <f t="shared" si="192"/>
        <v>0</v>
      </c>
      <c r="Z59" s="37">
        <f t="shared" si="192"/>
        <v>0</v>
      </c>
      <c r="AA59" s="37">
        <f t="shared" si="192"/>
        <v>0</v>
      </c>
      <c r="AB59" s="37">
        <f t="shared" si="192"/>
        <v>543.75</v>
      </c>
      <c r="AC59" s="37">
        <f t="shared" si="192"/>
        <v>262.5</v>
      </c>
      <c r="AD59" s="37">
        <f t="shared" si="192"/>
        <v>375</v>
      </c>
      <c r="AE59" s="37">
        <f t="shared" si="192"/>
        <v>262.5</v>
      </c>
      <c r="AF59" s="37">
        <f t="shared" ref="AF59:AG59" si="193">SUM(AF57:AF58)</f>
        <v>1112.5</v>
      </c>
      <c r="AG59" s="37">
        <f t="shared" si="193"/>
        <v>450</v>
      </c>
      <c r="AH59" s="37">
        <f t="shared" ref="AH59:AI59" si="194">SUM(AH57:AH58)</f>
        <v>337.5</v>
      </c>
      <c r="AI59" s="37">
        <f t="shared" si="194"/>
        <v>407.5</v>
      </c>
      <c r="AJ59" s="164">
        <f t="shared" ref="AJ59" si="195">SUM(AJ57:AJ58)</f>
        <v>262.5</v>
      </c>
      <c r="AK59" s="37">
        <f t="shared" ref="AK59" si="196">SUM(AK57:AK58)</f>
        <v>400</v>
      </c>
      <c r="AL59" s="37">
        <f t="shared" si="192"/>
        <v>400</v>
      </c>
      <c r="AM59" s="164">
        <f t="shared" si="192"/>
        <v>400</v>
      </c>
      <c r="AN59" s="37">
        <f t="shared" si="192"/>
        <v>400</v>
      </c>
      <c r="AO59" s="37">
        <f t="shared" si="192"/>
        <v>400</v>
      </c>
      <c r="AP59" s="37">
        <f t="shared" si="192"/>
        <v>400</v>
      </c>
      <c r="AQ59" s="37">
        <f t="shared" si="192"/>
        <v>400</v>
      </c>
      <c r="AR59" s="37">
        <f t="shared" si="192"/>
        <v>400</v>
      </c>
      <c r="AS59" s="37">
        <f t="shared" si="192"/>
        <v>400</v>
      </c>
      <c r="AT59" s="37">
        <f t="shared" si="192"/>
        <v>400</v>
      </c>
      <c r="AU59" s="37">
        <f t="shared" si="192"/>
        <v>400</v>
      </c>
      <c r="AV59" s="37">
        <f t="shared" si="192"/>
        <v>400</v>
      </c>
      <c r="AW59" s="37">
        <f t="shared" si="192"/>
        <v>400</v>
      </c>
      <c r="AX59" s="37">
        <f t="shared" si="192"/>
        <v>400</v>
      </c>
      <c r="AY59" s="164">
        <f t="shared" si="192"/>
        <v>400</v>
      </c>
      <c r="AZ59" s="37">
        <f t="shared" si="192"/>
        <v>550</v>
      </c>
      <c r="BA59" s="37">
        <f t="shared" si="192"/>
        <v>550</v>
      </c>
      <c r="BB59" s="37">
        <f t="shared" si="192"/>
        <v>550</v>
      </c>
      <c r="BC59" s="37">
        <f t="shared" si="192"/>
        <v>550</v>
      </c>
      <c r="BD59" s="37">
        <f t="shared" si="192"/>
        <v>550</v>
      </c>
      <c r="BE59" s="37">
        <f t="shared" si="192"/>
        <v>550</v>
      </c>
      <c r="BF59" s="37">
        <f t="shared" si="192"/>
        <v>550</v>
      </c>
      <c r="BG59" s="37">
        <f t="shared" si="192"/>
        <v>550</v>
      </c>
      <c r="BH59" s="37">
        <f t="shared" si="192"/>
        <v>550</v>
      </c>
      <c r="BI59" s="37">
        <f t="shared" si="192"/>
        <v>550</v>
      </c>
      <c r="BJ59" s="37">
        <f t="shared" si="192"/>
        <v>550</v>
      </c>
      <c r="BK59" s="164">
        <f t="shared" si="192"/>
        <v>550</v>
      </c>
      <c r="BL59" s="37">
        <f t="shared" ref="BL59" si="197">SUM(BL57:BL58)</f>
        <v>775</v>
      </c>
      <c r="BM59" s="37">
        <f t="shared" si="192"/>
        <v>775</v>
      </c>
      <c r="BN59" s="37">
        <f t="shared" si="192"/>
        <v>775</v>
      </c>
      <c r="BO59" s="37">
        <f t="shared" si="192"/>
        <v>775</v>
      </c>
      <c r="BP59" s="37">
        <f t="shared" si="192"/>
        <v>775</v>
      </c>
      <c r="BQ59" s="37">
        <f t="shared" si="192"/>
        <v>775</v>
      </c>
      <c r="BR59" s="37">
        <f t="shared" si="192"/>
        <v>775</v>
      </c>
      <c r="BS59" s="37">
        <f t="shared" si="192"/>
        <v>775</v>
      </c>
      <c r="BT59" s="37">
        <f t="shared" si="192"/>
        <v>775</v>
      </c>
      <c r="BU59" s="37">
        <f t="shared" si="192"/>
        <v>775</v>
      </c>
      <c r="BV59" s="37">
        <f t="shared" si="192"/>
        <v>775</v>
      </c>
      <c r="BW59" s="164">
        <f t="shared" si="192"/>
        <v>775</v>
      </c>
      <c r="BX59" s="37">
        <f t="shared" ref="BX59" si="198">SUM(BX57:BX58)</f>
        <v>1112.5</v>
      </c>
      <c r="BY59" s="37">
        <f t="shared" si="192"/>
        <v>1112.5</v>
      </c>
      <c r="BZ59" s="37">
        <f t="shared" si="192"/>
        <v>1112.5</v>
      </c>
      <c r="CA59" s="37">
        <f t="shared" si="192"/>
        <v>1112.5</v>
      </c>
      <c r="CB59" s="37">
        <f t="shared" ref="CB59:DG59" si="199">SUM(CB57:CB58)</f>
        <v>1112.5</v>
      </c>
      <c r="CC59" s="37">
        <f t="shared" si="199"/>
        <v>1112.5</v>
      </c>
      <c r="CD59" s="37">
        <f t="shared" si="199"/>
        <v>1112.5</v>
      </c>
      <c r="CE59" s="37">
        <f t="shared" si="199"/>
        <v>1112.5</v>
      </c>
      <c r="CF59" s="37">
        <f t="shared" si="199"/>
        <v>1112.5</v>
      </c>
      <c r="CG59" s="37">
        <f t="shared" si="199"/>
        <v>1112.5</v>
      </c>
      <c r="CH59" s="37">
        <f t="shared" si="199"/>
        <v>1112.5</v>
      </c>
      <c r="CI59" s="164">
        <f t="shared" si="199"/>
        <v>1112.5</v>
      </c>
      <c r="CJ59" s="37">
        <f t="shared" si="199"/>
        <v>1618.75</v>
      </c>
      <c r="CK59" s="37">
        <f t="shared" si="199"/>
        <v>1618.75</v>
      </c>
      <c r="CL59" s="37">
        <f t="shared" si="199"/>
        <v>1618.75</v>
      </c>
      <c r="CM59" s="37">
        <f t="shared" si="199"/>
        <v>1618.75</v>
      </c>
      <c r="CN59" s="37">
        <f t="shared" si="199"/>
        <v>1618.75</v>
      </c>
      <c r="CO59" s="37">
        <f t="shared" si="199"/>
        <v>1618.75</v>
      </c>
      <c r="CP59" s="37">
        <f t="shared" si="199"/>
        <v>1618.75</v>
      </c>
      <c r="CQ59" s="37">
        <f t="shared" si="199"/>
        <v>1618.75</v>
      </c>
      <c r="CR59" s="37">
        <f t="shared" si="199"/>
        <v>1618.75</v>
      </c>
      <c r="CS59" s="37">
        <f t="shared" si="199"/>
        <v>1618.75</v>
      </c>
      <c r="CT59" s="37">
        <f t="shared" si="199"/>
        <v>1618.75</v>
      </c>
      <c r="CU59" s="164">
        <f t="shared" si="199"/>
        <v>1618.75</v>
      </c>
      <c r="CV59" s="37">
        <f t="shared" si="199"/>
        <v>2378.125</v>
      </c>
      <c r="CW59" s="37">
        <f t="shared" si="199"/>
        <v>2378.125</v>
      </c>
      <c r="CX59" s="37">
        <f t="shared" si="199"/>
        <v>2378.125</v>
      </c>
      <c r="CY59" s="37">
        <f t="shared" si="199"/>
        <v>2378.125</v>
      </c>
      <c r="CZ59" s="37">
        <f t="shared" si="199"/>
        <v>2378.125</v>
      </c>
      <c r="DA59" s="37">
        <f t="shared" si="199"/>
        <v>2378.125</v>
      </c>
      <c r="DB59" s="37">
        <f t="shared" si="199"/>
        <v>2378.125</v>
      </c>
      <c r="DC59" s="37">
        <f t="shared" si="199"/>
        <v>2378.125</v>
      </c>
      <c r="DD59" s="37">
        <f t="shared" si="199"/>
        <v>2378.125</v>
      </c>
      <c r="DE59" s="37">
        <f t="shared" si="199"/>
        <v>2378.125</v>
      </c>
      <c r="DF59" s="37">
        <f t="shared" si="199"/>
        <v>2378.125</v>
      </c>
      <c r="DG59" s="37">
        <f t="shared" si="199"/>
        <v>2378.125</v>
      </c>
    </row>
    <row r="60" spans="1:111" s="15" customFormat="1" x14ac:dyDescent="0.3">
      <c r="A60"/>
      <c r="B60" s="1" t="s">
        <v>320</v>
      </c>
      <c r="C60" s="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163"/>
      <c r="AK60" s="540">
        <v>0</v>
      </c>
      <c r="AL60" s="91">
        <f t="shared" ref="AL60:CP60" si="200">+AK60</f>
        <v>0</v>
      </c>
      <c r="AM60" s="163">
        <f t="shared" si="200"/>
        <v>0</v>
      </c>
      <c r="AN60" s="91">
        <f t="shared" si="200"/>
        <v>0</v>
      </c>
      <c r="AO60" s="91">
        <f t="shared" si="200"/>
        <v>0</v>
      </c>
      <c r="AP60" s="91">
        <f t="shared" si="200"/>
        <v>0</v>
      </c>
      <c r="AQ60" s="91">
        <f t="shared" si="200"/>
        <v>0</v>
      </c>
      <c r="AR60" s="91">
        <f t="shared" si="200"/>
        <v>0</v>
      </c>
      <c r="AS60" s="91">
        <f t="shared" si="200"/>
        <v>0</v>
      </c>
      <c r="AT60" s="91">
        <f t="shared" si="200"/>
        <v>0</v>
      </c>
      <c r="AU60" s="91">
        <f t="shared" si="200"/>
        <v>0</v>
      </c>
      <c r="AV60" s="91">
        <f t="shared" si="200"/>
        <v>0</v>
      </c>
      <c r="AW60" s="91">
        <f t="shared" si="200"/>
        <v>0</v>
      </c>
      <c r="AX60" s="91">
        <f t="shared" si="200"/>
        <v>0</v>
      </c>
      <c r="AY60" s="163">
        <f t="shared" si="200"/>
        <v>0</v>
      </c>
      <c r="AZ60" s="91">
        <f t="shared" si="200"/>
        <v>0</v>
      </c>
      <c r="BA60" s="91">
        <f t="shared" si="200"/>
        <v>0</v>
      </c>
      <c r="BB60" s="91">
        <f t="shared" si="200"/>
        <v>0</v>
      </c>
      <c r="BC60" s="91">
        <f t="shared" si="200"/>
        <v>0</v>
      </c>
      <c r="BD60" s="91">
        <f t="shared" si="200"/>
        <v>0</v>
      </c>
      <c r="BE60" s="91">
        <f t="shared" si="200"/>
        <v>0</v>
      </c>
      <c r="BF60" s="91">
        <f t="shared" si="200"/>
        <v>0</v>
      </c>
      <c r="BG60" s="91">
        <f t="shared" si="200"/>
        <v>0</v>
      </c>
      <c r="BH60" s="91">
        <f t="shared" si="200"/>
        <v>0</v>
      </c>
      <c r="BI60" s="91">
        <f t="shared" si="200"/>
        <v>0</v>
      </c>
      <c r="BJ60" s="91">
        <f t="shared" si="200"/>
        <v>0</v>
      </c>
      <c r="BK60" s="163">
        <f t="shared" si="200"/>
        <v>0</v>
      </c>
      <c r="BL60" s="91">
        <f t="shared" si="200"/>
        <v>0</v>
      </c>
      <c r="BM60" s="91">
        <f t="shared" si="200"/>
        <v>0</v>
      </c>
      <c r="BN60" s="91">
        <f t="shared" si="200"/>
        <v>0</v>
      </c>
      <c r="BO60" s="91">
        <f t="shared" si="200"/>
        <v>0</v>
      </c>
      <c r="BP60" s="91">
        <f t="shared" si="200"/>
        <v>0</v>
      </c>
      <c r="BQ60" s="91">
        <f t="shared" si="200"/>
        <v>0</v>
      </c>
      <c r="BR60" s="91">
        <f t="shared" si="200"/>
        <v>0</v>
      </c>
      <c r="BS60" s="91">
        <f t="shared" si="200"/>
        <v>0</v>
      </c>
      <c r="BT60" s="91">
        <f t="shared" si="200"/>
        <v>0</v>
      </c>
      <c r="BU60" s="91">
        <f t="shared" si="200"/>
        <v>0</v>
      </c>
      <c r="BV60" s="91">
        <f t="shared" si="200"/>
        <v>0</v>
      </c>
      <c r="BW60" s="163">
        <f t="shared" si="200"/>
        <v>0</v>
      </c>
      <c r="BX60" s="91">
        <f t="shared" si="200"/>
        <v>0</v>
      </c>
      <c r="BY60" s="91">
        <f t="shared" si="200"/>
        <v>0</v>
      </c>
      <c r="BZ60" s="91">
        <f t="shared" si="200"/>
        <v>0</v>
      </c>
      <c r="CA60" s="91">
        <f t="shared" si="200"/>
        <v>0</v>
      </c>
      <c r="CB60" s="91">
        <f t="shared" si="200"/>
        <v>0</v>
      </c>
      <c r="CC60" s="91">
        <f t="shared" si="200"/>
        <v>0</v>
      </c>
      <c r="CD60" s="91">
        <f t="shared" si="200"/>
        <v>0</v>
      </c>
      <c r="CE60" s="91">
        <f t="shared" si="200"/>
        <v>0</v>
      </c>
      <c r="CF60" s="91">
        <f t="shared" si="200"/>
        <v>0</v>
      </c>
      <c r="CG60" s="91">
        <f t="shared" si="200"/>
        <v>0</v>
      </c>
      <c r="CH60" s="91">
        <f t="shared" si="200"/>
        <v>0</v>
      </c>
      <c r="CI60" s="163">
        <f t="shared" si="200"/>
        <v>0</v>
      </c>
      <c r="CJ60" s="91">
        <f t="shared" si="200"/>
        <v>0</v>
      </c>
      <c r="CK60" s="91">
        <f t="shared" si="200"/>
        <v>0</v>
      </c>
      <c r="CL60" s="91">
        <f t="shared" si="200"/>
        <v>0</v>
      </c>
      <c r="CM60" s="91">
        <f t="shared" si="200"/>
        <v>0</v>
      </c>
      <c r="CN60" s="91">
        <f t="shared" si="200"/>
        <v>0</v>
      </c>
      <c r="CO60" s="91">
        <f t="shared" si="200"/>
        <v>0</v>
      </c>
      <c r="CP60" s="91">
        <f t="shared" si="200"/>
        <v>0</v>
      </c>
      <c r="CQ60" s="91">
        <f t="shared" ref="CQ60:DG60" si="201">+CP60</f>
        <v>0</v>
      </c>
      <c r="CR60" s="91">
        <f t="shared" si="201"/>
        <v>0</v>
      </c>
      <c r="CS60" s="91">
        <f t="shared" si="201"/>
        <v>0</v>
      </c>
      <c r="CT60" s="91">
        <f t="shared" si="201"/>
        <v>0</v>
      </c>
      <c r="CU60" s="163">
        <f t="shared" si="201"/>
        <v>0</v>
      </c>
      <c r="CV60" s="91">
        <f t="shared" si="201"/>
        <v>0</v>
      </c>
      <c r="CW60" s="91">
        <f t="shared" si="201"/>
        <v>0</v>
      </c>
      <c r="CX60" s="91">
        <f t="shared" si="201"/>
        <v>0</v>
      </c>
      <c r="CY60" s="91">
        <f t="shared" si="201"/>
        <v>0</v>
      </c>
      <c r="CZ60" s="91">
        <f t="shared" si="201"/>
        <v>0</v>
      </c>
      <c r="DA60" s="91">
        <f t="shared" si="201"/>
        <v>0</v>
      </c>
      <c r="DB60" s="91">
        <f t="shared" si="201"/>
        <v>0</v>
      </c>
      <c r="DC60" s="91">
        <f t="shared" si="201"/>
        <v>0</v>
      </c>
      <c r="DD60" s="91">
        <f t="shared" si="201"/>
        <v>0</v>
      </c>
      <c r="DE60" s="91">
        <f t="shared" si="201"/>
        <v>0</v>
      </c>
      <c r="DF60" s="91">
        <f t="shared" si="201"/>
        <v>0</v>
      </c>
      <c r="DG60" s="91">
        <f t="shared" si="201"/>
        <v>0</v>
      </c>
    </row>
    <row r="61" spans="1:111" s="15" customFormat="1" x14ac:dyDescent="0.3">
      <c r="A61"/>
      <c r="B61" s="1" t="s">
        <v>321</v>
      </c>
      <c r="C61" s="1"/>
      <c r="D61" s="91"/>
      <c r="E61" s="91"/>
      <c r="F61" s="91"/>
      <c r="G61" s="91"/>
      <c r="H61" s="91"/>
      <c r="I61" s="91"/>
      <c r="J61" s="91"/>
      <c r="K61" s="91"/>
      <c r="L61" s="91">
        <v>1000</v>
      </c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>
        <v>248.6</v>
      </c>
      <c r="AA61" s="91">
        <v>492.62</v>
      </c>
      <c r="AB61" s="91"/>
      <c r="AC61" s="91">
        <v>120</v>
      </c>
      <c r="AD61" s="91"/>
      <c r="AE61" s="91"/>
      <c r="AF61" s="91"/>
      <c r="AG61" s="91"/>
      <c r="AH61" s="91"/>
      <c r="AI61" s="91">
        <v>0</v>
      </c>
      <c r="AJ61" s="163">
        <v>0</v>
      </c>
      <c r="AK61" s="540">
        <v>250</v>
      </c>
      <c r="AL61" s="91">
        <f t="shared" ref="AL61:CP61" si="202">++AK61</f>
        <v>250</v>
      </c>
      <c r="AM61" s="163">
        <f t="shared" si="202"/>
        <v>250</v>
      </c>
      <c r="AN61" s="91">
        <f t="shared" si="202"/>
        <v>250</v>
      </c>
      <c r="AO61" s="91">
        <f t="shared" si="202"/>
        <v>250</v>
      </c>
      <c r="AP61" s="91">
        <f t="shared" si="202"/>
        <v>250</v>
      </c>
      <c r="AQ61" s="91">
        <f t="shared" si="202"/>
        <v>250</v>
      </c>
      <c r="AR61" s="91">
        <f t="shared" si="202"/>
        <v>250</v>
      </c>
      <c r="AS61" s="91">
        <f t="shared" si="202"/>
        <v>250</v>
      </c>
      <c r="AT61" s="91">
        <f t="shared" si="202"/>
        <v>250</v>
      </c>
      <c r="AU61" s="91">
        <f t="shared" si="202"/>
        <v>250</v>
      </c>
      <c r="AV61" s="91">
        <f t="shared" si="202"/>
        <v>250</v>
      </c>
      <c r="AW61" s="91">
        <f t="shared" si="202"/>
        <v>250</v>
      </c>
      <c r="AX61" s="91">
        <f t="shared" si="202"/>
        <v>250</v>
      </c>
      <c r="AY61" s="163">
        <f t="shared" si="202"/>
        <v>250</v>
      </c>
      <c r="AZ61" s="381">
        <f>++AY61*2</f>
        <v>500</v>
      </c>
      <c r="BA61" s="91">
        <f t="shared" si="202"/>
        <v>500</v>
      </c>
      <c r="BB61" s="91">
        <f t="shared" si="202"/>
        <v>500</v>
      </c>
      <c r="BC61" s="91">
        <f t="shared" si="202"/>
        <v>500</v>
      </c>
      <c r="BD61" s="91">
        <f t="shared" si="202"/>
        <v>500</v>
      </c>
      <c r="BE61" s="91">
        <f t="shared" si="202"/>
        <v>500</v>
      </c>
      <c r="BF61" s="91">
        <f t="shared" si="202"/>
        <v>500</v>
      </c>
      <c r="BG61" s="91">
        <f t="shared" si="202"/>
        <v>500</v>
      </c>
      <c r="BH61" s="91">
        <f t="shared" si="202"/>
        <v>500</v>
      </c>
      <c r="BI61" s="91">
        <f t="shared" si="202"/>
        <v>500</v>
      </c>
      <c r="BJ61" s="91">
        <f t="shared" si="202"/>
        <v>500</v>
      </c>
      <c r="BK61" s="163">
        <f t="shared" si="202"/>
        <v>500</v>
      </c>
      <c r="BL61" s="381">
        <f>++BK61*2</f>
        <v>1000</v>
      </c>
      <c r="BM61" s="91">
        <f t="shared" si="202"/>
        <v>1000</v>
      </c>
      <c r="BN61" s="91">
        <f t="shared" si="202"/>
        <v>1000</v>
      </c>
      <c r="BO61" s="91">
        <f t="shared" si="202"/>
        <v>1000</v>
      </c>
      <c r="BP61" s="91">
        <f t="shared" si="202"/>
        <v>1000</v>
      </c>
      <c r="BQ61" s="91">
        <f t="shared" si="202"/>
        <v>1000</v>
      </c>
      <c r="BR61" s="91">
        <f t="shared" si="202"/>
        <v>1000</v>
      </c>
      <c r="BS61" s="91">
        <f t="shared" si="202"/>
        <v>1000</v>
      </c>
      <c r="BT61" s="91">
        <f t="shared" si="202"/>
        <v>1000</v>
      </c>
      <c r="BU61" s="91">
        <f t="shared" si="202"/>
        <v>1000</v>
      </c>
      <c r="BV61" s="91">
        <f t="shared" si="202"/>
        <v>1000</v>
      </c>
      <c r="BW61" s="163">
        <f t="shared" si="202"/>
        <v>1000</v>
      </c>
      <c r="BX61" s="381">
        <f>++BW61*2</f>
        <v>2000</v>
      </c>
      <c r="BY61" s="91">
        <f t="shared" si="202"/>
        <v>2000</v>
      </c>
      <c r="BZ61" s="91">
        <f t="shared" si="202"/>
        <v>2000</v>
      </c>
      <c r="CA61" s="91">
        <f t="shared" si="202"/>
        <v>2000</v>
      </c>
      <c r="CB61" s="91">
        <f t="shared" si="202"/>
        <v>2000</v>
      </c>
      <c r="CC61" s="91">
        <f t="shared" si="202"/>
        <v>2000</v>
      </c>
      <c r="CD61" s="91">
        <f t="shared" si="202"/>
        <v>2000</v>
      </c>
      <c r="CE61" s="91">
        <f t="shared" si="202"/>
        <v>2000</v>
      </c>
      <c r="CF61" s="91">
        <f t="shared" si="202"/>
        <v>2000</v>
      </c>
      <c r="CG61" s="91">
        <f t="shared" si="202"/>
        <v>2000</v>
      </c>
      <c r="CH61" s="91">
        <f t="shared" si="202"/>
        <v>2000</v>
      </c>
      <c r="CI61" s="163">
        <f t="shared" si="202"/>
        <v>2000</v>
      </c>
      <c r="CJ61" s="381">
        <f>+CI61</f>
        <v>2000</v>
      </c>
      <c r="CK61" s="91">
        <f t="shared" si="202"/>
        <v>2000</v>
      </c>
      <c r="CL61" s="91">
        <f t="shared" si="202"/>
        <v>2000</v>
      </c>
      <c r="CM61" s="91">
        <f t="shared" si="202"/>
        <v>2000</v>
      </c>
      <c r="CN61" s="91">
        <f t="shared" si="202"/>
        <v>2000</v>
      </c>
      <c r="CO61" s="91">
        <f t="shared" si="202"/>
        <v>2000</v>
      </c>
      <c r="CP61" s="91">
        <f t="shared" si="202"/>
        <v>2000</v>
      </c>
      <c r="CQ61" s="91">
        <f t="shared" ref="CQ61:DG61" si="203">++CP61</f>
        <v>2000</v>
      </c>
      <c r="CR61" s="91">
        <f t="shared" si="203"/>
        <v>2000</v>
      </c>
      <c r="CS61" s="91">
        <f t="shared" si="203"/>
        <v>2000</v>
      </c>
      <c r="CT61" s="91">
        <f t="shared" si="203"/>
        <v>2000</v>
      </c>
      <c r="CU61" s="163">
        <f t="shared" si="203"/>
        <v>2000</v>
      </c>
      <c r="CV61" s="381">
        <f>+CU61</f>
        <v>2000</v>
      </c>
      <c r="CW61" s="91">
        <f t="shared" si="203"/>
        <v>2000</v>
      </c>
      <c r="CX61" s="91">
        <f t="shared" si="203"/>
        <v>2000</v>
      </c>
      <c r="CY61" s="91">
        <f t="shared" si="203"/>
        <v>2000</v>
      </c>
      <c r="CZ61" s="91">
        <f t="shared" si="203"/>
        <v>2000</v>
      </c>
      <c r="DA61" s="91">
        <f t="shared" si="203"/>
        <v>2000</v>
      </c>
      <c r="DB61" s="91">
        <f t="shared" si="203"/>
        <v>2000</v>
      </c>
      <c r="DC61" s="91">
        <f t="shared" si="203"/>
        <v>2000</v>
      </c>
      <c r="DD61" s="91">
        <f t="shared" si="203"/>
        <v>2000</v>
      </c>
      <c r="DE61" s="91">
        <f t="shared" si="203"/>
        <v>2000</v>
      </c>
      <c r="DF61" s="91">
        <f t="shared" si="203"/>
        <v>2000</v>
      </c>
      <c r="DG61" s="91">
        <f t="shared" si="203"/>
        <v>2000</v>
      </c>
    </row>
    <row r="62" spans="1:111" s="15" customFormat="1" x14ac:dyDescent="0.3">
      <c r="A62"/>
      <c r="B62" s="1" t="s">
        <v>469</v>
      </c>
      <c r="C62" s="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>
        <v>1004.77</v>
      </c>
      <c r="AB62" s="91"/>
      <c r="AC62" s="91">
        <v>250.07</v>
      </c>
      <c r="AD62" s="91">
        <v>586.91999999999996</v>
      </c>
      <c r="AE62" s="91">
        <v>726.59</v>
      </c>
      <c r="AF62" s="91">
        <v>303.93</v>
      </c>
      <c r="AG62" s="91">
        <v>412.44</v>
      </c>
      <c r="AH62" s="91">
        <v>308.2</v>
      </c>
      <c r="AI62" s="91">
        <v>76.38</v>
      </c>
      <c r="AJ62" s="163">
        <v>201</v>
      </c>
      <c r="AK62" s="540">
        <f t="shared" ref="AK62" si="204">+AVERAGE(AH62:AJ62)</f>
        <v>195.1933333333333</v>
      </c>
      <c r="AL62" s="91">
        <f t="shared" ref="AL62:CP62" si="205">++AK62</f>
        <v>195.1933333333333</v>
      </c>
      <c r="AM62" s="163">
        <f t="shared" si="205"/>
        <v>195.1933333333333</v>
      </c>
      <c r="AN62" s="91">
        <f t="shared" si="205"/>
        <v>195.1933333333333</v>
      </c>
      <c r="AO62" s="91">
        <f t="shared" si="205"/>
        <v>195.1933333333333</v>
      </c>
      <c r="AP62" s="91">
        <f t="shared" si="205"/>
        <v>195.1933333333333</v>
      </c>
      <c r="AQ62" s="91">
        <f t="shared" si="205"/>
        <v>195.1933333333333</v>
      </c>
      <c r="AR62" s="91">
        <f t="shared" si="205"/>
        <v>195.1933333333333</v>
      </c>
      <c r="AS62" s="91">
        <f t="shared" si="205"/>
        <v>195.1933333333333</v>
      </c>
      <c r="AT62" s="91">
        <f t="shared" si="205"/>
        <v>195.1933333333333</v>
      </c>
      <c r="AU62" s="91">
        <f t="shared" si="205"/>
        <v>195.1933333333333</v>
      </c>
      <c r="AV62" s="91">
        <f t="shared" si="205"/>
        <v>195.1933333333333</v>
      </c>
      <c r="AW62" s="91">
        <f t="shared" si="205"/>
        <v>195.1933333333333</v>
      </c>
      <c r="AX62" s="91">
        <f t="shared" si="205"/>
        <v>195.1933333333333</v>
      </c>
      <c r="AY62" s="163">
        <f t="shared" si="205"/>
        <v>195.1933333333333</v>
      </c>
      <c r="AZ62" s="381">
        <f t="shared" ref="AZ62:AZ64" si="206">++AY62*2</f>
        <v>390.3866666666666</v>
      </c>
      <c r="BA62" s="91">
        <f t="shared" si="205"/>
        <v>390.3866666666666</v>
      </c>
      <c r="BB62" s="91">
        <f t="shared" si="205"/>
        <v>390.3866666666666</v>
      </c>
      <c r="BC62" s="91">
        <f t="shared" si="205"/>
        <v>390.3866666666666</v>
      </c>
      <c r="BD62" s="91">
        <f t="shared" si="205"/>
        <v>390.3866666666666</v>
      </c>
      <c r="BE62" s="91">
        <f t="shared" si="205"/>
        <v>390.3866666666666</v>
      </c>
      <c r="BF62" s="91">
        <f t="shared" si="205"/>
        <v>390.3866666666666</v>
      </c>
      <c r="BG62" s="91">
        <f t="shared" si="205"/>
        <v>390.3866666666666</v>
      </c>
      <c r="BH62" s="91">
        <f t="shared" si="205"/>
        <v>390.3866666666666</v>
      </c>
      <c r="BI62" s="91">
        <f t="shared" si="205"/>
        <v>390.3866666666666</v>
      </c>
      <c r="BJ62" s="91">
        <f t="shared" si="205"/>
        <v>390.3866666666666</v>
      </c>
      <c r="BK62" s="163">
        <f t="shared" si="205"/>
        <v>390.3866666666666</v>
      </c>
      <c r="BL62" s="381">
        <f t="shared" ref="BL62:BL64" si="207">++BK62*2</f>
        <v>780.7733333333332</v>
      </c>
      <c r="BM62" s="91">
        <f t="shared" si="205"/>
        <v>780.7733333333332</v>
      </c>
      <c r="BN62" s="91">
        <f t="shared" si="205"/>
        <v>780.7733333333332</v>
      </c>
      <c r="BO62" s="91">
        <f t="shared" si="205"/>
        <v>780.7733333333332</v>
      </c>
      <c r="BP62" s="91">
        <f t="shared" si="205"/>
        <v>780.7733333333332</v>
      </c>
      <c r="BQ62" s="91">
        <f t="shared" si="205"/>
        <v>780.7733333333332</v>
      </c>
      <c r="BR62" s="91">
        <f t="shared" si="205"/>
        <v>780.7733333333332</v>
      </c>
      <c r="BS62" s="91">
        <f t="shared" si="205"/>
        <v>780.7733333333332</v>
      </c>
      <c r="BT62" s="91">
        <f t="shared" si="205"/>
        <v>780.7733333333332</v>
      </c>
      <c r="BU62" s="91">
        <f t="shared" si="205"/>
        <v>780.7733333333332</v>
      </c>
      <c r="BV62" s="91">
        <f t="shared" si="205"/>
        <v>780.7733333333332</v>
      </c>
      <c r="BW62" s="163">
        <f t="shared" si="205"/>
        <v>780.7733333333332</v>
      </c>
      <c r="BX62" s="381">
        <f t="shared" ref="BX62:BX64" si="208">++BW62*2</f>
        <v>1561.5466666666664</v>
      </c>
      <c r="BY62" s="91">
        <f t="shared" si="205"/>
        <v>1561.5466666666664</v>
      </c>
      <c r="BZ62" s="91">
        <f t="shared" si="205"/>
        <v>1561.5466666666664</v>
      </c>
      <c r="CA62" s="91">
        <f t="shared" si="205"/>
        <v>1561.5466666666664</v>
      </c>
      <c r="CB62" s="91">
        <f t="shared" si="205"/>
        <v>1561.5466666666664</v>
      </c>
      <c r="CC62" s="91">
        <f t="shared" si="205"/>
        <v>1561.5466666666664</v>
      </c>
      <c r="CD62" s="91">
        <f t="shared" si="205"/>
        <v>1561.5466666666664</v>
      </c>
      <c r="CE62" s="91">
        <f t="shared" si="205"/>
        <v>1561.5466666666664</v>
      </c>
      <c r="CF62" s="91">
        <f t="shared" si="205"/>
        <v>1561.5466666666664</v>
      </c>
      <c r="CG62" s="91">
        <f t="shared" si="205"/>
        <v>1561.5466666666664</v>
      </c>
      <c r="CH62" s="91">
        <f t="shared" si="205"/>
        <v>1561.5466666666664</v>
      </c>
      <c r="CI62" s="163">
        <f t="shared" si="205"/>
        <v>1561.5466666666664</v>
      </c>
      <c r="CJ62" s="381">
        <f t="shared" ref="CJ62:CJ64" si="209">+CI62</f>
        <v>1561.5466666666664</v>
      </c>
      <c r="CK62" s="91">
        <f t="shared" si="205"/>
        <v>1561.5466666666664</v>
      </c>
      <c r="CL62" s="91">
        <f t="shared" si="205"/>
        <v>1561.5466666666664</v>
      </c>
      <c r="CM62" s="91">
        <f t="shared" si="205"/>
        <v>1561.5466666666664</v>
      </c>
      <c r="CN62" s="91">
        <f t="shared" si="205"/>
        <v>1561.5466666666664</v>
      </c>
      <c r="CO62" s="91">
        <f t="shared" si="205"/>
        <v>1561.5466666666664</v>
      </c>
      <c r="CP62" s="91">
        <f t="shared" si="205"/>
        <v>1561.5466666666664</v>
      </c>
      <c r="CQ62" s="91">
        <f t="shared" ref="CQ62:DG62" si="210">++CP62</f>
        <v>1561.5466666666664</v>
      </c>
      <c r="CR62" s="91">
        <f t="shared" si="210"/>
        <v>1561.5466666666664</v>
      </c>
      <c r="CS62" s="91">
        <f t="shared" si="210"/>
        <v>1561.5466666666664</v>
      </c>
      <c r="CT62" s="91">
        <f t="shared" si="210"/>
        <v>1561.5466666666664</v>
      </c>
      <c r="CU62" s="163">
        <f t="shared" si="210"/>
        <v>1561.5466666666664</v>
      </c>
      <c r="CV62" s="381">
        <f t="shared" ref="CV62:CV64" si="211">+CU62</f>
        <v>1561.5466666666664</v>
      </c>
      <c r="CW62" s="91">
        <f t="shared" si="210"/>
        <v>1561.5466666666664</v>
      </c>
      <c r="CX62" s="91">
        <f t="shared" si="210"/>
        <v>1561.5466666666664</v>
      </c>
      <c r="CY62" s="91">
        <f t="shared" si="210"/>
        <v>1561.5466666666664</v>
      </c>
      <c r="CZ62" s="91">
        <f t="shared" si="210"/>
        <v>1561.5466666666664</v>
      </c>
      <c r="DA62" s="91">
        <f t="shared" si="210"/>
        <v>1561.5466666666664</v>
      </c>
      <c r="DB62" s="91">
        <f t="shared" si="210"/>
        <v>1561.5466666666664</v>
      </c>
      <c r="DC62" s="91">
        <f t="shared" si="210"/>
        <v>1561.5466666666664</v>
      </c>
      <c r="DD62" s="91">
        <f t="shared" si="210"/>
        <v>1561.5466666666664</v>
      </c>
      <c r="DE62" s="91">
        <f t="shared" si="210"/>
        <v>1561.5466666666664</v>
      </c>
      <c r="DF62" s="91">
        <f t="shared" si="210"/>
        <v>1561.5466666666664</v>
      </c>
      <c r="DG62" s="91">
        <f t="shared" si="210"/>
        <v>1561.5466666666664</v>
      </c>
    </row>
    <row r="63" spans="1:111" s="15" customFormat="1" x14ac:dyDescent="0.3">
      <c r="A63"/>
      <c r="B63" s="1" t="s">
        <v>322</v>
      </c>
      <c r="C63" s="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>
        <v>994.4</v>
      </c>
      <c r="AD63" s="91"/>
      <c r="AE63" s="91"/>
      <c r="AF63" s="91">
        <v>361.13</v>
      </c>
      <c r="AG63" s="91">
        <v>1644.31</v>
      </c>
      <c r="AH63" s="91"/>
      <c r="AI63" s="91">
        <v>0</v>
      </c>
      <c r="AJ63" s="163">
        <v>0</v>
      </c>
      <c r="AK63" s="540">
        <v>500</v>
      </c>
      <c r="AL63" s="91">
        <f t="shared" ref="AL63:AL64" si="212">++AK63</f>
        <v>500</v>
      </c>
      <c r="AM63" s="163">
        <f t="shared" ref="AM63:AM64" si="213">++AL63</f>
        <v>500</v>
      </c>
      <c r="AN63" s="540">
        <v>750</v>
      </c>
      <c r="AO63" s="91">
        <f t="shared" ref="AO63:AO64" si="214">++AN63</f>
        <v>750</v>
      </c>
      <c r="AP63" s="91">
        <f t="shared" ref="AP63:AP64" si="215">++AO63</f>
        <v>750</v>
      </c>
      <c r="AQ63" s="91">
        <f t="shared" ref="AQ63:AQ64" si="216">++AP63</f>
        <v>750</v>
      </c>
      <c r="AR63" s="91">
        <f t="shared" ref="AR63:AR64" si="217">++AQ63</f>
        <v>750</v>
      </c>
      <c r="AS63" s="91">
        <f t="shared" ref="AS63:AS64" si="218">++AR63</f>
        <v>750</v>
      </c>
      <c r="AT63" s="91">
        <f t="shared" ref="AT63:AT64" si="219">++AS63</f>
        <v>750</v>
      </c>
      <c r="AU63" s="91">
        <f t="shared" ref="AU63:AU64" si="220">++AT63</f>
        <v>750</v>
      </c>
      <c r="AV63" s="91">
        <f t="shared" ref="AV63:AV64" si="221">++AU63</f>
        <v>750</v>
      </c>
      <c r="AW63" s="91">
        <f t="shared" ref="AW63:AW64" si="222">++AV63</f>
        <v>750</v>
      </c>
      <c r="AX63" s="91">
        <f t="shared" ref="AX63:AX64" si="223">++AW63</f>
        <v>750</v>
      </c>
      <c r="AY63" s="163">
        <f t="shared" ref="AY63:AY64" si="224">++AX63</f>
        <v>750</v>
      </c>
      <c r="AZ63" s="381">
        <f t="shared" si="206"/>
        <v>1500</v>
      </c>
      <c r="BA63" s="91">
        <f t="shared" ref="BA63:BA64" si="225">++AZ63</f>
        <v>1500</v>
      </c>
      <c r="BB63" s="91">
        <f t="shared" ref="BB63:BB64" si="226">++BA63</f>
        <v>1500</v>
      </c>
      <c r="BC63" s="91">
        <f t="shared" ref="BC63:BC64" si="227">++BB63</f>
        <v>1500</v>
      </c>
      <c r="BD63" s="91">
        <f t="shared" ref="BD63:BD64" si="228">++BC63</f>
        <v>1500</v>
      </c>
      <c r="BE63" s="91">
        <f t="shared" ref="BE63:BE64" si="229">++BD63</f>
        <v>1500</v>
      </c>
      <c r="BF63" s="91">
        <f t="shared" ref="BF63:BF64" si="230">++BE63</f>
        <v>1500</v>
      </c>
      <c r="BG63" s="91">
        <f t="shared" ref="BG63:BG64" si="231">++BF63</f>
        <v>1500</v>
      </c>
      <c r="BH63" s="91">
        <f t="shared" ref="BH63:BH64" si="232">++BG63</f>
        <v>1500</v>
      </c>
      <c r="BI63" s="91">
        <f t="shared" ref="BI63:BI64" si="233">++BH63</f>
        <v>1500</v>
      </c>
      <c r="BJ63" s="91">
        <f t="shared" ref="BJ63:BJ64" si="234">++BI63</f>
        <v>1500</v>
      </c>
      <c r="BK63" s="163">
        <f t="shared" ref="BK63:BK64" si="235">++BJ63</f>
        <v>1500</v>
      </c>
      <c r="BL63" s="381">
        <f t="shared" si="207"/>
        <v>3000</v>
      </c>
      <c r="BM63" s="91">
        <f t="shared" ref="BM63:BM64" si="236">++BL63</f>
        <v>3000</v>
      </c>
      <c r="BN63" s="91">
        <f t="shared" ref="BN63:BN64" si="237">++BM63</f>
        <v>3000</v>
      </c>
      <c r="BO63" s="91">
        <f t="shared" ref="BO63:BO64" si="238">++BN63</f>
        <v>3000</v>
      </c>
      <c r="BP63" s="91">
        <f t="shared" ref="BP63:BP64" si="239">++BO63</f>
        <v>3000</v>
      </c>
      <c r="BQ63" s="91">
        <f t="shared" ref="BQ63:BQ64" si="240">++BP63</f>
        <v>3000</v>
      </c>
      <c r="BR63" s="91">
        <f t="shared" ref="BR63:BR64" si="241">++BQ63</f>
        <v>3000</v>
      </c>
      <c r="BS63" s="91">
        <f t="shared" ref="BS63:BS64" si="242">++BR63</f>
        <v>3000</v>
      </c>
      <c r="BT63" s="91">
        <f t="shared" ref="BT63:BT64" si="243">++BS63</f>
        <v>3000</v>
      </c>
      <c r="BU63" s="91">
        <f t="shared" ref="BU63:BU64" si="244">++BT63</f>
        <v>3000</v>
      </c>
      <c r="BV63" s="91">
        <f t="shared" ref="BV63:BV64" si="245">++BU63</f>
        <v>3000</v>
      </c>
      <c r="BW63" s="163">
        <f t="shared" ref="BW63:BW64" si="246">++BV63</f>
        <v>3000</v>
      </c>
      <c r="BX63" s="381">
        <f t="shared" si="208"/>
        <v>6000</v>
      </c>
      <c r="BY63" s="91">
        <f t="shared" ref="BY63:BY64" si="247">++BX63</f>
        <v>6000</v>
      </c>
      <c r="BZ63" s="91">
        <f t="shared" ref="BZ63:BZ64" si="248">++BY63</f>
        <v>6000</v>
      </c>
      <c r="CA63" s="91">
        <f t="shared" ref="CA63:CA64" si="249">++BZ63</f>
        <v>6000</v>
      </c>
      <c r="CB63" s="91">
        <f t="shared" ref="CB63:CB64" si="250">++CA63</f>
        <v>6000</v>
      </c>
      <c r="CC63" s="91">
        <f t="shared" ref="CC63:CC64" si="251">++CB63</f>
        <v>6000</v>
      </c>
      <c r="CD63" s="91">
        <f t="shared" ref="CD63:CD64" si="252">++CC63</f>
        <v>6000</v>
      </c>
      <c r="CE63" s="91">
        <f t="shared" ref="CE63:CE64" si="253">++CD63</f>
        <v>6000</v>
      </c>
      <c r="CF63" s="91">
        <f t="shared" ref="CF63:CF64" si="254">++CE63</f>
        <v>6000</v>
      </c>
      <c r="CG63" s="91">
        <f t="shared" ref="CG63:CG64" si="255">++CF63</f>
        <v>6000</v>
      </c>
      <c r="CH63" s="91">
        <f t="shared" ref="CH63:CH64" si="256">++CG63</f>
        <v>6000</v>
      </c>
      <c r="CI63" s="163">
        <f t="shared" ref="CI63:CI64" si="257">++CH63</f>
        <v>6000</v>
      </c>
      <c r="CJ63" s="381">
        <f t="shared" si="209"/>
        <v>6000</v>
      </c>
      <c r="CK63" s="91">
        <f t="shared" ref="CK63:CK64" si="258">++CJ63</f>
        <v>6000</v>
      </c>
      <c r="CL63" s="91">
        <f t="shared" ref="CL63:CL64" si="259">++CK63</f>
        <v>6000</v>
      </c>
      <c r="CM63" s="91">
        <f t="shared" ref="CM63:CM64" si="260">++CL63</f>
        <v>6000</v>
      </c>
      <c r="CN63" s="91">
        <f t="shared" ref="CN63:CN64" si="261">++CM63</f>
        <v>6000</v>
      </c>
      <c r="CO63" s="91">
        <f t="shared" ref="CO63:CO64" si="262">++CN63</f>
        <v>6000</v>
      </c>
      <c r="CP63" s="91">
        <f t="shared" ref="CP63:CP64" si="263">++CO63</f>
        <v>6000</v>
      </c>
      <c r="CQ63" s="91">
        <f t="shared" ref="CQ63:CQ64" si="264">++CP63</f>
        <v>6000</v>
      </c>
      <c r="CR63" s="91">
        <f t="shared" ref="CR63:CR64" si="265">++CQ63</f>
        <v>6000</v>
      </c>
      <c r="CS63" s="91">
        <f t="shared" ref="CS63:CS64" si="266">++CR63</f>
        <v>6000</v>
      </c>
      <c r="CT63" s="91">
        <f t="shared" ref="CT63:CT64" si="267">++CS63</f>
        <v>6000</v>
      </c>
      <c r="CU63" s="163">
        <f t="shared" ref="CU63:CU64" si="268">++CT63</f>
        <v>6000</v>
      </c>
      <c r="CV63" s="381">
        <f t="shared" si="211"/>
        <v>6000</v>
      </c>
      <c r="CW63" s="91">
        <f t="shared" ref="CW63:CW64" si="269">++CV63</f>
        <v>6000</v>
      </c>
      <c r="CX63" s="91">
        <f t="shared" ref="CX63:CX64" si="270">++CW63</f>
        <v>6000</v>
      </c>
      <c r="CY63" s="91">
        <f t="shared" ref="CY63:CY64" si="271">++CX63</f>
        <v>6000</v>
      </c>
      <c r="CZ63" s="91">
        <f t="shared" ref="CZ63:CZ64" si="272">++CY63</f>
        <v>6000</v>
      </c>
      <c r="DA63" s="91">
        <f t="shared" ref="DA63:DA64" si="273">++CZ63</f>
        <v>6000</v>
      </c>
      <c r="DB63" s="91">
        <f t="shared" ref="DB63:DB64" si="274">++DA63</f>
        <v>6000</v>
      </c>
      <c r="DC63" s="91">
        <f t="shared" ref="DC63:DC64" si="275">++DB63</f>
        <v>6000</v>
      </c>
      <c r="DD63" s="91">
        <f t="shared" ref="DD63:DD64" si="276">++DC63</f>
        <v>6000</v>
      </c>
      <c r="DE63" s="91">
        <f t="shared" ref="DE63:DE64" si="277">++DD63</f>
        <v>6000</v>
      </c>
      <c r="DF63" s="91">
        <f t="shared" ref="DF63:DF64" si="278">++DE63</f>
        <v>6000</v>
      </c>
      <c r="DG63" s="91">
        <f t="shared" ref="DG63:DG64" si="279">++DF63</f>
        <v>6000</v>
      </c>
    </row>
    <row r="64" spans="1:111" s="15" customFormat="1" x14ac:dyDescent="0.3">
      <c r="A64"/>
      <c r="B64" s="1" t="s">
        <v>470</v>
      </c>
      <c r="C64" s="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>
        <v>298.60000000000002</v>
      </c>
      <c r="AD64" s="91"/>
      <c r="AE64" s="91"/>
      <c r="AF64" s="91"/>
      <c r="AG64" s="91">
        <v>120</v>
      </c>
      <c r="AH64" s="91"/>
      <c r="AI64" s="91">
        <v>0</v>
      </c>
      <c r="AJ64" s="163">
        <v>0</v>
      </c>
      <c r="AK64" s="540">
        <f t="shared" ref="AK64:AK65" si="280">+AVERAGE(AH64:AJ64)</f>
        <v>0</v>
      </c>
      <c r="AL64" s="91">
        <f t="shared" si="212"/>
        <v>0</v>
      </c>
      <c r="AM64" s="163">
        <f t="shared" si="213"/>
        <v>0</v>
      </c>
      <c r="AN64" s="91">
        <f t="shared" ref="AN64" si="281">++AM64</f>
        <v>0</v>
      </c>
      <c r="AO64" s="91">
        <f t="shared" si="214"/>
        <v>0</v>
      </c>
      <c r="AP64" s="91">
        <f t="shared" si="215"/>
        <v>0</v>
      </c>
      <c r="AQ64" s="91">
        <f t="shared" si="216"/>
        <v>0</v>
      </c>
      <c r="AR64" s="91">
        <f t="shared" si="217"/>
        <v>0</v>
      </c>
      <c r="AS64" s="91">
        <f t="shared" si="218"/>
        <v>0</v>
      </c>
      <c r="AT64" s="91">
        <f t="shared" si="219"/>
        <v>0</v>
      </c>
      <c r="AU64" s="91">
        <f t="shared" si="220"/>
        <v>0</v>
      </c>
      <c r="AV64" s="91">
        <f t="shared" si="221"/>
        <v>0</v>
      </c>
      <c r="AW64" s="91">
        <f t="shared" si="222"/>
        <v>0</v>
      </c>
      <c r="AX64" s="91">
        <f t="shared" si="223"/>
        <v>0</v>
      </c>
      <c r="AY64" s="163">
        <f t="shared" si="224"/>
        <v>0</v>
      </c>
      <c r="AZ64" s="381">
        <f t="shared" si="206"/>
        <v>0</v>
      </c>
      <c r="BA64" s="91">
        <f t="shared" si="225"/>
        <v>0</v>
      </c>
      <c r="BB64" s="91">
        <f t="shared" si="226"/>
        <v>0</v>
      </c>
      <c r="BC64" s="91">
        <f t="shared" si="227"/>
        <v>0</v>
      </c>
      <c r="BD64" s="91">
        <f t="shared" si="228"/>
        <v>0</v>
      </c>
      <c r="BE64" s="91">
        <f t="shared" si="229"/>
        <v>0</v>
      </c>
      <c r="BF64" s="91">
        <f t="shared" si="230"/>
        <v>0</v>
      </c>
      <c r="BG64" s="91">
        <f t="shared" si="231"/>
        <v>0</v>
      </c>
      <c r="BH64" s="91">
        <f t="shared" si="232"/>
        <v>0</v>
      </c>
      <c r="BI64" s="91">
        <f t="shared" si="233"/>
        <v>0</v>
      </c>
      <c r="BJ64" s="91">
        <f t="shared" si="234"/>
        <v>0</v>
      </c>
      <c r="BK64" s="163">
        <f t="shared" si="235"/>
        <v>0</v>
      </c>
      <c r="BL64" s="381">
        <f t="shared" si="207"/>
        <v>0</v>
      </c>
      <c r="BM64" s="91">
        <f t="shared" si="236"/>
        <v>0</v>
      </c>
      <c r="BN64" s="91">
        <f t="shared" si="237"/>
        <v>0</v>
      </c>
      <c r="BO64" s="91">
        <f t="shared" si="238"/>
        <v>0</v>
      </c>
      <c r="BP64" s="91">
        <f t="shared" si="239"/>
        <v>0</v>
      </c>
      <c r="BQ64" s="91">
        <f t="shared" si="240"/>
        <v>0</v>
      </c>
      <c r="BR64" s="91">
        <f t="shared" si="241"/>
        <v>0</v>
      </c>
      <c r="BS64" s="91">
        <f t="shared" si="242"/>
        <v>0</v>
      </c>
      <c r="BT64" s="91">
        <f t="shared" si="243"/>
        <v>0</v>
      </c>
      <c r="BU64" s="91">
        <f t="shared" si="244"/>
        <v>0</v>
      </c>
      <c r="BV64" s="91">
        <f t="shared" si="245"/>
        <v>0</v>
      </c>
      <c r="BW64" s="163">
        <f t="shared" si="246"/>
        <v>0</v>
      </c>
      <c r="BX64" s="381">
        <f t="shared" si="208"/>
        <v>0</v>
      </c>
      <c r="BY64" s="91">
        <f t="shared" si="247"/>
        <v>0</v>
      </c>
      <c r="BZ64" s="91">
        <f t="shared" si="248"/>
        <v>0</v>
      </c>
      <c r="CA64" s="91">
        <f t="shared" si="249"/>
        <v>0</v>
      </c>
      <c r="CB64" s="91">
        <f t="shared" si="250"/>
        <v>0</v>
      </c>
      <c r="CC64" s="91">
        <f t="shared" si="251"/>
        <v>0</v>
      </c>
      <c r="CD64" s="91">
        <f t="shared" si="252"/>
        <v>0</v>
      </c>
      <c r="CE64" s="91">
        <f t="shared" si="253"/>
        <v>0</v>
      </c>
      <c r="CF64" s="91">
        <f t="shared" si="254"/>
        <v>0</v>
      </c>
      <c r="CG64" s="91">
        <f t="shared" si="255"/>
        <v>0</v>
      </c>
      <c r="CH64" s="91">
        <f t="shared" si="256"/>
        <v>0</v>
      </c>
      <c r="CI64" s="163">
        <f t="shared" si="257"/>
        <v>0</v>
      </c>
      <c r="CJ64" s="381">
        <f t="shared" si="209"/>
        <v>0</v>
      </c>
      <c r="CK64" s="91">
        <f t="shared" si="258"/>
        <v>0</v>
      </c>
      <c r="CL64" s="91">
        <f t="shared" si="259"/>
        <v>0</v>
      </c>
      <c r="CM64" s="91">
        <f t="shared" si="260"/>
        <v>0</v>
      </c>
      <c r="CN64" s="91">
        <f t="shared" si="261"/>
        <v>0</v>
      </c>
      <c r="CO64" s="91">
        <f t="shared" si="262"/>
        <v>0</v>
      </c>
      <c r="CP64" s="91">
        <f t="shared" si="263"/>
        <v>0</v>
      </c>
      <c r="CQ64" s="91">
        <f t="shared" si="264"/>
        <v>0</v>
      </c>
      <c r="CR64" s="91">
        <f t="shared" si="265"/>
        <v>0</v>
      </c>
      <c r="CS64" s="91">
        <f t="shared" si="266"/>
        <v>0</v>
      </c>
      <c r="CT64" s="91">
        <f t="shared" si="267"/>
        <v>0</v>
      </c>
      <c r="CU64" s="163">
        <f t="shared" si="268"/>
        <v>0</v>
      </c>
      <c r="CV64" s="381">
        <f t="shared" si="211"/>
        <v>0</v>
      </c>
      <c r="CW64" s="91">
        <f t="shared" si="269"/>
        <v>0</v>
      </c>
      <c r="CX64" s="91">
        <f t="shared" si="270"/>
        <v>0</v>
      </c>
      <c r="CY64" s="91">
        <f t="shared" si="271"/>
        <v>0</v>
      </c>
      <c r="CZ64" s="91">
        <f t="shared" si="272"/>
        <v>0</v>
      </c>
      <c r="DA64" s="91">
        <f t="shared" si="273"/>
        <v>0</v>
      </c>
      <c r="DB64" s="91">
        <f t="shared" si="274"/>
        <v>0</v>
      </c>
      <c r="DC64" s="91">
        <f t="shared" si="275"/>
        <v>0</v>
      </c>
      <c r="DD64" s="91">
        <f t="shared" si="276"/>
        <v>0</v>
      </c>
      <c r="DE64" s="91">
        <f t="shared" si="277"/>
        <v>0</v>
      </c>
      <c r="DF64" s="91">
        <f t="shared" si="278"/>
        <v>0</v>
      </c>
      <c r="DG64" s="91">
        <f t="shared" si="279"/>
        <v>0</v>
      </c>
    </row>
    <row r="65" spans="1:111" s="15" customFormat="1" x14ac:dyDescent="0.3">
      <c r="A65"/>
      <c r="B65" s="1" t="s">
        <v>471</v>
      </c>
      <c r="C65" s="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>
        <v>475.27</v>
      </c>
      <c r="AH65" s="91"/>
      <c r="AI65" s="91">
        <v>0</v>
      </c>
      <c r="AJ65" s="163">
        <v>0</v>
      </c>
      <c r="AK65" s="540">
        <f t="shared" si="280"/>
        <v>0</v>
      </c>
      <c r="AL65" s="91">
        <f t="shared" ref="AL65" si="282">++AK65</f>
        <v>0</v>
      </c>
      <c r="AM65" s="163">
        <f t="shared" ref="AM65" si="283">++AL65</f>
        <v>0</v>
      </c>
      <c r="AN65" s="91">
        <f t="shared" ref="AN65" si="284">++AM65</f>
        <v>0</v>
      </c>
      <c r="AO65" s="91">
        <f t="shared" ref="AO65" si="285">++AN65</f>
        <v>0</v>
      </c>
      <c r="AP65" s="91">
        <f t="shared" ref="AP65" si="286">++AO65</f>
        <v>0</v>
      </c>
      <c r="AQ65" s="91">
        <f t="shared" ref="AQ65" si="287">++AP65</f>
        <v>0</v>
      </c>
      <c r="AR65" s="91">
        <f t="shared" ref="AR65" si="288">++AQ65</f>
        <v>0</v>
      </c>
      <c r="AS65" s="91">
        <f t="shared" ref="AS65" si="289">++AR65</f>
        <v>0</v>
      </c>
      <c r="AT65" s="91">
        <f t="shared" ref="AT65" si="290">++AS65</f>
        <v>0</v>
      </c>
      <c r="AU65" s="91">
        <f t="shared" ref="AU65" si="291">++AT65</f>
        <v>0</v>
      </c>
      <c r="AV65" s="91">
        <f t="shared" ref="AV65" si="292">++AU65</f>
        <v>0</v>
      </c>
      <c r="AW65" s="91">
        <f t="shared" ref="AW65" si="293">++AV65</f>
        <v>0</v>
      </c>
      <c r="AX65" s="91">
        <f t="shared" ref="AX65" si="294">++AW65</f>
        <v>0</v>
      </c>
      <c r="AY65" s="163">
        <f t="shared" ref="AY65" si="295">++AX65</f>
        <v>0</v>
      </c>
      <c r="AZ65" s="381">
        <f t="shared" ref="AZ65" si="296">++AY65*2</f>
        <v>0</v>
      </c>
      <c r="BA65" s="91">
        <f t="shared" ref="BA65" si="297">++AZ65</f>
        <v>0</v>
      </c>
      <c r="BB65" s="91">
        <f t="shared" ref="BB65" si="298">++BA65</f>
        <v>0</v>
      </c>
      <c r="BC65" s="91">
        <f t="shared" ref="BC65" si="299">++BB65</f>
        <v>0</v>
      </c>
      <c r="BD65" s="91">
        <f t="shared" ref="BD65" si="300">++BC65</f>
        <v>0</v>
      </c>
      <c r="BE65" s="91">
        <f t="shared" ref="BE65" si="301">++BD65</f>
        <v>0</v>
      </c>
      <c r="BF65" s="91">
        <f t="shared" ref="BF65" si="302">++BE65</f>
        <v>0</v>
      </c>
      <c r="BG65" s="91">
        <f t="shared" ref="BG65" si="303">++BF65</f>
        <v>0</v>
      </c>
      <c r="BH65" s="91">
        <f t="shared" ref="BH65" si="304">++BG65</f>
        <v>0</v>
      </c>
      <c r="BI65" s="91">
        <f t="shared" ref="BI65" si="305">++BH65</f>
        <v>0</v>
      </c>
      <c r="BJ65" s="91">
        <f t="shared" ref="BJ65" si="306">++BI65</f>
        <v>0</v>
      </c>
      <c r="BK65" s="163">
        <f t="shared" ref="BK65" si="307">++BJ65</f>
        <v>0</v>
      </c>
      <c r="BL65" s="381">
        <f t="shared" ref="BL65" si="308">++BK65*2</f>
        <v>0</v>
      </c>
      <c r="BM65" s="91">
        <f t="shared" ref="BM65" si="309">++BL65</f>
        <v>0</v>
      </c>
      <c r="BN65" s="91">
        <f t="shared" ref="BN65" si="310">++BM65</f>
        <v>0</v>
      </c>
      <c r="BO65" s="91">
        <f t="shared" ref="BO65" si="311">++BN65</f>
        <v>0</v>
      </c>
      <c r="BP65" s="91">
        <f t="shared" ref="BP65" si="312">++BO65</f>
        <v>0</v>
      </c>
      <c r="BQ65" s="91">
        <f t="shared" ref="BQ65" si="313">++BP65</f>
        <v>0</v>
      </c>
      <c r="BR65" s="91">
        <f t="shared" ref="BR65" si="314">++BQ65</f>
        <v>0</v>
      </c>
      <c r="BS65" s="91">
        <f t="shared" ref="BS65" si="315">++BR65</f>
        <v>0</v>
      </c>
      <c r="BT65" s="91">
        <f t="shared" ref="BT65" si="316">++BS65</f>
        <v>0</v>
      </c>
      <c r="BU65" s="91">
        <f t="shared" ref="BU65" si="317">++BT65</f>
        <v>0</v>
      </c>
      <c r="BV65" s="91">
        <f t="shared" ref="BV65" si="318">++BU65</f>
        <v>0</v>
      </c>
      <c r="BW65" s="163">
        <f t="shared" ref="BW65" si="319">++BV65</f>
        <v>0</v>
      </c>
      <c r="BX65" s="381">
        <f t="shared" ref="BX65" si="320">++BW65*2</f>
        <v>0</v>
      </c>
      <c r="BY65" s="91">
        <f t="shared" ref="BY65" si="321">++BX65</f>
        <v>0</v>
      </c>
      <c r="BZ65" s="91">
        <f t="shared" ref="BZ65" si="322">++BY65</f>
        <v>0</v>
      </c>
      <c r="CA65" s="91">
        <f t="shared" ref="CA65" si="323">++BZ65</f>
        <v>0</v>
      </c>
      <c r="CB65" s="91">
        <f t="shared" ref="CB65" si="324">++CA65</f>
        <v>0</v>
      </c>
      <c r="CC65" s="91">
        <f t="shared" ref="CC65" si="325">++CB65</f>
        <v>0</v>
      </c>
      <c r="CD65" s="91">
        <f t="shared" ref="CD65" si="326">++CC65</f>
        <v>0</v>
      </c>
      <c r="CE65" s="91">
        <f t="shared" ref="CE65" si="327">++CD65</f>
        <v>0</v>
      </c>
      <c r="CF65" s="91">
        <f t="shared" ref="CF65" si="328">++CE65</f>
        <v>0</v>
      </c>
      <c r="CG65" s="91">
        <f t="shared" ref="CG65" si="329">++CF65</f>
        <v>0</v>
      </c>
      <c r="CH65" s="91">
        <f t="shared" ref="CH65" si="330">++CG65</f>
        <v>0</v>
      </c>
      <c r="CI65" s="163">
        <f t="shared" ref="CI65" si="331">++CH65</f>
        <v>0</v>
      </c>
      <c r="CJ65" s="381">
        <f t="shared" ref="CJ65" si="332">+CI65</f>
        <v>0</v>
      </c>
      <c r="CK65" s="91">
        <f t="shared" ref="CK65" si="333">++CJ65</f>
        <v>0</v>
      </c>
      <c r="CL65" s="91">
        <f t="shared" ref="CL65" si="334">++CK65</f>
        <v>0</v>
      </c>
      <c r="CM65" s="91">
        <f t="shared" ref="CM65" si="335">++CL65</f>
        <v>0</v>
      </c>
      <c r="CN65" s="91">
        <f t="shared" ref="CN65" si="336">++CM65</f>
        <v>0</v>
      </c>
      <c r="CO65" s="91">
        <f t="shared" ref="CO65" si="337">++CN65</f>
        <v>0</v>
      </c>
      <c r="CP65" s="91">
        <f t="shared" ref="CP65" si="338">++CO65</f>
        <v>0</v>
      </c>
      <c r="CQ65" s="91">
        <f t="shared" ref="CQ65" si="339">++CP65</f>
        <v>0</v>
      </c>
      <c r="CR65" s="91">
        <f t="shared" ref="CR65" si="340">++CQ65</f>
        <v>0</v>
      </c>
      <c r="CS65" s="91">
        <f t="shared" ref="CS65" si="341">++CR65</f>
        <v>0</v>
      </c>
      <c r="CT65" s="91">
        <f t="shared" ref="CT65" si="342">++CS65</f>
        <v>0</v>
      </c>
      <c r="CU65" s="163">
        <f t="shared" ref="CU65" si="343">++CT65</f>
        <v>0</v>
      </c>
      <c r="CV65" s="381">
        <f t="shared" ref="CV65" si="344">+CU65</f>
        <v>0</v>
      </c>
      <c r="CW65" s="91">
        <f t="shared" ref="CW65" si="345">++CV65</f>
        <v>0</v>
      </c>
      <c r="CX65" s="91">
        <f t="shared" ref="CX65" si="346">++CW65</f>
        <v>0</v>
      </c>
      <c r="CY65" s="91">
        <f t="shared" ref="CY65" si="347">++CX65</f>
        <v>0</v>
      </c>
      <c r="CZ65" s="91">
        <f t="shared" ref="CZ65" si="348">++CY65</f>
        <v>0</v>
      </c>
      <c r="DA65" s="91">
        <f t="shared" ref="DA65" si="349">++CZ65</f>
        <v>0</v>
      </c>
      <c r="DB65" s="91">
        <f t="shared" ref="DB65" si="350">++DA65</f>
        <v>0</v>
      </c>
      <c r="DC65" s="91">
        <f t="shared" ref="DC65" si="351">++DB65</f>
        <v>0</v>
      </c>
      <c r="DD65" s="91">
        <f t="shared" ref="DD65" si="352">++DC65</f>
        <v>0</v>
      </c>
      <c r="DE65" s="91">
        <f t="shared" ref="DE65" si="353">++DD65</f>
        <v>0</v>
      </c>
      <c r="DF65" s="91">
        <f t="shared" ref="DF65" si="354">++DE65</f>
        <v>0</v>
      </c>
      <c r="DG65" s="91">
        <f t="shared" ref="DG65" si="355">++DF65</f>
        <v>0</v>
      </c>
    </row>
    <row r="66" spans="1:111" x14ac:dyDescent="0.3">
      <c r="A66" s="3"/>
      <c r="B66" s="4" t="s">
        <v>323</v>
      </c>
      <c r="C66" s="4"/>
      <c r="D66" s="37"/>
      <c r="E66" s="37">
        <f t="shared" ref="E66:O66" si="356">SUM(E60:E62)</f>
        <v>0</v>
      </c>
      <c r="F66" s="37">
        <f t="shared" si="356"/>
        <v>0</v>
      </c>
      <c r="G66" s="37">
        <f t="shared" si="356"/>
        <v>0</v>
      </c>
      <c r="H66" s="37">
        <f t="shared" si="356"/>
        <v>0</v>
      </c>
      <c r="I66" s="37">
        <f t="shared" si="356"/>
        <v>0</v>
      </c>
      <c r="J66" s="37">
        <f t="shared" si="356"/>
        <v>0</v>
      </c>
      <c r="K66" s="37">
        <f t="shared" si="356"/>
        <v>0</v>
      </c>
      <c r="L66" s="37">
        <f t="shared" si="356"/>
        <v>1000</v>
      </c>
      <c r="M66" s="37">
        <f t="shared" si="356"/>
        <v>0</v>
      </c>
      <c r="N66" s="37">
        <f t="shared" si="356"/>
        <v>0</v>
      </c>
      <c r="O66" s="37">
        <f t="shared" si="356"/>
        <v>0</v>
      </c>
      <c r="P66" s="37">
        <f>SUM(P60:P64)</f>
        <v>0</v>
      </c>
      <c r="Q66" s="37">
        <f t="shared" ref="Q66:AE66" si="357">SUM(Q60:Q64)</f>
        <v>0</v>
      </c>
      <c r="R66" s="37">
        <f t="shared" si="357"/>
        <v>0</v>
      </c>
      <c r="S66" s="37">
        <f t="shared" si="357"/>
        <v>0</v>
      </c>
      <c r="T66" s="37">
        <f t="shared" si="357"/>
        <v>0</v>
      </c>
      <c r="U66" s="37">
        <f t="shared" si="357"/>
        <v>0</v>
      </c>
      <c r="V66" s="37">
        <f t="shared" si="357"/>
        <v>0</v>
      </c>
      <c r="W66" s="37">
        <f t="shared" si="357"/>
        <v>0</v>
      </c>
      <c r="X66" s="37">
        <f t="shared" si="357"/>
        <v>0</v>
      </c>
      <c r="Y66" s="37">
        <f t="shared" si="357"/>
        <v>0</v>
      </c>
      <c r="Z66" s="37">
        <f t="shared" si="357"/>
        <v>248.6</v>
      </c>
      <c r="AA66" s="37">
        <f t="shared" si="357"/>
        <v>1497.3899999999999</v>
      </c>
      <c r="AB66" s="37">
        <f t="shared" si="357"/>
        <v>0</v>
      </c>
      <c r="AC66" s="37">
        <f t="shared" si="357"/>
        <v>1663.0700000000002</v>
      </c>
      <c r="AD66" s="37">
        <f t="shared" si="357"/>
        <v>586.91999999999996</v>
      </c>
      <c r="AE66" s="37">
        <f t="shared" si="357"/>
        <v>726.59</v>
      </c>
      <c r="AF66" s="37">
        <f>SUM(AF60:AF65)</f>
        <v>665.06</v>
      </c>
      <c r="AG66" s="37">
        <f>SUM(AG61:AG65)</f>
        <v>2652.02</v>
      </c>
      <c r="AH66" s="37">
        <f>SUM(AH61:AH65)</f>
        <v>308.2</v>
      </c>
      <c r="AI66" s="37">
        <f>SUM(AI61:AI65)</f>
        <v>76.38</v>
      </c>
      <c r="AJ66" s="164">
        <f>SUM(AJ61:AJ65)</f>
        <v>201</v>
      </c>
      <c r="AK66" s="37">
        <f t="shared" ref="AK66" si="358">SUM(AK61:AK65)</f>
        <v>945.19333333333327</v>
      </c>
      <c r="AL66" s="37">
        <f t="shared" ref="AL66:CS66" si="359">SUM(AL61:AL65)</f>
        <v>945.19333333333327</v>
      </c>
      <c r="AM66" s="164">
        <f t="shared" si="359"/>
        <v>945.19333333333327</v>
      </c>
      <c r="AN66" s="37">
        <f t="shared" si="359"/>
        <v>1195.1933333333332</v>
      </c>
      <c r="AO66" s="37">
        <f t="shared" si="359"/>
        <v>1195.1933333333332</v>
      </c>
      <c r="AP66" s="37">
        <f t="shared" si="359"/>
        <v>1195.1933333333332</v>
      </c>
      <c r="AQ66" s="37">
        <f t="shared" si="359"/>
        <v>1195.1933333333332</v>
      </c>
      <c r="AR66" s="37">
        <f t="shared" si="359"/>
        <v>1195.1933333333332</v>
      </c>
      <c r="AS66" s="37">
        <f t="shared" si="359"/>
        <v>1195.1933333333332</v>
      </c>
      <c r="AT66" s="37">
        <f t="shared" si="359"/>
        <v>1195.1933333333332</v>
      </c>
      <c r="AU66" s="37">
        <f t="shared" si="359"/>
        <v>1195.1933333333332</v>
      </c>
      <c r="AV66" s="37">
        <f t="shared" si="359"/>
        <v>1195.1933333333332</v>
      </c>
      <c r="AW66" s="37">
        <f t="shared" si="359"/>
        <v>1195.1933333333332</v>
      </c>
      <c r="AX66" s="37">
        <f t="shared" si="359"/>
        <v>1195.1933333333332</v>
      </c>
      <c r="AY66" s="164">
        <f t="shared" si="359"/>
        <v>1195.1933333333332</v>
      </c>
      <c r="AZ66" s="37">
        <f t="shared" si="359"/>
        <v>2390.3866666666663</v>
      </c>
      <c r="BA66" s="37">
        <f t="shared" si="359"/>
        <v>2390.3866666666663</v>
      </c>
      <c r="BB66" s="37">
        <f t="shared" si="359"/>
        <v>2390.3866666666663</v>
      </c>
      <c r="BC66" s="37">
        <f t="shared" si="359"/>
        <v>2390.3866666666663</v>
      </c>
      <c r="BD66" s="37">
        <f t="shared" si="359"/>
        <v>2390.3866666666663</v>
      </c>
      <c r="BE66" s="37">
        <f t="shared" si="359"/>
        <v>2390.3866666666663</v>
      </c>
      <c r="BF66" s="37">
        <f t="shared" si="359"/>
        <v>2390.3866666666663</v>
      </c>
      <c r="BG66" s="37">
        <f t="shared" si="359"/>
        <v>2390.3866666666663</v>
      </c>
      <c r="BH66" s="37">
        <f t="shared" si="359"/>
        <v>2390.3866666666663</v>
      </c>
      <c r="BI66" s="37">
        <f t="shared" si="359"/>
        <v>2390.3866666666663</v>
      </c>
      <c r="BJ66" s="37">
        <f t="shared" si="359"/>
        <v>2390.3866666666663</v>
      </c>
      <c r="BK66" s="164">
        <f t="shared" si="359"/>
        <v>2390.3866666666663</v>
      </c>
      <c r="BL66" s="37">
        <f t="shared" si="359"/>
        <v>4780.7733333333326</v>
      </c>
      <c r="BM66" s="37">
        <f t="shared" si="359"/>
        <v>4780.7733333333326</v>
      </c>
      <c r="BN66" s="37">
        <f t="shared" si="359"/>
        <v>4780.7733333333326</v>
      </c>
      <c r="BO66" s="37">
        <f t="shared" si="359"/>
        <v>4780.7733333333326</v>
      </c>
      <c r="BP66" s="37">
        <f t="shared" si="359"/>
        <v>4780.7733333333326</v>
      </c>
      <c r="BQ66" s="37">
        <f t="shared" si="359"/>
        <v>4780.7733333333326</v>
      </c>
      <c r="BR66" s="37">
        <f t="shared" si="359"/>
        <v>4780.7733333333326</v>
      </c>
      <c r="BS66" s="37">
        <f t="shared" si="359"/>
        <v>4780.7733333333326</v>
      </c>
      <c r="BT66" s="37">
        <f t="shared" si="359"/>
        <v>4780.7733333333326</v>
      </c>
      <c r="BU66" s="37">
        <f t="shared" si="359"/>
        <v>4780.7733333333326</v>
      </c>
      <c r="BV66" s="37">
        <f t="shared" si="359"/>
        <v>4780.7733333333326</v>
      </c>
      <c r="BW66" s="164">
        <f t="shared" si="359"/>
        <v>4780.7733333333326</v>
      </c>
      <c r="BX66" s="37">
        <f t="shared" si="359"/>
        <v>9561.5466666666653</v>
      </c>
      <c r="BY66" s="37">
        <f t="shared" si="359"/>
        <v>9561.5466666666653</v>
      </c>
      <c r="BZ66" s="37">
        <f t="shared" si="359"/>
        <v>9561.5466666666653</v>
      </c>
      <c r="CA66" s="37">
        <f t="shared" si="359"/>
        <v>9561.5466666666653</v>
      </c>
      <c r="CB66" s="37">
        <f t="shared" si="359"/>
        <v>9561.5466666666653</v>
      </c>
      <c r="CC66" s="37">
        <f t="shared" si="359"/>
        <v>9561.5466666666653</v>
      </c>
      <c r="CD66" s="37">
        <f t="shared" si="359"/>
        <v>9561.5466666666653</v>
      </c>
      <c r="CE66" s="37">
        <f t="shared" si="359"/>
        <v>9561.5466666666653</v>
      </c>
      <c r="CF66" s="37">
        <f t="shared" si="359"/>
        <v>9561.5466666666653</v>
      </c>
      <c r="CG66" s="37">
        <f t="shared" si="359"/>
        <v>9561.5466666666653</v>
      </c>
      <c r="CH66" s="37">
        <f t="shared" si="359"/>
        <v>9561.5466666666653</v>
      </c>
      <c r="CI66" s="164">
        <f t="shared" si="359"/>
        <v>9561.5466666666653</v>
      </c>
      <c r="CJ66" s="37">
        <f t="shared" si="359"/>
        <v>9561.5466666666653</v>
      </c>
      <c r="CK66" s="37">
        <f t="shared" si="359"/>
        <v>9561.5466666666653</v>
      </c>
      <c r="CL66" s="37">
        <f t="shared" si="359"/>
        <v>9561.5466666666653</v>
      </c>
      <c r="CM66" s="37">
        <f t="shared" si="359"/>
        <v>9561.5466666666653</v>
      </c>
      <c r="CN66" s="37">
        <f t="shared" si="359"/>
        <v>9561.5466666666653</v>
      </c>
      <c r="CO66" s="37">
        <f t="shared" si="359"/>
        <v>9561.5466666666653</v>
      </c>
      <c r="CP66" s="37">
        <f t="shared" si="359"/>
        <v>9561.5466666666653</v>
      </c>
      <c r="CQ66" s="37">
        <f t="shared" si="359"/>
        <v>9561.5466666666653</v>
      </c>
      <c r="CR66" s="37">
        <f t="shared" si="359"/>
        <v>9561.5466666666653</v>
      </c>
      <c r="CS66" s="37">
        <f t="shared" si="359"/>
        <v>9561.5466666666653</v>
      </c>
      <c r="CT66" s="37">
        <f t="shared" ref="CT66:DG66" si="360">SUM(CT61:CT65)</f>
        <v>9561.5466666666653</v>
      </c>
      <c r="CU66" s="164">
        <f t="shared" si="360"/>
        <v>9561.5466666666653</v>
      </c>
      <c r="CV66" s="37">
        <f t="shared" si="360"/>
        <v>9561.5466666666653</v>
      </c>
      <c r="CW66" s="37">
        <f t="shared" si="360"/>
        <v>9561.5466666666653</v>
      </c>
      <c r="CX66" s="37">
        <f t="shared" si="360"/>
        <v>9561.5466666666653</v>
      </c>
      <c r="CY66" s="37">
        <f t="shared" si="360"/>
        <v>9561.5466666666653</v>
      </c>
      <c r="CZ66" s="37">
        <f t="shared" si="360"/>
        <v>9561.5466666666653</v>
      </c>
      <c r="DA66" s="37">
        <f t="shared" si="360"/>
        <v>9561.5466666666653</v>
      </c>
      <c r="DB66" s="37">
        <f t="shared" si="360"/>
        <v>9561.5466666666653</v>
      </c>
      <c r="DC66" s="37">
        <f t="shared" si="360"/>
        <v>9561.5466666666653</v>
      </c>
      <c r="DD66" s="37">
        <f t="shared" si="360"/>
        <v>9561.5466666666653</v>
      </c>
      <c r="DE66" s="37">
        <f t="shared" si="360"/>
        <v>9561.5466666666653</v>
      </c>
      <c r="DF66" s="37">
        <f t="shared" si="360"/>
        <v>9561.5466666666653</v>
      </c>
      <c r="DG66" s="37">
        <f t="shared" si="360"/>
        <v>9561.5466666666653</v>
      </c>
    </row>
    <row r="67" spans="1:111" s="15" customFormat="1" x14ac:dyDescent="0.3">
      <c r="A67"/>
      <c r="B67" s="1" t="s">
        <v>324</v>
      </c>
      <c r="C67" s="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>
        <v>104.27</v>
      </c>
      <c r="Q67" s="91"/>
      <c r="R67" s="91"/>
      <c r="S67" s="91"/>
      <c r="T67" s="91"/>
      <c r="U67" s="91"/>
      <c r="V67" s="91"/>
      <c r="W67" s="91"/>
      <c r="X67" s="91"/>
      <c r="Y67" s="91"/>
      <c r="Z67" s="91">
        <v>1747.5</v>
      </c>
      <c r="AA67" s="91"/>
      <c r="AB67" s="91"/>
      <c r="AC67" s="91"/>
      <c r="AD67" s="91"/>
      <c r="AE67" s="91"/>
      <c r="AF67" s="91">
        <v>1200</v>
      </c>
      <c r="AG67" s="91"/>
      <c r="AH67" s="91"/>
      <c r="AI67" s="91">
        <v>250</v>
      </c>
      <c r="AJ67" s="163"/>
      <c r="AK67" s="540">
        <v>0</v>
      </c>
      <c r="AL67" s="205"/>
      <c r="AM67" s="384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384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384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384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384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384"/>
      <c r="CV67" s="205"/>
      <c r="CW67" s="205"/>
      <c r="CX67" s="205"/>
      <c r="CY67" s="205"/>
      <c r="CZ67" s="205"/>
      <c r="DA67" s="205"/>
      <c r="DB67" s="205"/>
      <c r="DC67" s="205"/>
      <c r="DD67" s="205"/>
      <c r="DE67" s="205"/>
      <c r="DF67" s="205"/>
      <c r="DG67" s="205"/>
    </row>
    <row r="68" spans="1:111" s="15" customFormat="1" x14ac:dyDescent="0.3">
      <c r="A68"/>
      <c r="B68" s="1" t="s">
        <v>325</v>
      </c>
      <c r="C68" s="1"/>
      <c r="D68" s="91"/>
      <c r="E68" s="91"/>
      <c r="F68" s="91"/>
      <c r="G68" s="91"/>
      <c r="H68" s="91"/>
      <c r="I68" s="91">
        <v>575.36</v>
      </c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>
        <v>93.75</v>
      </c>
      <c r="U68" s="91">
        <v>93.75</v>
      </c>
      <c r="V68" s="91">
        <v>93.75</v>
      </c>
      <c r="W68" s="91">
        <v>93.75</v>
      </c>
      <c r="X68" s="91">
        <v>302.92</v>
      </c>
      <c r="Y68" s="91">
        <v>202.33</v>
      </c>
      <c r="Z68" s="91">
        <v>202.33</v>
      </c>
      <c r="AA68" s="91">
        <v>202.33</v>
      </c>
      <c r="AB68" s="91">
        <v>202.33</v>
      </c>
      <c r="AC68" s="91">
        <v>202.33</v>
      </c>
      <c r="AD68" s="91">
        <v>202.33</v>
      </c>
      <c r="AE68" s="91">
        <v>198.32</v>
      </c>
      <c r="AF68" s="91">
        <v>198.32</v>
      </c>
      <c r="AG68" s="91">
        <v>198.32</v>
      </c>
      <c r="AH68" s="91">
        <v>198.24</v>
      </c>
      <c r="AI68" s="91">
        <v>230.73</v>
      </c>
      <c r="AJ68" s="163">
        <v>230.73</v>
      </c>
      <c r="AK68" s="540">
        <f>+AVERAGE(AH68:AJ68)</f>
        <v>219.9</v>
      </c>
      <c r="AL68" s="91">
        <f t="shared" ref="AL68:CP70" si="361">+AK68</f>
        <v>219.9</v>
      </c>
      <c r="AM68" s="163">
        <f t="shared" si="361"/>
        <v>219.9</v>
      </c>
      <c r="AN68" s="91">
        <f t="shared" si="361"/>
        <v>219.9</v>
      </c>
      <c r="AO68" s="91">
        <f t="shared" si="361"/>
        <v>219.9</v>
      </c>
      <c r="AP68" s="91">
        <f t="shared" si="361"/>
        <v>219.9</v>
      </c>
      <c r="AQ68" s="91">
        <f t="shared" si="361"/>
        <v>219.9</v>
      </c>
      <c r="AR68" s="91">
        <f t="shared" si="361"/>
        <v>219.9</v>
      </c>
      <c r="AS68" s="91">
        <f t="shared" si="361"/>
        <v>219.9</v>
      </c>
      <c r="AT68" s="91">
        <f t="shared" si="361"/>
        <v>219.9</v>
      </c>
      <c r="AU68" s="91">
        <f t="shared" si="361"/>
        <v>219.9</v>
      </c>
      <c r="AV68" s="91">
        <f t="shared" si="361"/>
        <v>219.9</v>
      </c>
      <c r="AW68" s="91">
        <f t="shared" si="361"/>
        <v>219.9</v>
      </c>
      <c r="AX68" s="91">
        <f t="shared" si="361"/>
        <v>219.9</v>
      </c>
      <c r="AY68" s="163">
        <f t="shared" si="361"/>
        <v>219.9</v>
      </c>
      <c r="AZ68" s="91">
        <f t="shared" si="361"/>
        <v>219.9</v>
      </c>
      <c r="BA68" s="91">
        <f t="shared" si="361"/>
        <v>219.9</v>
      </c>
      <c r="BB68" s="91">
        <f t="shared" si="361"/>
        <v>219.9</v>
      </c>
      <c r="BC68" s="91">
        <f t="shared" si="361"/>
        <v>219.9</v>
      </c>
      <c r="BD68" s="91">
        <f t="shared" si="361"/>
        <v>219.9</v>
      </c>
      <c r="BE68" s="91">
        <f t="shared" si="361"/>
        <v>219.9</v>
      </c>
      <c r="BF68" s="91">
        <f t="shared" si="361"/>
        <v>219.9</v>
      </c>
      <c r="BG68" s="91">
        <f t="shared" si="361"/>
        <v>219.9</v>
      </c>
      <c r="BH68" s="91">
        <f t="shared" si="361"/>
        <v>219.9</v>
      </c>
      <c r="BI68" s="91">
        <f t="shared" si="361"/>
        <v>219.9</v>
      </c>
      <c r="BJ68" s="91">
        <f t="shared" si="361"/>
        <v>219.9</v>
      </c>
      <c r="BK68" s="163">
        <f t="shared" si="361"/>
        <v>219.9</v>
      </c>
      <c r="BL68" s="91">
        <f t="shared" si="361"/>
        <v>219.9</v>
      </c>
      <c r="BM68" s="91">
        <f t="shared" si="361"/>
        <v>219.9</v>
      </c>
      <c r="BN68" s="91">
        <f t="shared" si="361"/>
        <v>219.9</v>
      </c>
      <c r="BO68" s="91">
        <f t="shared" si="361"/>
        <v>219.9</v>
      </c>
      <c r="BP68" s="91">
        <f t="shared" si="361"/>
        <v>219.9</v>
      </c>
      <c r="BQ68" s="91">
        <f t="shared" si="361"/>
        <v>219.9</v>
      </c>
      <c r="BR68" s="91">
        <f t="shared" si="361"/>
        <v>219.9</v>
      </c>
      <c r="BS68" s="91">
        <f t="shared" si="361"/>
        <v>219.9</v>
      </c>
      <c r="BT68" s="91">
        <f t="shared" si="361"/>
        <v>219.9</v>
      </c>
      <c r="BU68" s="91">
        <f t="shared" si="361"/>
        <v>219.9</v>
      </c>
      <c r="BV68" s="91">
        <f t="shared" si="361"/>
        <v>219.9</v>
      </c>
      <c r="BW68" s="163">
        <f t="shared" si="361"/>
        <v>219.9</v>
      </c>
      <c r="BX68" s="91">
        <f t="shared" si="361"/>
        <v>219.9</v>
      </c>
      <c r="BY68" s="91">
        <f t="shared" si="361"/>
        <v>219.9</v>
      </c>
      <c r="BZ68" s="91">
        <f t="shared" si="361"/>
        <v>219.9</v>
      </c>
      <c r="CA68" s="91">
        <f t="shared" si="361"/>
        <v>219.9</v>
      </c>
      <c r="CB68" s="91">
        <f t="shared" si="361"/>
        <v>219.9</v>
      </c>
      <c r="CC68" s="91">
        <f t="shared" si="361"/>
        <v>219.9</v>
      </c>
      <c r="CD68" s="91">
        <f t="shared" si="361"/>
        <v>219.9</v>
      </c>
      <c r="CE68" s="91">
        <f t="shared" si="361"/>
        <v>219.9</v>
      </c>
      <c r="CF68" s="91">
        <f t="shared" si="361"/>
        <v>219.9</v>
      </c>
      <c r="CG68" s="91">
        <f t="shared" si="361"/>
        <v>219.9</v>
      </c>
      <c r="CH68" s="91">
        <f t="shared" si="361"/>
        <v>219.9</v>
      </c>
      <c r="CI68" s="163">
        <f t="shared" si="361"/>
        <v>219.9</v>
      </c>
      <c r="CJ68" s="91">
        <f t="shared" si="361"/>
        <v>219.9</v>
      </c>
      <c r="CK68" s="91">
        <f t="shared" si="361"/>
        <v>219.9</v>
      </c>
      <c r="CL68" s="91">
        <f t="shared" si="361"/>
        <v>219.9</v>
      </c>
      <c r="CM68" s="91">
        <f t="shared" si="361"/>
        <v>219.9</v>
      </c>
      <c r="CN68" s="91">
        <f t="shared" si="361"/>
        <v>219.9</v>
      </c>
      <c r="CO68" s="91">
        <f t="shared" si="361"/>
        <v>219.9</v>
      </c>
      <c r="CP68" s="91">
        <f t="shared" si="361"/>
        <v>219.9</v>
      </c>
      <c r="CQ68" s="91">
        <f t="shared" ref="CQ68:DG71" si="362">+CP68</f>
        <v>219.9</v>
      </c>
      <c r="CR68" s="91">
        <f t="shared" si="362"/>
        <v>219.9</v>
      </c>
      <c r="CS68" s="91">
        <f t="shared" si="362"/>
        <v>219.9</v>
      </c>
      <c r="CT68" s="91">
        <f t="shared" si="362"/>
        <v>219.9</v>
      </c>
      <c r="CU68" s="163">
        <f t="shared" si="362"/>
        <v>219.9</v>
      </c>
      <c r="CV68" s="91">
        <f t="shared" si="362"/>
        <v>219.9</v>
      </c>
      <c r="CW68" s="91">
        <f t="shared" si="362"/>
        <v>219.9</v>
      </c>
      <c r="CX68" s="91">
        <f t="shared" si="362"/>
        <v>219.9</v>
      </c>
      <c r="CY68" s="91">
        <f t="shared" si="362"/>
        <v>219.9</v>
      </c>
      <c r="CZ68" s="91">
        <f t="shared" si="362"/>
        <v>219.9</v>
      </c>
      <c r="DA68" s="91">
        <f t="shared" si="362"/>
        <v>219.9</v>
      </c>
      <c r="DB68" s="91">
        <f t="shared" si="362"/>
        <v>219.9</v>
      </c>
      <c r="DC68" s="91">
        <f t="shared" si="362"/>
        <v>219.9</v>
      </c>
      <c r="DD68" s="91">
        <f t="shared" si="362"/>
        <v>219.9</v>
      </c>
      <c r="DE68" s="91">
        <f t="shared" si="362"/>
        <v>219.9</v>
      </c>
      <c r="DF68" s="91">
        <f t="shared" si="362"/>
        <v>219.9</v>
      </c>
      <c r="DG68" s="91">
        <f t="shared" si="362"/>
        <v>219.9</v>
      </c>
    </row>
    <row r="69" spans="1:111" s="15" customFormat="1" x14ac:dyDescent="0.3">
      <c r="A69"/>
      <c r="B69" s="1" t="s">
        <v>326</v>
      </c>
      <c r="C69" s="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>
        <v>277.47000000000003</v>
      </c>
      <c r="Q69" s="91">
        <v>61.43</v>
      </c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>
        <v>394.25</v>
      </c>
      <c r="AD69" s="91"/>
      <c r="AE69" s="91"/>
      <c r="AF69" s="91"/>
      <c r="AG69" s="91">
        <v>665.7</v>
      </c>
      <c r="AH69" s="91">
        <v>1000.01</v>
      </c>
      <c r="AI69" s="91">
        <v>496.91</v>
      </c>
      <c r="AJ69" s="163"/>
      <c r="AK69" s="540">
        <f>+AVERAGE(AH69:AJ69)</f>
        <v>748.46</v>
      </c>
      <c r="AL69" s="91">
        <f t="shared" si="361"/>
        <v>748.46</v>
      </c>
      <c r="AM69" s="163">
        <f t="shared" si="361"/>
        <v>748.46</v>
      </c>
      <c r="AN69" s="91">
        <f t="shared" si="361"/>
        <v>748.46</v>
      </c>
      <c r="AO69" s="91">
        <f t="shared" si="361"/>
        <v>748.46</v>
      </c>
      <c r="AP69" s="91">
        <f t="shared" si="361"/>
        <v>748.46</v>
      </c>
      <c r="AQ69" s="91">
        <f t="shared" si="361"/>
        <v>748.46</v>
      </c>
      <c r="AR69" s="91">
        <f t="shared" si="361"/>
        <v>748.46</v>
      </c>
      <c r="AS69" s="91">
        <f t="shared" si="361"/>
        <v>748.46</v>
      </c>
      <c r="AT69" s="91">
        <f t="shared" si="361"/>
        <v>748.46</v>
      </c>
      <c r="AU69" s="91">
        <f t="shared" si="361"/>
        <v>748.46</v>
      </c>
      <c r="AV69" s="91">
        <f t="shared" si="361"/>
        <v>748.46</v>
      </c>
      <c r="AW69" s="91">
        <f t="shared" si="361"/>
        <v>748.46</v>
      </c>
      <c r="AX69" s="91">
        <f t="shared" si="361"/>
        <v>748.46</v>
      </c>
      <c r="AY69" s="163">
        <f t="shared" si="361"/>
        <v>748.46</v>
      </c>
      <c r="AZ69" s="381">
        <f>+AY69*2</f>
        <v>1496.92</v>
      </c>
      <c r="BA69" s="91">
        <f t="shared" si="361"/>
        <v>1496.92</v>
      </c>
      <c r="BB69" s="91">
        <f t="shared" si="361"/>
        <v>1496.92</v>
      </c>
      <c r="BC69" s="91">
        <f t="shared" si="361"/>
        <v>1496.92</v>
      </c>
      <c r="BD69" s="91">
        <f t="shared" si="361"/>
        <v>1496.92</v>
      </c>
      <c r="BE69" s="91">
        <f t="shared" si="361"/>
        <v>1496.92</v>
      </c>
      <c r="BF69" s="91">
        <f t="shared" si="361"/>
        <v>1496.92</v>
      </c>
      <c r="BG69" s="91">
        <f t="shared" si="361"/>
        <v>1496.92</v>
      </c>
      <c r="BH69" s="91">
        <f t="shared" si="361"/>
        <v>1496.92</v>
      </c>
      <c r="BI69" s="91">
        <f t="shared" si="361"/>
        <v>1496.92</v>
      </c>
      <c r="BJ69" s="91">
        <f t="shared" si="361"/>
        <v>1496.92</v>
      </c>
      <c r="BK69" s="163">
        <f t="shared" si="361"/>
        <v>1496.92</v>
      </c>
      <c r="BL69" s="381">
        <f>+BK69*2</f>
        <v>2993.84</v>
      </c>
      <c r="BM69" s="91">
        <f t="shared" si="361"/>
        <v>2993.84</v>
      </c>
      <c r="BN69" s="91">
        <f t="shared" si="361"/>
        <v>2993.84</v>
      </c>
      <c r="BO69" s="91">
        <f t="shared" si="361"/>
        <v>2993.84</v>
      </c>
      <c r="BP69" s="91">
        <f t="shared" si="361"/>
        <v>2993.84</v>
      </c>
      <c r="BQ69" s="91">
        <f t="shared" si="361"/>
        <v>2993.84</v>
      </c>
      <c r="BR69" s="91">
        <f t="shared" si="361"/>
        <v>2993.84</v>
      </c>
      <c r="BS69" s="91">
        <f t="shared" si="361"/>
        <v>2993.84</v>
      </c>
      <c r="BT69" s="91">
        <f t="shared" si="361"/>
        <v>2993.84</v>
      </c>
      <c r="BU69" s="91">
        <f t="shared" si="361"/>
        <v>2993.84</v>
      </c>
      <c r="BV69" s="91">
        <f t="shared" si="361"/>
        <v>2993.84</v>
      </c>
      <c r="BW69" s="163">
        <f t="shared" si="361"/>
        <v>2993.84</v>
      </c>
      <c r="BX69" s="381">
        <f>+BW69*2</f>
        <v>5987.68</v>
      </c>
      <c r="BY69" s="91">
        <f t="shared" si="361"/>
        <v>5987.68</v>
      </c>
      <c r="BZ69" s="91">
        <f t="shared" si="361"/>
        <v>5987.68</v>
      </c>
      <c r="CA69" s="91">
        <f t="shared" si="361"/>
        <v>5987.68</v>
      </c>
      <c r="CB69" s="91">
        <f t="shared" si="361"/>
        <v>5987.68</v>
      </c>
      <c r="CC69" s="91">
        <f t="shared" si="361"/>
        <v>5987.68</v>
      </c>
      <c r="CD69" s="91">
        <f t="shared" si="361"/>
        <v>5987.68</v>
      </c>
      <c r="CE69" s="91">
        <f t="shared" si="361"/>
        <v>5987.68</v>
      </c>
      <c r="CF69" s="91">
        <f t="shared" si="361"/>
        <v>5987.68</v>
      </c>
      <c r="CG69" s="91">
        <f t="shared" si="361"/>
        <v>5987.68</v>
      </c>
      <c r="CH69" s="91">
        <f t="shared" si="361"/>
        <v>5987.68</v>
      </c>
      <c r="CI69" s="163">
        <f t="shared" si="361"/>
        <v>5987.68</v>
      </c>
      <c r="CJ69" s="381">
        <f>+CI69*2</f>
        <v>11975.36</v>
      </c>
      <c r="CK69" s="91">
        <f t="shared" si="361"/>
        <v>11975.36</v>
      </c>
      <c r="CL69" s="91">
        <f t="shared" si="361"/>
        <v>11975.36</v>
      </c>
      <c r="CM69" s="91">
        <f t="shared" si="361"/>
        <v>11975.36</v>
      </c>
      <c r="CN69" s="91">
        <f t="shared" si="361"/>
        <v>11975.36</v>
      </c>
      <c r="CO69" s="91">
        <f t="shared" si="361"/>
        <v>11975.36</v>
      </c>
      <c r="CP69" s="91">
        <f t="shared" si="361"/>
        <v>11975.36</v>
      </c>
      <c r="CQ69" s="91">
        <f t="shared" si="362"/>
        <v>11975.36</v>
      </c>
      <c r="CR69" s="91">
        <f t="shared" si="362"/>
        <v>11975.36</v>
      </c>
      <c r="CS69" s="91">
        <f t="shared" si="362"/>
        <v>11975.36</v>
      </c>
      <c r="CT69" s="91">
        <f t="shared" si="362"/>
        <v>11975.36</v>
      </c>
      <c r="CU69" s="163">
        <f t="shared" si="362"/>
        <v>11975.36</v>
      </c>
      <c r="CV69" s="381">
        <f>+CU69*2</f>
        <v>23950.720000000001</v>
      </c>
      <c r="CW69" s="91">
        <f t="shared" si="362"/>
        <v>23950.720000000001</v>
      </c>
      <c r="CX69" s="91">
        <f t="shared" si="362"/>
        <v>23950.720000000001</v>
      </c>
      <c r="CY69" s="91">
        <f t="shared" si="362"/>
        <v>23950.720000000001</v>
      </c>
      <c r="CZ69" s="91">
        <f t="shared" si="362"/>
        <v>23950.720000000001</v>
      </c>
      <c r="DA69" s="91">
        <f t="shared" si="362"/>
        <v>23950.720000000001</v>
      </c>
      <c r="DB69" s="91">
        <f t="shared" si="362"/>
        <v>23950.720000000001</v>
      </c>
      <c r="DC69" s="91">
        <f t="shared" si="362"/>
        <v>23950.720000000001</v>
      </c>
      <c r="DD69" s="91">
        <f t="shared" si="362"/>
        <v>23950.720000000001</v>
      </c>
      <c r="DE69" s="91">
        <f t="shared" si="362"/>
        <v>23950.720000000001</v>
      </c>
      <c r="DF69" s="91">
        <f t="shared" si="362"/>
        <v>23950.720000000001</v>
      </c>
      <c r="DG69" s="91">
        <f t="shared" si="362"/>
        <v>23950.720000000001</v>
      </c>
    </row>
    <row r="70" spans="1:111" s="15" customFormat="1" x14ac:dyDescent="0.3">
      <c r="A70"/>
      <c r="B70" s="1" t="s">
        <v>327</v>
      </c>
      <c r="C70" s="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>
        <v>117.59</v>
      </c>
      <c r="P70" s="91">
        <v>0</v>
      </c>
      <c r="Q70" s="91">
        <v>67.64</v>
      </c>
      <c r="R70" s="91">
        <v>135.28</v>
      </c>
      <c r="S70" s="91"/>
      <c r="T70" s="91">
        <v>135.28</v>
      </c>
      <c r="U70" s="91">
        <v>67.64</v>
      </c>
      <c r="V70" s="91">
        <v>67.64</v>
      </c>
      <c r="W70" s="91">
        <v>70.64</v>
      </c>
      <c r="X70" s="91">
        <v>70.92</v>
      </c>
      <c r="Y70" s="91">
        <v>70.94</v>
      </c>
      <c r="Z70" s="91">
        <v>70.94</v>
      </c>
      <c r="AA70" s="91">
        <v>70.94</v>
      </c>
      <c r="AB70" s="91">
        <v>70.94</v>
      </c>
      <c r="AC70" s="91">
        <v>70.94</v>
      </c>
      <c r="AD70" s="91">
        <v>70.94</v>
      </c>
      <c r="AE70" s="91">
        <v>71.150000000000006</v>
      </c>
      <c r="AF70" s="91">
        <v>71.150000000000006</v>
      </c>
      <c r="AG70" s="91">
        <v>71.150000000000006</v>
      </c>
      <c r="AH70" s="91">
        <v>71.150000000000006</v>
      </c>
      <c r="AI70" s="91">
        <v>71.150000000000006</v>
      </c>
      <c r="AJ70" s="163">
        <v>71.150000000000006</v>
      </c>
      <c r="AK70" s="540">
        <f>+AVERAGE(AH70:AJ70)</f>
        <v>71.150000000000006</v>
      </c>
      <c r="AL70" s="91">
        <f t="shared" si="361"/>
        <v>71.150000000000006</v>
      </c>
      <c r="AM70" s="163">
        <f t="shared" si="361"/>
        <v>71.150000000000006</v>
      </c>
      <c r="AN70" s="91">
        <f t="shared" si="361"/>
        <v>71.150000000000006</v>
      </c>
      <c r="AO70" s="91">
        <f t="shared" si="361"/>
        <v>71.150000000000006</v>
      </c>
      <c r="AP70" s="91">
        <f t="shared" si="361"/>
        <v>71.150000000000006</v>
      </c>
      <c r="AQ70" s="91">
        <f t="shared" si="361"/>
        <v>71.150000000000006</v>
      </c>
      <c r="AR70" s="91">
        <f t="shared" si="361"/>
        <v>71.150000000000006</v>
      </c>
      <c r="AS70" s="91">
        <f t="shared" si="361"/>
        <v>71.150000000000006</v>
      </c>
      <c r="AT70" s="91">
        <f t="shared" si="361"/>
        <v>71.150000000000006</v>
      </c>
      <c r="AU70" s="91">
        <f t="shared" si="361"/>
        <v>71.150000000000006</v>
      </c>
      <c r="AV70" s="91">
        <f t="shared" si="361"/>
        <v>71.150000000000006</v>
      </c>
      <c r="AW70" s="91">
        <f t="shared" si="361"/>
        <v>71.150000000000006</v>
      </c>
      <c r="AX70" s="91">
        <f t="shared" si="361"/>
        <v>71.150000000000006</v>
      </c>
      <c r="AY70" s="163">
        <f t="shared" si="361"/>
        <v>71.150000000000006</v>
      </c>
      <c r="AZ70" s="91">
        <f t="shared" si="361"/>
        <v>71.150000000000006</v>
      </c>
      <c r="BA70" s="91">
        <f t="shared" si="361"/>
        <v>71.150000000000006</v>
      </c>
      <c r="BB70" s="91">
        <f t="shared" si="361"/>
        <v>71.150000000000006</v>
      </c>
      <c r="BC70" s="91">
        <f t="shared" si="361"/>
        <v>71.150000000000006</v>
      </c>
      <c r="BD70" s="91">
        <f t="shared" si="361"/>
        <v>71.150000000000006</v>
      </c>
      <c r="BE70" s="91">
        <f t="shared" si="361"/>
        <v>71.150000000000006</v>
      </c>
      <c r="BF70" s="91">
        <f t="shared" si="361"/>
        <v>71.150000000000006</v>
      </c>
      <c r="BG70" s="91">
        <f t="shared" si="361"/>
        <v>71.150000000000006</v>
      </c>
      <c r="BH70" s="91">
        <f t="shared" si="361"/>
        <v>71.150000000000006</v>
      </c>
      <c r="BI70" s="91">
        <f t="shared" si="361"/>
        <v>71.150000000000006</v>
      </c>
      <c r="BJ70" s="91">
        <f t="shared" si="361"/>
        <v>71.150000000000006</v>
      </c>
      <c r="BK70" s="163">
        <f t="shared" si="361"/>
        <v>71.150000000000006</v>
      </c>
      <c r="BL70" s="91">
        <f t="shared" si="361"/>
        <v>71.150000000000006</v>
      </c>
      <c r="BM70" s="91">
        <f t="shared" si="361"/>
        <v>71.150000000000006</v>
      </c>
      <c r="BN70" s="91">
        <f t="shared" si="361"/>
        <v>71.150000000000006</v>
      </c>
      <c r="BO70" s="91">
        <f t="shared" si="361"/>
        <v>71.150000000000006</v>
      </c>
      <c r="BP70" s="91">
        <f t="shared" si="361"/>
        <v>71.150000000000006</v>
      </c>
      <c r="BQ70" s="91">
        <f t="shared" si="361"/>
        <v>71.150000000000006</v>
      </c>
      <c r="BR70" s="91">
        <f t="shared" si="361"/>
        <v>71.150000000000006</v>
      </c>
      <c r="BS70" s="91">
        <f t="shared" si="361"/>
        <v>71.150000000000006</v>
      </c>
      <c r="BT70" s="91">
        <f t="shared" si="361"/>
        <v>71.150000000000006</v>
      </c>
      <c r="BU70" s="91">
        <f t="shared" si="361"/>
        <v>71.150000000000006</v>
      </c>
      <c r="BV70" s="91">
        <f t="shared" si="361"/>
        <v>71.150000000000006</v>
      </c>
      <c r="BW70" s="163">
        <f t="shared" si="361"/>
        <v>71.150000000000006</v>
      </c>
      <c r="BX70" s="91">
        <f t="shared" si="361"/>
        <v>71.150000000000006</v>
      </c>
      <c r="BY70" s="91">
        <f t="shared" si="361"/>
        <v>71.150000000000006</v>
      </c>
      <c r="BZ70" s="91">
        <f t="shared" si="361"/>
        <v>71.150000000000006</v>
      </c>
      <c r="CA70" s="91">
        <f t="shared" si="361"/>
        <v>71.150000000000006</v>
      </c>
      <c r="CB70" s="91">
        <f t="shared" si="361"/>
        <v>71.150000000000006</v>
      </c>
      <c r="CC70" s="91">
        <f t="shared" si="361"/>
        <v>71.150000000000006</v>
      </c>
      <c r="CD70" s="91">
        <f t="shared" si="361"/>
        <v>71.150000000000006</v>
      </c>
      <c r="CE70" s="91">
        <f t="shared" si="361"/>
        <v>71.150000000000006</v>
      </c>
      <c r="CF70" s="91">
        <f t="shared" si="361"/>
        <v>71.150000000000006</v>
      </c>
      <c r="CG70" s="91">
        <f t="shared" si="361"/>
        <v>71.150000000000006</v>
      </c>
      <c r="CH70" s="91">
        <f t="shared" si="361"/>
        <v>71.150000000000006</v>
      </c>
      <c r="CI70" s="163">
        <f t="shared" si="361"/>
        <v>71.150000000000006</v>
      </c>
      <c r="CJ70" s="91">
        <f t="shared" si="361"/>
        <v>71.150000000000006</v>
      </c>
      <c r="CK70" s="91">
        <f t="shared" si="361"/>
        <v>71.150000000000006</v>
      </c>
      <c r="CL70" s="91">
        <f t="shared" si="361"/>
        <v>71.150000000000006</v>
      </c>
      <c r="CM70" s="91">
        <f t="shared" si="361"/>
        <v>71.150000000000006</v>
      </c>
      <c r="CN70" s="91">
        <f t="shared" si="361"/>
        <v>71.150000000000006</v>
      </c>
      <c r="CO70" s="91">
        <f t="shared" si="361"/>
        <v>71.150000000000006</v>
      </c>
      <c r="CP70" s="91">
        <f t="shared" si="361"/>
        <v>71.150000000000006</v>
      </c>
      <c r="CQ70" s="91">
        <f t="shared" si="362"/>
        <v>71.150000000000006</v>
      </c>
      <c r="CR70" s="91">
        <f t="shared" si="362"/>
        <v>71.150000000000006</v>
      </c>
      <c r="CS70" s="91">
        <f t="shared" si="362"/>
        <v>71.150000000000006</v>
      </c>
      <c r="CT70" s="91">
        <f t="shared" si="362"/>
        <v>71.150000000000006</v>
      </c>
      <c r="CU70" s="163">
        <f t="shared" si="362"/>
        <v>71.150000000000006</v>
      </c>
      <c r="CV70" s="91">
        <f t="shared" si="362"/>
        <v>71.150000000000006</v>
      </c>
      <c r="CW70" s="91">
        <f t="shared" si="362"/>
        <v>71.150000000000006</v>
      </c>
      <c r="CX70" s="91">
        <f t="shared" si="362"/>
        <v>71.150000000000006</v>
      </c>
      <c r="CY70" s="91">
        <f t="shared" si="362"/>
        <v>71.150000000000006</v>
      </c>
      <c r="CZ70" s="91">
        <f t="shared" si="362"/>
        <v>71.150000000000006</v>
      </c>
      <c r="DA70" s="91">
        <f t="shared" si="362"/>
        <v>71.150000000000006</v>
      </c>
      <c r="DB70" s="91">
        <f t="shared" si="362"/>
        <v>71.150000000000006</v>
      </c>
      <c r="DC70" s="91">
        <f t="shared" si="362"/>
        <v>71.150000000000006</v>
      </c>
      <c r="DD70" s="91">
        <f t="shared" si="362"/>
        <v>71.150000000000006</v>
      </c>
      <c r="DE70" s="91">
        <f t="shared" si="362"/>
        <v>71.150000000000006</v>
      </c>
      <c r="DF70" s="91">
        <f t="shared" si="362"/>
        <v>71.150000000000006</v>
      </c>
      <c r="DG70" s="91">
        <f t="shared" si="362"/>
        <v>71.150000000000006</v>
      </c>
    </row>
    <row r="71" spans="1:111" s="15" customFormat="1" x14ac:dyDescent="0.3">
      <c r="A71"/>
      <c r="B71" s="1" t="s">
        <v>328</v>
      </c>
      <c r="C71" s="1"/>
      <c r="D71" s="91"/>
      <c r="E71" s="91"/>
      <c r="F71" s="91"/>
      <c r="G71" s="91"/>
      <c r="H71" s="91"/>
      <c r="I71" s="91"/>
      <c r="J71" s="91"/>
      <c r="K71" s="91">
        <v>2</v>
      </c>
      <c r="L71" s="91">
        <v>19.5</v>
      </c>
      <c r="M71" s="91">
        <v>2</v>
      </c>
      <c r="N71" s="91">
        <v>12</v>
      </c>
      <c r="O71" s="91">
        <v>12</v>
      </c>
      <c r="P71" s="91">
        <v>16.989999999999998</v>
      </c>
      <c r="Q71" s="91">
        <v>3</v>
      </c>
      <c r="R71" s="91">
        <v>3</v>
      </c>
      <c r="S71" s="91">
        <v>3</v>
      </c>
      <c r="T71" s="91">
        <v>18</v>
      </c>
      <c r="U71" s="91">
        <v>19.489999999999998</v>
      </c>
      <c r="V71" s="91">
        <v>118.64</v>
      </c>
      <c r="W71" s="91">
        <v>13.22</v>
      </c>
      <c r="X71" s="91">
        <v>6</v>
      </c>
      <c r="Y71" s="91">
        <v>26</v>
      </c>
      <c r="Z71" s="91">
        <v>39</v>
      </c>
      <c r="AA71" s="91">
        <v>15</v>
      </c>
      <c r="AB71" s="91">
        <v>17</v>
      </c>
      <c r="AC71" s="91">
        <v>15</v>
      </c>
      <c r="AD71" s="91"/>
      <c r="AE71" s="91">
        <v>15</v>
      </c>
      <c r="AF71" s="91">
        <v>64.790000000000006</v>
      </c>
      <c r="AG71" s="91"/>
      <c r="AH71" s="91">
        <v>354.78</v>
      </c>
      <c r="AI71" s="91">
        <v>910.82</v>
      </c>
      <c r="AJ71" s="163">
        <v>621.78</v>
      </c>
      <c r="AK71" s="540">
        <f>+AVERAGE(AH71:AJ71)</f>
        <v>629.12666666666667</v>
      </c>
      <c r="AL71" s="91">
        <f t="shared" ref="AL71:CO71" si="363">+AK71</f>
        <v>629.12666666666667</v>
      </c>
      <c r="AM71" s="163">
        <f t="shared" si="363"/>
        <v>629.12666666666667</v>
      </c>
      <c r="AN71" s="91">
        <f t="shared" si="363"/>
        <v>629.12666666666667</v>
      </c>
      <c r="AO71" s="91">
        <f t="shared" si="363"/>
        <v>629.12666666666667</v>
      </c>
      <c r="AP71" s="91">
        <f t="shared" si="363"/>
        <v>629.12666666666667</v>
      </c>
      <c r="AQ71" s="91">
        <f t="shared" si="363"/>
        <v>629.12666666666667</v>
      </c>
      <c r="AR71" s="91">
        <f t="shared" si="363"/>
        <v>629.12666666666667</v>
      </c>
      <c r="AS71" s="91">
        <f t="shared" si="363"/>
        <v>629.12666666666667</v>
      </c>
      <c r="AT71" s="91">
        <f t="shared" si="363"/>
        <v>629.12666666666667</v>
      </c>
      <c r="AU71" s="91">
        <f t="shared" si="363"/>
        <v>629.12666666666667</v>
      </c>
      <c r="AV71" s="91">
        <f t="shared" si="363"/>
        <v>629.12666666666667</v>
      </c>
      <c r="AW71" s="91">
        <f t="shared" si="363"/>
        <v>629.12666666666667</v>
      </c>
      <c r="AX71" s="91">
        <f t="shared" si="363"/>
        <v>629.12666666666667</v>
      </c>
      <c r="AY71" s="163">
        <f t="shared" si="363"/>
        <v>629.12666666666667</v>
      </c>
      <c r="AZ71" s="91">
        <f t="shared" si="363"/>
        <v>629.12666666666667</v>
      </c>
      <c r="BA71" s="91">
        <f t="shared" si="363"/>
        <v>629.12666666666667</v>
      </c>
      <c r="BB71" s="91">
        <f t="shared" si="363"/>
        <v>629.12666666666667</v>
      </c>
      <c r="BC71" s="91">
        <f t="shared" si="363"/>
        <v>629.12666666666667</v>
      </c>
      <c r="BD71" s="91">
        <f t="shared" si="363"/>
        <v>629.12666666666667</v>
      </c>
      <c r="BE71" s="91">
        <f t="shared" si="363"/>
        <v>629.12666666666667</v>
      </c>
      <c r="BF71" s="91">
        <f t="shared" si="363"/>
        <v>629.12666666666667</v>
      </c>
      <c r="BG71" s="91">
        <f t="shared" si="363"/>
        <v>629.12666666666667</v>
      </c>
      <c r="BH71" s="91">
        <f t="shared" si="363"/>
        <v>629.12666666666667</v>
      </c>
      <c r="BI71" s="91">
        <f t="shared" si="363"/>
        <v>629.12666666666667</v>
      </c>
      <c r="BJ71" s="91">
        <f t="shared" si="363"/>
        <v>629.12666666666667</v>
      </c>
      <c r="BK71" s="163">
        <f t="shared" si="363"/>
        <v>629.12666666666667</v>
      </c>
      <c r="BL71" s="91">
        <f t="shared" si="363"/>
        <v>629.12666666666667</v>
      </c>
      <c r="BM71" s="91">
        <f t="shared" si="363"/>
        <v>629.12666666666667</v>
      </c>
      <c r="BN71" s="91">
        <f t="shared" si="363"/>
        <v>629.12666666666667</v>
      </c>
      <c r="BO71" s="91">
        <f t="shared" si="363"/>
        <v>629.12666666666667</v>
      </c>
      <c r="BP71" s="91">
        <f t="shared" si="363"/>
        <v>629.12666666666667</v>
      </c>
      <c r="BQ71" s="91">
        <f t="shared" si="363"/>
        <v>629.12666666666667</v>
      </c>
      <c r="BR71" s="91">
        <f t="shared" si="363"/>
        <v>629.12666666666667</v>
      </c>
      <c r="BS71" s="91">
        <f t="shared" si="363"/>
        <v>629.12666666666667</v>
      </c>
      <c r="BT71" s="91">
        <f t="shared" si="363"/>
        <v>629.12666666666667</v>
      </c>
      <c r="BU71" s="91">
        <f t="shared" si="363"/>
        <v>629.12666666666667</v>
      </c>
      <c r="BV71" s="91">
        <f t="shared" si="363"/>
        <v>629.12666666666667</v>
      </c>
      <c r="BW71" s="163">
        <f t="shared" si="363"/>
        <v>629.12666666666667</v>
      </c>
      <c r="BX71" s="91">
        <f t="shared" si="363"/>
        <v>629.12666666666667</v>
      </c>
      <c r="BY71" s="91">
        <f t="shared" si="363"/>
        <v>629.12666666666667</v>
      </c>
      <c r="BZ71" s="91">
        <f t="shared" si="363"/>
        <v>629.12666666666667</v>
      </c>
      <c r="CA71" s="91">
        <f t="shared" si="363"/>
        <v>629.12666666666667</v>
      </c>
      <c r="CB71" s="91">
        <f t="shared" si="363"/>
        <v>629.12666666666667</v>
      </c>
      <c r="CC71" s="91">
        <f t="shared" si="363"/>
        <v>629.12666666666667</v>
      </c>
      <c r="CD71" s="91">
        <f t="shared" si="363"/>
        <v>629.12666666666667</v>
      </c>
      <c r="CE71" s="91">
        <f t="shared" si="363"/>
        <v>629.12666666666667</v>
      </c>
      <c r="CF71" s="91">
        <f t="shared" si="363"/>
        <v>629.12666666666667</v>
      </c>
      <c r="CG71" s="91">
        <f t="shared" si="363"/>
        <v>629.12666666666667</v>
      </c>
      <c r="CH71" s="91">
        <f t="shared" si="363"/>
        <v>629.12666666666667</v>
      </c>
      <c r="CI71" s="163">
        <f t="shared" si="363"/>
        <v>629.12666666666667</v>
      </c>
      <c r="CJ71" s="91">
        <f t="shared" si="363"/>
        <v>629.12666666666667</v>
      </c>
      <c r="CK71" s="91">
        <f t="shared" si="363"/>
        <v>629.12666666666667</v>
      </c>
      <c r="CL71" s="91">
        <f t="shared" si="363"/>
        <v>629.12666666666667</v>
      </c>
      <c r="CM71" s="91">
        <f t="shared" si="363"/>
        <v>629.12666666666667</v>
      </c>
      <c r="CN71" s="91">
        <f t="shared" si="363"/>
        <v>629.12666666666667</v>
      </c>
      <c r="CO71" s="91">
        <f t="shared" si="363"/>
        <v>629.12666666666667</v>
      </c>
      <c r="CP71" s="91">
        <f t="shared" ref="CP71:DG71" si="364">+CO71</f>
        <v>629.12666666666667</v>
      </c>
      <c r="CQ71" s="91">
        <f t="shared" si="364"/>
        <v>629.12666666666667</v>
      </c>
      <c r="CR71" s="91">
        <f t="shared" si="364"/>
        <v>629.12666666666667</v>
      </c>
      <c r="CS71" s="91">
        <f t="shared" si="364"/>
        <v>629.12666666666667</v>
      </c>
      <c r="CT71" s="91">
        <f t="shared" si="364"/>
        <v>629.12666666666667</v>
      </c>
      <c r="CU71" s="163">
        <f t="shared" si="364"/>
        <v>629.12666666666667</v>
      </c>
      <c r="CV71" s="91">
        <f t="shared" si="362"/>
        <v>629.12666666666667</v>
      </c>
      <c r="CW71" s="91">
        <f t="shared" si="364"/>
        <v>629.12666666666667</v>
      </c>
      <c r="CX71" s="91">
        <f t="shared" si="364"/>
        <v>629.12666666666667</v>
      </c>
      <c r="CY71" s="91">
        <f t="shared" si="364"/>
        <v>629.12666666666667</v>
      </c>
      <c r="CZ71" s="91">
        <f t="shared" si="364"/>
        <v>629.12666666666667</v>
      </c>
      <c r="DA71" s="91">
        <f t="shared" si="364"/>
        <v>629.12666666666667</v>
      </c>
      <c r="DB71" s="91">
        <f t="shared" si="364"/>
        <v>629.12666666666667</v>
      </c>
      <c r="DC71" s="91">
        <f t="shared" si="364"/>
        <v>629.12666666666667</v>
      </c>
      <c r="DD71" s="91">
        <f t="shared" si="364"/>
        <v>629.12666666666667</v>
      </c>
      <c r="DE71" s="91">
        <f t="shared" si="364"/>
        <v>629.12666666666667</v>
      </c>
      <c r="DF71" s="91">
        <f t="shared" si="364"/>
        <v>629.12666666666667</v>
      </c>
      <c r="DG71" s="91">
        <f t="shared" si="364"/>
        <v>629.12666666666667</v>
      </c>
    </row>
    <row r="72" spans="1:111" s="15" customFormat="1" x14ac:dyDescent="0.3">
      <c r="A72"/>
      <c r="B72" s="1" t="s">
        <v>329</v>
      </c>
      <c r="C72" s="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>
        <v>1000</v>
      </c>
      <c r="Q72" s="91"/>
      <c r="R72" s="91"/>
      <c r="S72" s="91">
        <v>300</v>
      </c>
      <c r="T72" s="91"/>
      <c r="U72" s="91"/>
      <c r="V72" s="91">
        <v>193.69</v>
      </c>
      <c r="W72" s="91">
        <v>191</v>
      </c>
      <c r="X72" s="91">
        <v>370</v>
      </c>
      <c r="Y72" s="91"/>
      <c r="Z72" s="91"/>
      <c r="AA72" s="91"/>
      <c r="AB72" s="91">
        <v>100</v>
      </c>
      <c r="AC72" s="91">
        <v>444.2</v>
      </c>
      <c r="AD72" s="91"/>
      <c r="AE72" s="91">
        <v>2900</v>
      </c>
      <c r="AF72" s="91"/>
      <c r="AG72" s="91"/>
      <c r="AH72" s="91">
        <v>512</v>
      </c>
      <c r="AI72" s="91">
        <v>40</v>
      </c>
      <c r="AJ72" s="163"/>
      <c r="AK72" s="540">
        <v>0</v>
      </c>
      <c r="AL72" s="91">
        <f t="shared" ref="AL72:CS72" si="365">+Z72</f>
        <v>0</v>
      </c>
      <c r="AM72" s="163">
        <f t="shared" si="365"/>
        <v>0</v>
      </c>
      <c r="AN72" s="91">
        <f t="shared" si="365"/>
        <v>100</v>
      </c>
      <c r="AO72" s="91">
        <f t="shared" si="365"/>
        <v>444.2</v>
      </c>
      <c r="AP72" s="91">
        <f t="shared" si="365"/>
        <v>0</v>
      </c>
      <c r="AQ72" s="91">
        <f t="shared" si="365"/>
        <v>2900</v>
      </c>
      <c r="AR72" s="91">
        <f t="shared" si="365"/>
        <v>0</v>
      </c>
      <c r="AS72" s="91">
        <f t="shared" si="365"/>
        <v>0</v>
      </c>
      <c r="AT72" s="91">
        <f t="shared" si="365"/>
        <v>512</v>
      </c>
      <c r="AU72" s="91">
        <f t="shared" si="365"/>
        <v>40</v>
      </c>
      <c r="AV72" s="91">
        <f t="shared" si="365"/>
        <v>0</v>
      </c>
      <c r="AW72" s="91">
        <f t="shared" si="365"/>
        <v>0</v>
      </c>
      <c r="AX72" s="91">
        <f t="shared" si="365"/>
        <v>0</v>
      </c>
      <c r="AY72" s="163">
        <f t="shared" si="365"/>
        <v>0</v>
      </c>
      <c r="AZ72" s="91">
        <f t="shared" si="365"/>
        <v>100</v>
      </c>
      <c r="BA72" s="91">
        <f t="shared" si="365"/>
        <v>444.2</v>
      </c>
      <c r="BB72" s="91">
        <f t="shared" si="365"/>
        <v>0</v>
      </c>
      <c r="BC72" s="91">
        <f t="shared" si="365"/>
        <v>2900</v>
      </c>
      <c r="BD72" s="91">
        <f t="shared" si="365"/>
        <v>0</v>
      </c>
      <c r="BE72" s="91">
        <f t="shared" si="365"/>
        <v>0</v>
      </c>
      <c r="BF72" s="91">
        <f t="shared" si="365"/>
        <v>512</v>
      </c>
      <c r="BG72" s="91">
        <f t="shared" si="365"/>
        <v>40</v>
      </c>
      <c r="BH72" s="91">
        <f t="shared" si="365"/>
        <v>0</v>
      </c>
      <c r="BI72" s="91">
        <f t="shared" si="365"/>
        <v>0</v>
      </c>
      <c r="BJ72" s="91">
        <f t="shared" si="365"/>
        <v>0</v>
      </c>
      <c r="BK72" s="163">
        <f t="shared" si="365"/>
        <v>0</v>
      </c>
      <c r="BL72" s="91">
        <f t="shared" si="365"/>
        <v>100</v>
      </c>
      <c r="BM72" s="91">
        <f t="shared" si="365"/>
        <v>444.2</v>
      </c>
      <c r="BN72" s="91">
        <f t="shared" si="365"/>
        <v>0</v>
      </c>
      <c r="BO72" s="91">
        <f t="shared" si="365"/>
        <v>2900</v>
      </c>
      <c r="BP72" s="91">
        <f t="shared" si="365"/>
        <v>0</v>
      </c>
      <c r="BQ72" s="91">
        <f t="shared" si="365"/>
        <v>0</v>
      </c>
      <c r="BR72" s="91">
        <f t="shared" si="365"/>
        <v>512</v>
      </c>
      <c r="BS72" s="91">
        <f t="shared" si="365"/>
        <v>40</v>
      </c>
      <c r="BT72" s="91">
        <f t="shared" si="365"/>
        <v>0</v>
      </c>
      <c r="BU72" s="91">
        <f t="shared" si="365"/>
        <v>0</v>
      </c>
      <c r="BV72" s="91">
        <f t="shared" si="365"/>
        <v>0</v>
      </c>
      <c r="BW72" s="163">
        <f t="shared" si="365"/>
        <v>0</v>
      </c>
      <c r="BX72" s="91">
        <f t="shared" si="365"/>
        <v>100</v>
      </c>
      <c r="BY72" s="91">
        <f t="shared" si="365"/>
        <v>444.2</v>
      </c>
      <c r="BZ72" s="91">
        <f t="shared" si="365"/>
        <v>0</v>
      </c>
      <c r="CA72" s="91">
        <f t="shared" si="365"/>
        <v>2900</v>
      </c>
      <c r="CB72" s="91">
        <f t="shared" si="365"/>
        <v>0</v>
      </c>
      <c r="CC72" s="91">
        <f t="shared" si="365"/>
        <v>0</v>
      </c>
      <c r="CD72" s="91">
        <f t="shared" si="365"/>
        <v>512</v>
      </c>
      <c r="CE72" s="91">
        <f t="shared" si="365"/>
        <v>40</v>
      </c>
      <c r="CF72" s="91">
        <f t="shared" si="365"/>
        <v>0</v>
      </c>
      <c r="CG72" s="91">
        <f t="shared" si="365"/>
        <v>0</v>
      </c>
      <c r="CH72" s="91">
        <f t="shared" si="365"/>
        <v>0</v>
      </c>
      <c r="CI72" s="163">
        <f t="shared" si="365"/>
        <v>0</v>
      </c>
      <c r="CJ72" s="91">
        <f t="shared" si="365"/>
        <v>100</v>
      </c>
      <c r="CK72" s="91">
        <f t="shared" si="365"/>
        <v>444.2</v>
      </c>
      <c r="CL72" s="91">
        <f t="shared" si="365"/>
        <v>0</v>
      </c>
      <c r="CM72" s="91">
        <f t="shared" si="365"/>
        <v>2900</v>
      </c>
      <c r="CN72" s="91">
        <f t="shared" si="365"/>
        <v>0</v>
      </c>
      <c r="CO72" s="91">
        <f t="shared" si="365"/>
        <v>0</v>
      </c>
      <c r="CP72" s="91">
        <f t="shared" si="365"/>
        <v>512</v>
      </c>
      <c r="CQ72" s="91">
        <f t="shared" si="365"/>
        <v>40</v>
      </c>
      <c r="CR72" s="91">
        <f t="shared" si="365"/>
        <v>0</v>
      </c>
      <c r="CS72" s="91">
        <f t="shared" si="365"/>
        <v>0</v>
      </c>
      <c r="CT72" s="91">
        <f t="shared" ref="CT72:DG72" si="366">+CH72</f>
        <v>0</v>
      </c>
      <c r="CU72" s="163">
        <f t="shared" si="366"/>
        <v>0</v>
      </c>
      <c r="CV72" s="91">
        <f t="shared" si="366"/>
        <v>100</v>
      </c>
      <c r="CW72" s="91">
        <f t="shared" si="366"/>
        <v>444.2</v>
      </c>
      <c r="CX72" s="91">
        <f t="shared" si="366"/>
        <v>0</v>
      </c>
      <c r="CY72" s="91">
        <f t="shared" si="366"/>
        <v>2900</v>
      </c>
      <c r="CZ72" s="91">
        <f t="shared" si="366"/>
        <v>0</v>
      </c>
      <c r="DA72" s="91">
        <f t="shared" si="366"/>
        <v>0</v>
      </c>
      <c r="DB72" s="91">
        <f t="shared" si="366"/>
        <v>512</v>
      </c>
      <c r="DC72" s="91">
        <f t="shared" si="366"/>
        <v>40</v>
      </c>
      <c r="DD72" s="91">
        <f t="shared" si="366"/>
        <v>0</v>
      </c>
      <c r="DE72" s="91">
        <f t="shared" si="366"/>
        <v>0</v>
      </c>
      <c r="DF72" s="91">
        <f t="shared" si="366"/>
        <v>0</v>
      </c>
      <c r="DG72" s="91">
        <f t="shared" si="366"/>
        <v>0</v>
      </c>
    </row>
    <row r="73" spans="1:111" s="15" customFormat="1" x14ac:dyDescent="0.3">
      <c r="A73"/>
      <c r="B73" s="1" t="s">
        <v>330</v>
      </c>
      <c r="C73" s="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>
        <v>47.66</v>
      </c>
      <c r="AB73" s="91">
        <v>16.89</v>
      </c>
      <c r="AC73" s="91"/>
      <c r="AD73" s="91"/>
      <c r="AE73" s="91"/>
      <c r="AF73" s="91"/>
      <c r="AG73" s="91"/>
      <c r="AH73" s="91"/>
      <c r="AI73" s="91"/>
      <c r="AJ73" s="163"/>
      <c r="AK73" s="540">
        <f t="shared" ref="AK73" si="367">+AJ73</f>
        <v>0</v>
      </c>
      <c r="AL73" s="91">
        <f t="shared" ref="AL73:CP73" si="368">++AK73</f>
        <v>0</v>
      </c>
      <c r="AM73" s="163">
        <f t="shared" si="368"/>
        <v>0</v>
      </c>
      <c r="AN73" s="91">
        <f t="shared" si="368"/>
        <v>0</v>
      </c>
      <c r="AO73" s="91">
        <f t="shared" si="368"/>
        <v>0</v>
      </c>
      <c r="AP73" s="91">
        <f t="shared" si="368"/>
        <v>0</v>
      </c>
      <c r="AQ73" s="91">
        <f t="shared" si="368"/>
        <v>0</v>
      </c>
      <c r="AR73" s="91">
        <f t="shared" si="368"/>
        <v>0</v>
      </c>
      <c r="AS73" s="91">
        <f t="shared" si="368"/>
        <v>0</v>
      </c>
      <c r="AT73" s="91">
        <f t="shared" si="368"/>
        <v>0</v>
      </c>
      <c r="AU73" s="91">
        <f t="shared" si="368"/>
        <v>0</v>
      </c>
      <c r="AV73" s="91">
        <f t="shared" si="368"/>
        <v>0</v>
      </c>
      <c r="AW73" s="91">
        <f t="shared" si="368"/>
        <v>0</v>
      </c>
      <c r="AX73" s="91">
        <f t="shared" si="368"/>
        <v>0</v>
      </c>
      <c r="AY73" s="163">
        <f t="shared" si="368"/>
        <v>0</v>
      </c>
      <c r="AZ73" s="91">
        <f t="shared" si="368"/>
        <v>0</v>
      </c>
      <c r="BA73" s="91">
        <f t="shared" si="368"/>
        <v>0</v>
      </c>
      <c r="BB73" s="91">
        <f t="shared" si="368"/>
        <v>0</v>
      </c>
      <c r="BC73" s="91">
        <f t="shared" si="368"/>
        <v>0</v>
      </c>
      <c r="BD73" s="91">
        <f t="shared" si="368"/>
        <v>0</v>
      </c>
      <c r="BE73" s="91">
        <f t="shared" si="368"/>
        <v>0</v>
      </c>
      <c r="BF73" s="91">
        <f t="shared" si="368"/>
        <v>0</v>
      </c>
      <c r="BG73" s="91">
        <f t="shared" si="368"/>
        <v>0</v>
      </c>
      <c r="BH73" s="91">
        <f t="shared" si="368"/>
        <v>0</v>
      </c>
      <c r="BI73" s="91">
        <f t="shared" si="368"/>
        <v>0</v>
      </c>
      <c r="BJ73" s="91">
        <f t="shared" si="368"/>
        <v>0</v>
      </c>
      <c r="BK73" s="163">
        <f t="shared" si="368"/>
        <v>0</v>
      </c>
      <c r="BL73" s="91">
        <f t="shared" si="368"/>
        <v>0</v>
      </c>
      <c r="BM73" s="91">
        <f t="shared" si="368"/>
        <v>0</v>
      </c>
      <c r="BN73" s="91">
        <f t="shared" si="368"/>
        <v>0</v>
      </c>
      <c r="BO73" s="91">
        <f t="shared" si="368"/>
        <v>0</v>
      </c>
      <c r="BP73" s="91">
        <f t="shared" si="368"/>
        <v>0</v>
      </c>
      <c r="BQ73" s="91">
        <f t="shared" si="368"/>
        <v>0</v>
      </c>
      <c r="BR73" s="91">
        <f t="shared" si="368"/>
        <v>0</v>
      </c>
      <c r="BS73" s="91">
        <f t="shared" si="368"/>
        <v>0</v>
      </c>
      <c r="BT73" s="91">
        <f t="shared" si="368"/>
        <v>0</v>
      </c>
      <c r="BU73" s="91">
        <f t="shared" si="368"/>
        <v>0</v>
      </c>
      <c r="BV73" s="91">
        <f t="shared" si="368"/>
        <v>0</v>
      </c>
      <c r="BW73" s="163">
        <f t="shared" si="368"/>
        <v>0</v>
      </c>
      <c r="BX73" s="91">
        <f t="shared" si="368"/>
        <v>0</v>
      </c>
      <c r="BY73" s="91">
        <f t="shared" si="368"/>
        <v>0</v>
      </c>
      <c r="BZ73" s="91">
        <f t="shared" si="368"/>
        <v>0</v>
      </c>
      <c r="CA73" s="91">
        <f t="shared" si="368"/>
        <v>0</v>
      </c>
      <c r="CB73" s="91">
        <f t="shared" si="368"/>
        <v>0</v>
      </c>
      <c r="CC73" s="91">
        <f t="shared" si="368"/>
        <v>0</v>
      </c>
      <c r="CD73" s="91">
        <f t="shared" si="368"/>
        <v>0</v>
      </c>
      <c r="CE73" s="91">
        <f t="shared" si="368"/>
        <v>0</v>
      </c>
      <c r="CF73" s="91">
        <f t="shared" si="368"/>
        <v>0</v>
      </c>
      <c r="CG73" s="91">
        <f t="shared" si="368"/>
        <v>0</v>
      </c>
      <c r="CH73" s="91">
        <f t="shared" si="368"/>
        <v>0</v>
      </c>
      <c r="CI73" s="163">
        <f t="shared" si="368"/>
        <v>0</v>
      </c>
      <c r="CJ73" s="91">
        <f t="shared" si="368"/>
        <v>0</v>
      </c>
      <c r="CK73" s="91">
        <f t="shared" si="368"/>
        <v>0</v>
      </c>
      <c r="CL73" s="91">
        <f t="shared" si="368"/>
        <v>0</v>
      </c>
      <c r="CM73" s="91">
        <f t="shared" si="368"/>
        <v>0</v>
      </c>
      <c r="CN73" s="91">
        <f t="shared" si="368"/>
        <v>0</v>
      </c>
      <c r="CO73" s="91">
        <f t="shared" si="368"/>
        <v>0</v>
      </c>
      <c r="CP73" s="91">
        <f t="shared" si="368"/>
        <v>0</v>
      </c>
      <c r="CQ73" s="91">
        <f t="shared" ref="CQ73:DG73" si="369">++CP73</f>
        <v>0</v>
      </c>
      <c r="CR73" s="91">
        <f t="shared" si="369"/>
        <v>0</v>
      </c>
      <c r="CS73" s="91">
        <f t="shared" si="369"/>
        <v>0</v>
      </c>
      <c r="CT73" s="91">
        <f t="shared" si="369"/>
        <v>0</v>
      </c>
      <c r="CU73" s="163">
        <f t="shared" si="369"/>
        <v>0</v>
      </c>
      <c r="CV73" s="91">
        <f t="shared" si="369"/>
        <v>0</v>
      </c>
      <c r="CW73" s="91">
        <f t="shared" si="369"/>
        <v>0</v>
      </c>
      <c r="CX73" s="91">
        <f t="shared" si="369"/>
        <v>0</v>
      </c>
      <c r="CY73" s="91">
        <f t="shared" si="369"/>
        <v>0</v>
      </c>
      <c r="CZ73" s="91">
        <f t="shared" si="369"/>
        <v>0</v>
      </c>
      <c r="DA73" s="91">
        <f t="shared" si="369"/>
        <v>0</v>
      </c>
      <c r="DB73" s="91">
        <f t="shared" si="369"/>
        <v>0</v>
      </c>
      <c r="DC73" s="91">
        <f t="shared" si="369"/>
        <v>0</v>
      </c>
      <c r="DD73" s="91">
        <f t="shared" si="369"/>
        <v>0</v>
      </c>
      <c r="DE73" s="91">
        <f t="shared" si="369"/>
        <v>0</v>
      </c>
      <c r="DF73" s="91">
        <f t="shared" si="369"/>
        <v>0</v>
      </c>
      <c r="DG73" s="91">
        <f t="shared" si="369"/>
        <v>0</v>
      </c>
    </row>
    <row r="74" spans="1:111" s="15" customFormat="1" x14ac:dyDescent="0.3">
      <c r="A74"/>
      <c r="B74" s="1" t="s">
        <v>331</v>
      </c>
      <c r="C74" s="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>
        <v>463</v>
      </c>
      <c r="AC74" s="91"/>
      <c r="AD74" s="91">
        <v>72</v>
      </c>
      <c r="AE74" s="91"/>
      <c r="AF74" s="91">
        <v>966.33</v>
      </c>
      <c r="AG74" s="91"/>
      <c r="AH74" s="91"/>
      <c r="AI74" s="91"/>
      <c r="AJ74" s="163"/>
      <c r="AK74" s="540">
        <f t="shared" ref="AK74" si="370">+AJ74</f>
        <v>0</v>
      </c>
      <c r="AL74" s="91">
        <f t="shared" ref="AL74:CP74" si="371">+AK74</f>
        <v>0</v>
      </c>
      <c r="AM74" s="163">
        <f t="shared" si="371"/>
        <v>0</v>
      </c>
      <c r="AN74" s="91">
        <f t="shared" si="371"/>
        <v>0</v>
      </c>
      <c r="AO74" s="91">
        <f t="shared" si="371"/>
        <v>0</v>
      </c>
      <c r="AP74" s="91">
        <f t="shared" si="371"/>
        <v>0</v>
      </c>
      <c r="AQ74" s="91">
        <f t="shared" si="371"/>
        <v>0</v>
      </c>
      <c r="AR74" s="91">
        <f t="shared" si="371"/>
        <v>0</v>
      </c>
      <c r="AS74" s="91">
        <f t="shared" si="371"/>
        <v>0</v>
      </c>
      <c r="AT74" s="91">
        <f t="shared" si="371"/>
        <v>0</v>
      </c>
      <c r="AU74" s="91">
        <f t="shared" si="371"/>
        <v>0</v>
      </c>
      <c r="AV74" s="91">
        <f t="shared" si="371"/>
        <v>0</v>
      </c>
      <c r="AW74" s="91">
        <f t="shared" si="371"/>
        <v>0</v>
      </c>
      <c r="AX74" s="91">
        <f t="shared" si="371"/>
        <v>0</v>
      </c>
      <c r="AY74" s="163">
        <f t="shared" si="371"/>
        <v>0</v>
      </c>
      <c r="AZ74" s="91">
        <f t="shared" si="371"/>
        <v>0</v>
      </c>
      <c r="BA74" s="91">
        <f t="shared" si="371"/>
        <v>0</v>
      </c>
      <c r="BB74" s="91">
        <f t="shared" si="371"/>
        <v>0</v>
      </c>
      <c r="BC74" s="91">
        <f t="shared" si="371"/>
        <v>0</v>
      </c>
      <c r="BD74" s="91">
        <f t="shared" si="371"/>
        <v>0</v>
      </c>
      <c r="BE74" s="91">
        <f t="shared" si="371"/>
        <v>0</v>
      </c>
      <c r="BF74" s="91">
        <f t="shared" si="371"/>
        <v>0</v>
      </c>
      <c r="BG74" s="91">
        <f t="shared" si="371"/>
        <v>0</v>
      </c>
      <c r="BH74" s="91">
        <f t="shared" si="371"/>
        <v>0</v>
      </c>
      <c r="BI74" s="91">
        <f t="shared" si="371"/>
        <v>0</v>
      </c>
      <c r="BJ74" s="91">
        <f t="shared" si="371"/>
        <v>0</v>
      </c>
      <c r="BK74" s="163">
        <f t="shared" si="371"/>
        <v>0</v>
      </c>
      <c r="BL74" s="91">
        <f t="shared" si="371"/>
        <v>0</v>
      </c>
      <c r="BM74" s="91">
        <f t="shared" si="371"/>
        <v>0</v>
      </c>
      <c r="BN74" s="91">
        <f t="shared" si="371"/>
        <v>0</v>
      </c>
      <c r="BO74" s="91">
        <f t="shared" si="371"/>
        <v>0</v>
      </c>
      <c r="BP74" s="91">
        <f t="shared" si="371"/>
        <v>0</v>
      </c>
      <c r="BQ74" s="91">
        <f t="shared" si="371"/>
        <v>0</v>
      </c>
      <c r="BR74" s="91">
        <f t="shared" si="371"/>
        <v>0</v>
      </c>
      <c r="BS74" s="91">
        <f t="shared" si="371"/>
        <v>0</v>
      </c>
      <c r="BT74" s="91">
        <f t="shared" si="371"/>
        <v>0</v>
      </c>
      <c r="BU74" s="91">
        <f t="shared" si="371"/>
        <v>0</v>
      </c>
      <c r="BV74" s="91">
        <f t="shared" si="371"/>
        <v>0</v>
      </c>
      <c r="BW74" s="163">
        <f t="shared" si="371"/>
        <v>0</v>
      </c>
      <c r="BX74" s="91">
        <f t="shared" si="371"/>
        <v>0</v>
      </c>
      <c r="BY74" s="91">
        <f t="shared" si="371"/>
        <v>0</v>
      </c>
      <c r="BZ74" s="91">
        <f t="shared" si="371"/>
        <v>0</v>
      </c>
      <c r="CA74" s="91">
        <f t="shared" si="371"/>
        <v>0</v>
      </c>
      <c r="CB74" s="91">
        <f t="shared" si="371"/>
        <v>0</v>
      </c>
      <c r="CC74" s="91">
        <f t="shared" si="371"/>
        <v>0</v>
      </c>
      <c r="CD74" s="91">
        <f t="shared" si="371"/>
        <v>0</v>
      </c>
      <c r="CE74" s="91">
        <f t="shared" si="371"/>
        <v>0</v>
      </c>
      <c r="CF74" s="91">
        <f t="shared" si="371"/>
        <v>0</v>
      </c>
      <c r="CG74" s="91">
        <f t="shared" si="371"/>
        <v>0</v>
      </c>
      <c r="CH74" s="91">
        <f t="shared" si="371"/>
        <v>0</v>
      </c>
      <c r="CI74" s="163">
        <f t="shared" si="371"/>
        <v>0</v>
      </c>
      <c r="CJ74" s="91">
        <f t="shared" si="371"/>
        <v>0</v>
      </c>
      <c r="CK74" s="91">
        <f t="shared" si="371"/>
        <v>0</v>
      </c>
      <c r="CL74" s="91">
        <f t="shared" si="371"/>
        <v>0</v>
      </c>
      <c r="CM74" s="91">
        <f t="shared" si="371"/>
        <v>0</v>
      </c>
      <c r="CN74" s="91">
        <f t="shared" si="371"/>
        <v>0</v>
      </c>
      <c r="CO74" s="91">
        <f t="shared" si="371"/>
        <v>0</v>
      </c>
      <c r="CP74" s="91">
        <f t="shared" si="371"/>
        <v>0</v>
      </c>
      <c r="CQ74" s="91">
        <f t="shared" ref="CQ74:DG74" si="372">+CP74</f>
        <v>0</v>
      </c>
      <c r="CR74" s="91">
        <f t="shared" si="372"/>
        <v>0</v>
      </c>
      <c r="CS74" s="91">
        <f t="shared" si="372"/>
        <v>0</v>
      </c>
      <c r="CT74" s="91">
        <f t="shared" si="372"/>
        <v>0</v>
      </c>
      <c r="CU74" s="163">
        <f t="shared" si="372"/>
        <v>0</v>
      </c>
      <c r="CV74" s="91">
        <f t="shared" si="372"/>
        <v>0</v>
      </c>
      <c r="CW74" s="91">
        <f t="shared" si="372"/>
        <v>0</v>
      </c>
      <c r="CX74" s="91">
        <f t="shared" si="372"/>
        <v>0</v>
      </c>
      <c r="CY74" s="91">
        <f t="shared" si="372"/>
        <v>0</v>
      </c>
      <c r="CZ74" s="91">
        <f t="shared" si="372"/>
        <v>0</v>
      </c>
      <c r="DA74" s="91">
        <f t="shared" si="372"/>
        <v>0</v>
      </c>
      <c r="DB74" s="91">
        <f t="shared" si="372"/>
        <v>0</v>
      </c>
      <c r="DC74" s="91">
        <f t="shared" si="372"/>
        <v>0</v>
      </c>
      <c r="DD74" s="91">
        <f t="shared" si="372"/>
        <v>0</v>
      </c>
      <c r="DE74" s="91">
        <f t="shared" si="372"/>
        <v>0</v>
      </c>
      <c r="DF74" s="91">
        <f t="shared" si="372"/>
        <v>0</v>
      </c>
      <c r="DG74" s="91">
        <f t="shared" si="372"/>
        <v>0</v>
      </c>
    </row>
    <row r="75" spans="1:111" x14ac:dyDescent="0.3">
      <c r="A75" s="3"/>
      <c r="B75" s="4" t="s">
        <v>264</v>
      </c>
      <c r="C75" s="4"/>
      <c r="D75" s="37"/>
      <c r="E75" s="37">
        <f t="shared" ref="E75:O75" si="373">+SUM(E55,E59,E66,E67:E74)</f>
        <v>12</v>
      </c>
      <c r="F75" s="37">
        <f t="shared" si="373"/>
        <v>11.83</v>
      </c>
      <c r="G75" s="37">
        <f t="shared" si="373"/>
        <v>12</v>
      </c>
      <c r="H75" s="37">
        <f t="shared" si="373"/>
        <v>132</v>
      </c>
      <c r="I75" s="37">
        <f t="shared" si="373"/>
        <v>817.36</v>
      </c>
      <c r="J75" s="37">
        <f t="shared" si="373"/>
        <v>12</v>
      </c>
      <c r="K75" s="37">
        <f t="shared" si="373"/>
        <v>213</v>
      </c>
      <c r="L75" s="37">
        <f t="shared" si="373"/>
        <v>1230.5</v>
      </c>
      <c r="M75" s="37">
        <f t="shared" si="373"/>
        <v>263.3</v>
      </c>
      <c r="N75" s="37">
        <f t="shared" si="373"/>
        <v>223</v>
      </c>
      <c r="O75" s="37">
        <f t="shared" si="373"/>
        <v>2910.3900000000003</v>
      </c>
      <c r="P75" s="37">
        <f>+SUM(P55,P59,P66,P67:P74)</f>
        <v>1659.16</v>
      </c>
      <c r="Q75" s="37">
        <f t="shared" ref="Q75:AM75" si="374">+SUM(Q55,Q59,Q66,Q67:Q74)</f>
        <v>467.18</v>
      </c>
      <c r="R75" s="37">
        <f t="shared" si="374"/>
        <v>1525.78</v>
      </c>
      <c r="S75" s="37">
        <f t="shared" si="374"/>
        <v>598.99</v>
      </c>
      <c r="T75" s="37">
        <f t="shared" si="374"/>
        <v>2060.8900000000003</v>
      </c>
      <c r="U75" s="37">
        <f t="shared" si="374"/>
        <v>452.88</v>
      </c>
      <c r="V75" s="37">
        <f t="shared" si="374"/>
        <v>1445.7200000000003</v>
      </c>
      <c r="W75" s="37">
        <f t="shared" si="374"/>
        <v>900.86</v>
      </c>
      <c r="X75" s="37">
        <f t="shared" si="374"/>
        <v>2090.58</v>
      </c>
      <c r="Y75" s="37">
        <f t="shared" si="374"/>
        <v>630.27</v>
      </c>
      <c r="Z75" s="37">
        <f t="shared" si="374"/>
        <v>2877.72</v>
      </c>
      <c r="AA75" s="37">
        <f t="shared" si="374"/>
        <v>2283.2299999999996</v>
      </c>
      <c r="AB75" s="37">
        <f t="shared" si="374"/>
        <v>1735.88</v>
      </c>
      <c r="AC75" s="37">
        <f t="shared" si="374"/>
        <v>4033.27</v>
      </c>
      <c r="AD75" s="37">
        <f t="shared" si="374"/>
        <v>1614.19</v>
      </c>
      <c r="AE75" s="37">
        <f t="shared" si="374"/>
        <v>4507.3599999999997</v>
      </c>
      <c r="AF75" s="37">
        <f t="shared" ref="AF75:AG75" si="375">+SUM(AF55,AF59,AF66,AF67:AF74)</f>
        <v>5191.57</v>
      </c>
      <c r="AG75" s="37">
        <f t="shared" si="375"/>
        <v>5215.9499999999989</v>
      </c>
      <c r="AH75" s="37">
        <f t="shared" ref="AH75:AI75" si="376">+SUM(AH55,AH59,AH66,AH67:AH74)</f>
        <v>3100.88</v>
      </c>
      <c r="AI75" s="37">
        <f t="shared" si="376"/>
        <v>2942.8500000000004</v>
      </c>
      <c r="AJ75" s="164">
        <f t="shared" ref="AJ75" si="377">+SUM(AJ55,AJ59,AJ66,AJ67:AJ74)</f>
        <v>2183.8900000000003</v>
      </c>
      <c r="AK75" s="37">
        <f t="shared" ref="AK75" si="378">+SUM(AK55,AK59,AK66,AK67:AK74)</f>
        <v>3538.86</v>
      </c>
      <c r="AL75" s="37">
        <f t="shared" si="374"/>
        <v>3538.86</v>
      </c>
      <c r="AM75" s="164">
        <f t="shared" si="374"/>
        <v>3538.86</v>
      </c>
      <c r="AN75" s="37">
        <f>+SUM(AN47,AN55,AN59,AN66,AN67:AN74)</f>
        <v>31926.36</v>
      </c>
      <c r="AO75" s="37">
        <f t="shared" ref="AO75:CZ75" si="379">+SUM(AO47,AO55,AO59,AO66,AO67:AO74)</f>
        <v>32270.560000000001</v>
      </c>
      <c r="AP75" s="37">
        <f t="shared" si="379"/>
        <v>31826.36</v>
      </c>
      <c r="AQ75" s="37">
        <f t="shared" si="379"/>
        <v>34726.36</v>
      </c>
      <c r="AR75" s="37">
        <f t="shared" si="379"/>
        <v>31826.36</v>
      </c>
      <c r="AS75" s="37">
        <f t="shared" si="379"/>
        <v>31826.36</v>
      </c>
      <c r="AT75" s="37">
        <f t="shared" si="379"/>
        <v>32338.36</v>
      </c>
      <c r="AU75" s="37">
        <f t="shared" si="379"/>
        <v>31866.36</v>
      </c>
      <c r="AV75" s="37">
        <f t="shared" si="379"/>
        <v>31826.36</v>
      </c>
      <c r="AW75" s="37">
        <f t="shared" si="379"/>
        <v>31826.36</v>
      </c>
      <c r="AX75" s="37">
        <f t="shared" si="379"/>
        <v>31826.36</v>
      </c>
      <c r="AY75" s="164">
        <f t="shared" si="379"/>
        <v>31826.36</v>
      </c>
      <c r="AZ75" s="37">
        <f t="shared" si="379"/>
        <v>35421.888333333329</v>
      </c>
      <c r="BA75" s="37">
        <f t="shared" si="379"/>
        <v>35766.088333333326</v>
      </c>
      <c r="BB75" s="37">
        <f t="shared" si="379"/>
        <v>35321.888333333329</v>
      </c>
      <c r="BC75" s="37">
        <f t="shared" si="379"/>
        <v>38221.888333333329</v>
      </c>
      <c r="BD75" s="37">
        <f t="shared" si="379"/>
        <v>35321.888333333329</v>
      </c>
      <c r="BE75" s="37">
        <f t="shared" si="379"/>
        <v>35321.888333333329</v>
      </c>
      <c r="BF75" s="37">
        <f t="shared" si="379"/>
        <v>35833.888333333329</v>
      </c>
      <c r="BG75" s="37">
        <f t="shared" si="379"/>
        <v>35361.888333333329</v>
      </c>
      <c r="BH75" s="37">
        <f t="shared" si="379"/>
        <v>35321.888333333329</v>
      </c>
      <c r="BI75" s="37">
        <f t="shared" si="379"/>
        <v>35321.888333333329</v>
      </c>
      <c r="BJ75" s="37">
        <f t="shared" si="379"/>
        <v>35321.888333333329</v>
      </c>
      <c r="BK75" s="164">
        <f t="shared" si="379"/>
        <v>35321.888333333329</v>
      </c>
      <c r="BL75" s="37">
        <f t="shared" si="379"/>
        <v>41006.16375</v>
      </c>
      <c r="BM75" s="37">
        <f t="shared" si="379"/>
        <v>41350.363749999997</v>
      </c>
      <c r="BN75" s="37">
        <f t="shared" si="379"/>
        <v>40906.16375</v>
      </c>
      <c r="BO75" s="37">
        <f t="shared" si="379"/>
        <v>43806.16375</v>
      </c>
      <c r="BP75" s="37">
        <f t="shared" si="379"/>
        <v>40906.16375</v>
      </c>
      <c r="BQ75" s="37">
        <f t="shared" si="379"/>
        <v>40906.16375</v>
      </c>
      <c r="BR75" s="37">
        <f t="shared" si="379"/>
        <v>41418.16375</v>
      </c>
      <c r="BS75" s="37">
        <f t="shared" si="379"/>
        <v>40946.16375</v>
      </c>
      <c r="BT75" s="37">
        <f t="shared" si="379"/>
        <v>40906.16375</v>
      </c>
      <c r="BU75" s="37">
        <f t="shared" si="379"/>
        <v>40906.16375</v>
      </c>
      <c r="BV75" s="37">
        <f t="shared" si="379"/>
        <v>40906.16375</v>
      </c>
      <c r="BW75" s="164">
        <f t="shared" si="379"/>
        <v>40906.16375</v>
      </c>
      <c r="BX75" s="37">
        <f t="shared" si="379"/>
        <v>50663.844270833339</v>
      </c>
      <c r="BY75" s="37">
        <f t="shared" si="379"/>
        <v>51008.044270833336</v>
      </c>
      <c r="BZ75" s="37">
        <f t="shared" si="379"/>
        <v>50563.844270833339</v>
      </c>
      <c r="CA75" s="37">
        <f t="shared" si="379"/>
        <v>53463.844270833339</v>
      </c>
      <c r="CB75" s="37">
        <f t="shared" si="379"/>
        <v>50563.844270833339</v>
      </c>
      <c r="CC75" s="37">
        <f t="shared" si="379"/>
        <v>50563.844270833339</v>
      </c>
      <c r="CD75" s="37">
        <f t="shared" si="379"/>
        <v>51075.844270833339</v>
      </c>
      <c r="CE75" s="37">
        <f t="shared" si="379"/>
        <v>50603.844270833339</v>
      </c>
      <c r="CF75" s="37">
        <f t="shared" si="379"/>
        <v>50563.844270833339</v>
      </c>
      <c r="CG75" s="37">
        <f t="shared" si="379"/>
        <v>50563.844270833339</v>
      </c>
      <c r="CH75" s="37">
        <f t="shared" si="379"/>
        <v>50563.844270833339</v>
      </c>
      <c r="CI75" s="164">
        <f t="shared" si="379"/>
        <v>50563.844270833339</v>
      </c>
      <c r="CJ75" s="37">
        <f t="shared" si="379"/>
        <v>58780.619817708328</v>
      </c>
      <c r="CK75" s="37">
        <f t="shared" si="379"/>
        <v>59124.819817708325</v>
      </c>
      <c r="CL75" s="37">
        <f t="shared" si="379"/>
        <v>58680.619817708328</v>
      </c>
      <c r="CM75" s="37">
        <f t="shared" si="379"/>
        <v>61580.619817708328</v>
      </c>
      <c r="CN75" s="37">
        <f t="shared" si="379"/>
        <v>58680.619817708328</v>
      </c>
      <c r="CO75" s="37">
        <f t="shared" si="379"/>
        <v>58680.619817708328</v>
      </c>
      <c r="CP75" s="37">
        <f t="shared" si="379"/>
        <v>59192.619817708328</v>
      </c>
      <c r="CQ75" s="37">
        <f t="shared" si="379"/>
        <v>58720.619817708328</v>
      </c>
      <c r="CR75" s="37">
        <f t="shared" si="379"/>
        <v>58680.619817708328</v>
      </c>
      <c r="CS75" s="37">
        <f t="shared" si="379"/>
        <v>58680.619817708328</v>
      </c>
      <c r="CT75" s="37">
        <f t="shared" si="379"/>
        <v>58680.619817708328</v>
      </c>
      <c r="CU75" s="164">
        <f t="shared" si="379"/>
        <v>58680.619817708328</v>
      </c>
      <c r="CV75" s="37">
        <f t="shared" si="379"/>
        <v>73219.342641927084</v>
      </c>
      <c r="CW75" s="37">
        <f t="shared" si="379"/>
        <v>73563.542641927081</v>
      </c>
      <c r="CX75" s="37">
        <f t="shared" si="379"/>
        <v>73119.342641927084</v>
      </c>
      <c r="CY75" s="37">
        <f t="shared" si="379"/>
        <v>76019.342641927084</v>
      </c>
      <c r="CZ75" s="37">
        <f t="shared" si="379"/>
        <v>73119.342641927084</v>
      </c>
      <c r="DA75" s="37">
        <f t="shared" ref="DA75:DG75" si="380">+SUM(DA47,DA55,DA59,DA66,DA67:DA74)</f>
        <v>73119.342641927084</v>
      </c>
      <c r="DB75" s="37">
        <f t="shared" si="380"/>
        <v>73631.342641927084</v>
      </c>
      <c r="DC75" s="37">
        <f t="shared" si="380"/>
        <v>73159.342641927084</v>
      </c>
      <c r="DD75" s="37">
        <f t="shared" si="380"/>
        <v>73119.342641927084</v>
      </c>
      <c r="DE75" s="37">
        <f t="shared" si="380"/>
        <v>73119.342641927084</v>
      </c>
      <c r="DF75" s="37">
        <f t="shared" si="380"/>
        <v>73119.342641927084</v>
      </c>
      <c r="DG75" s="37">
        <f t="shared" si="380"/>
        <v>73119.342641927084</v>
      </c>
    </row>
    <row r="76" spans="1:111" x14ac:dyDescent="0.3">
      <c r="B76" s="1" t="s">
        <v>6</v>
      </c>
      <c r="C76" s="1"/>
      <c r="D76" s="37"/>
      <c r="E76" s="37">
        <f t="shared" ref="E76:O76" si="381">E75+E41</f>
        <v>12</v>
      </c>
      <c r="F76" s="37">
        <f t="shared" si="381"/>
        <v>11.83</v>
      </c>
      <c r="G76" s="37">
        <f t="shared" si="381"/>
        <v>12</v>
      </c>
      <c r="H76" s="37">
        <f t="shared" si="381"/>
        <v>132</v>
      </c>
      <c r="I76" s="37">
        <f>I75+I41</f>
        <v>817.36</v>
      </c>
      <c r="J76" s="37">
        <f t="shared" si="381"/>
        <v>12</v>
      </c>
      <c r="K76" s="37">
        <f t="shared" si="381"/>
        <v>213</v>
      </c>
      <c r="L76" s="37">
        <f t="shared" si="381"/>
        <v>1880.5</v>
      </c>
      <c r="M76" s="37">
        <f t="shared" si="381"/>
        <v>263.3</v>
      </c>
      <c r="N76" s="37">
        <f t="shared" si="381"/>
        <v>223</v>
      </c>
      <c r="O76" s="37">
        <f t="shared" si="381"/>
        <v>2910.3900000000003</v>
      </c>
      <c r="P76" s="37">
        <f>P75+P41</f>
        <v>1759.16</v>
      </c>
      <c r="Q76" s="37">
        <f t="shared" ref="Q76:CB76" si="382">Q75+Q41</f>
        <v>467.18</v>
      </c>
      <c r="R76" s="37">
        <f t="shared" si="382"/>
        <v>1525.78</v>
      </c>
      <c r="S76" s="37">
        <f t="shared" si="382"/>
        <v>598.99</v>
      </c>
      <c r="T76" s="37">
        <f t="shared" si="382"/>
        <v>2060.8900000000003</v>
      </c>
      <c r="U76" s="37">
        <f t="shared" si="382"/>
        <v>452.88</v>
      </c>
      <c r="V76" s="37">
        <f t="shared" si="382"/>
        <v>1445.7200000000003</v>
      </c>
      <c r="W76" s="37">
        <f t="shared" si="382"/>
        <v>1487.22</v>
      </c>
      <c r="X76" s="37">
        <f t="shared" si="382"/>
        <v>2209.94</v>
      </c>
      <c r="Y76" s="37">
        <f t="shared" si="382"/>
        <v>630.27</v>
      </c>
      <c r="Z76" s="37">
        <f t="shared" si="382"/>
        <v>2877.72</v>
      </c>
      <c r="AA76" s="37">
        <f t="shared" si="382"/>
        <v>2283.2299999999996</v>
      </c>
      <c r="AB76" s="37">
        <f t="shared" si="382"/>
        <v>1735.88</v>
      </c>
      <c r="AC76" s="37">
        <f t="shared" si="382"/>
        <v>6522.54</v>
      </c>
      <c r="AD76" s="37">
        <f t="shared" si="382"/>
        <v>1614.19</v>
      </c>
      <c r="AE76" s="37">
        <f t="shared" si="382"/>
        <v>4507.3599999999997</v>
      </c>
      <c r="AF76" s="37">
        <f t="shared" ref="AF76:AG76" si="383">AF75+AF41</f>
        <v>5299.95</v>
      </c>
      <c r="AG76" s="37">
        <f t="shared" si="383"/>
        <v>5815.9499999999989</v>
      </c>
      <c r="AH76" s="37">
        <f t="shared" ref="AH76:AI76" si="384">AH75+AH41</f>
        <v>3100.88</v>
      </c>
      <c r="AI76" s="37">
        <f t="shared" si="384"/>
        <v>4741.8500000000004</v>
      </c>
      <c r="AJ76" s="164">
        <f t="shared" ref="AJ76" si="385">AJ75+AJ41</f>
        <v>2218.8900000000003</v>
      </c>
      <c r="AK76" s="37">
        <f t="shared" ref="AK76" si="386">AK75+AK41</f>
        <v>4138.8600000000006</v>
      </c>
      <c r="AL76" s="37">
        <f t="shared" si="382"/>
        <v>4138.8600000000006</v>
      </c>
      <c r="AM76" s="164">
        <f t="shared" si="382"/>
        <v>4138.8600000000006</v>
      </c>
      <c r="AN76" s="37">
        <f t="shared" si="382"/>
        <v>32531.360000000001</v>
      </c>
      <c r="AO76" s="37">
        <f t="shared" si="382"/>
        <v>32875.56</v>
      </c>
      <c r="AP76" s="37">
        <f t="shared" si="382"/>
        <v>32431.360000000001</v>
      </c>
      <c r="AQ76" s="37">
        <f t="shared" si="382"/>
        <v>35331.360000000001</v>
      </c>
      <c r="AR76" s="37">
        <f t="shared" si="382"/>
        <v>32431.360000000001</v>
      </c>
      <c r="AS76" s="37">
        <f t="shared" si="382"/>
        <v>32431.360000000001</v>
      </c>
      <c r="AT76" s="37">
        <f t="shared" si="382"/>
        <v>32943.360000000001</v>
      </c>
      <c r="AU76" s="37">
        <f t="shared" si="382"/>
        <v>32471.360000000001</v>
      </c>
      <c r="AV76" s="37">
        <f t="shared" si="382"/>
        <v>32431.360000000001</v>
      </c>
      <c r="AW76" s="37">
        <f t="shared" si="382"/>
        <v>32431.360000000001</v>
      </c>
      <c r="AX76" s="37">
        <f t="shared" si="382"/>
        <v>32431.360000000001</v>
      </c>
      <c r="AY76" s="164">
        <f t="shared" si="382"/>
        <v>32431.360000000001</v>
      </c>
      <c r="AZ76" s="37">
        <f t="shared" si="382"/>
        <v>36131.938333333332</v>
      </c>
      <c r="BA76" s="37">
        <f t="shared" si="382"/>
        <v>36476.138333333329</v>
      </c>
      <c r="BB76" s="37">
        <f t="shared" si="382"/>
        <v>36031.938333333332</v>
      </c>
      <c r="BC76" s="37">
        <f t="shared" si="382"/>
        <v>38931.938333333332</v>
      </c>
      <c r="BD76" s="37">
        <f t="shared" si="382"/>
        <v>36031.938333333332</v>
      </c>
      <c r="BE76" s="37">
        <f t="shared" si="382"/>
        <v>36031.938333333332</v>
      </c>
      <c r="BF76" s="37">
        <f t="shared" si="382"/>
        <v>36543.938333333332</v>
      </c>
      <c r="BG76" s="37">
        <f t="shared" si="382"/>
        <v>36071.938333333332</v>
      </c>
      <c r="BH76" s="37">
        <f t="shared" si="382"/>
        <v>36031.938333333332</v>
      </c>
      <c r="BI76" s="37">
        <f t="shared" si="382"/>
        <v>36031.938333333332</v>
      </c>
      <c r="BJ76" s="37">
        <f t="shared" si="382"/>
        <v>36031.938333333332</v>
      </c>
      <c r="BK76" s="164">
        <f t="shared" si="382"/>
        <v>36031.938333333332</v>
      </c>
      <c r="BL76" s="37">
        <f t="shared" si="382"/>
        <v>41921.314250000003</v>
      </c>
      <c r="BM76" s="37">
        <f t="shared" si="382"/>
        <v>42265.51425</v>
      </c>
      <c r="BN76" s="37">
        <f t="shared" si="382"/>
        <v>41821.314250000003</v>
      </c>
      <c r="BO76" s="37">
        <f t="shared" si="382"/>
        <v>44721.314250000003</v>
      </c>
      <c r="BP76" s="37">
        <f t="shared" si="382"/>
        <v>41821.314250000003</v>
      </c>
      <c r="BQ76" s="37">
        <f t="shared" si="382"/>
        <v>41821.314250000003</v>
      </c>
      <c r="BR76" s="37">
        <f t="shared" si="382"/>
        <v>42333.314250000003</v>
      </c>
      <c r="BS76" s="37">
        <f t="shared" si="382"/>
        <v>41861.314250000003</v>
      </c>
      <c r="BT76" s="37">
        <f t="shared" si="382"/>
        <v>41821.314250000003</v>
      </c>
      <c r="BU76" s="37">
        <f t="shared" si="382"/>
        <v>41821.314250000003</v>
      </c>
      <c r="BV76" s="37">
        <f t="shared" si="382"/>
        <v>41821.314250000003</v>
      </c>
      <c r="BW76" s="164">
        <f t="shared" si="382"/>
        <v>41821.314250000003</v>
      </c>
      <c r="BX76" s="37">
        <f t="shared" si="382"/>
        <v>51984.146275833336</v>
      </c>
      <c r="BY76" s="37">
        <f t="shared" si="382"/>
        <v>52328.346275833333</v>
      </c>
      <c r="BZ76" s="37">
        <f t="shared" si="382"/>
        <v>51884.146275833336</v>
      </c>
      <c r="CA76" s="37">
        <f t="shared" si="382"/>
        <v>54784.146275833336</v>
      </c>
      <c r="CB76" s="37">
        <f t="shared" si="382"/>
        <v>51884.146275833336</v>
      </c>
      <c r="CC76" s="37">
        <f t="shared" ref="CC76:DG76" si="387">CC75+CC41</f>
        <v>51884.146275833336</v>
      </c>
      <c r="CD76" s="37">
        <f t="shared" si="387"/>
        <v>52396.146275833336</v>
      </c>
      <c r="CE76" s="37">
        <f t="shared" si="387"/>
        <v>51924.146275833336</v>
      </c>
      <c r="CF76" s="37">
        <f t="shared" si="387"/>
        <v>51884.146275833336</v>
      </c>
      <c r="CG76" s="37">
        <f t="shared" si="387"/>
        <v>51884.146275833336</v>
      </c>
      <c r="CH76" s="37">
        <f t="shared" si="387"/>
        <v>51884.146275833336</v>
      </c>
      <c r="CI76" s="164">
        <f t="shared" si="387"/>
        <v>51884.146275833336</v>
      </c>
      <c r="CJ76" s="37">
        <f t="shared" si="387"/>
        <v>60906.124842758327</v>
      </c>
      <c r="CK76" s="37">
        <f t="shared" si="387"/>
        <v>61250.324842758324</v>
      </c>
      <c r="CL76" s="37">
        <f t="shared" si="387"/>
        <v>60806.124842758327</v>
      </c>
      <c r="CM76" s="37">
        <f t="shared" si="387"/>
        <v>63706.124842758327</v>
      </c>
      <c r="CN76" s="37">
        <f t="shared" si="387"/>
        <v>60806.124842758327</v>
      </c>
      <c r="CO76" s="37">
        <f t="shared" si="387"/>
        <v>60806.124842758327</v>
      </c>
      <c r="CP76" s="37">
        <f t="shared" si="387"/>
        <v>61318.124842758327</v>
      </c>
      <c r="CQ76" s="37">
        <f t="shared" si="387"/>
        <v>60846.124842758327</v>
      </c>
      <c r="CR76" s="37">
        <f t="shared" si="387"/>
        <v>60806.124842758327</v>
      </c>
      <c r="CS76" s="37">
        <f t="shared" si="387"/>
        <v>60806.124842758327</v>
      </c>
      <c r="CT76" s="37">
        <f t="shared" si="387"/>
        <v>60806.124842758327</v>
      </c>
      <c r="CU76" s="164">
        <f t="shared" si="387"/>
        <v>60806.124842758327</v>
      </c>
      <c r="CV76" s="37">
        <f t="shared" si="387"/>
        <v>76950.102717227579</v>
      </c>
      <c r="CW76" s="37">
        <f t="shared" si="387"/>
        <v>77294.302717227576</v>
      </c>
      <c r="CX76" s="37">
        <f t="shared" si="387"/>
        <v>76850.102717227579</v>
      </c>
      <c r="CY76" s="37">
        <f t="shared" si="387"/>
        <v>79750.102717227579</v>
      </c>
      <c r="CZ76" s="37">
        <f t="shared" si="387"/>
        <v>76850.102717227579</v>
      </c>
      <c r="DA76" s="37">
        <f t="shared" si="387"/>
        <v>76850.102717227579</v>
      </c>
      <c r="DB76" s="37">
        <f t="shared" si="387"/>
        <v>77362.102717227579</v>
      </c>
      <c r="DC76" s="37">
        <f t="shared" si="387"/>
        <v>76890.102717227579</v>
      </c>
      <c r="DD76" s="37">
        <f t="shared" si="387"/>
        <v>76850.102717227579</v>
      </c>
      <c r="DE76" s="37">
        <f t="shared" si="387"/>
        <v>76850.102717227579</v>
      </c>
      <c r="DF76" s="37">
        <f t="shared" si="387"/>
        <v>76850.102717227579</v>
      </c>
      <c r="DG76" s="37">
        <f t="shared" si="387"/>
        <v>76850.102717227579</v>
      </c>
    </row>
    <row r="77" spans="1:111" hidden="1" x14ac:dyDescent="0.3">
      <c r="B77" s="1" t="s">
        <v>184</v>
      </c>
      <c r="C77" s="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163"/>
      <c r="AK77" s="91"/>
      <c r="AL77" s="91"/>
      <c r="AM77" s="163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163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163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163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163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163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</row>
    <row r="78" spans="1:111" hidden="1" x14ac:dyDescent="0.3">
      <c r="A78" s="5"/>
      <c r="B78" s="6" t="s">
        <v>6</v>
      </c>
      <c r="C78" s="6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164"/>
      <c r="AK78" s="37"/>
      <c r="AL78" s="37"/>
      <c r="AM78" s="164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164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164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164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164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164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</row>
    <row r="79" spans="1:111" x14ac:dyDescent="0.3">
      <c r="A79" s="3"/>
      <c r="B79" s="4" t="s">
        <v>7</v>
      </c>
      <c r="C79" s="4"/>
      <c r="D79" s="37"/>
      <c r="E79" s="37">
        <f t="shared" ref="E79:AE79" si="388">+E33-E76</f>
        <v>-12</v>
      </c>
      <c r="F79" s="37">
        <f t="shared" si="388"/>
        <v>-11.83</v>
      </c>
      <c r="G79" s="37">
        <f t="shared" si="388"/>
        <v>-12</v>
      </c>
      <c r="H79" s="37">
        <f t="shared" si="388"/>
        <v>-132</v>
      </c>
      <c r="I79" s="37">
        <f t="shared" si="388"/>
        <v>-817.36</v>
      </c>
      <c r="J79" s="37">
        <f t="shared" si="388"/>
        <v>-12</v>
      </c>
      <c r="K79" s="37">
        <f t="shared" si="388"/>
        <v>-213</v>
      </c>
      <c r="L79" s="37">
        <f t="shared" si="388"/>
        <v>-1880.5</v>
      </c>
      <c r="M79" s="37">
        <f t="shared" si="388"/>
        <v>-263.3</v>
      </c>
      <c r="N79" s="37">
        <f t="shared" si="388"/>
        <v>-223</v>
      </c>
      <c r="O79" s="37">
        <f t="shared" si="388"/>
        <v>-2910.3900000000003</v>
      </c>
      <c r="P79" s="37">
        <f t="shared" si="388"/>
        <v>-1759.16</v>
      </c>
      <c r="Q79" s="37">
        <f t="shared" si="388"/>
        <v>-467.18</v>
      </c>
      <c r="R79" s="37">
        <f t="shared" si="388"/>
        <v>-1525.78</v>
      </c>
      <c r="S79" s="37">
        <f t="shared" si="388"/>
        <v>-598.99</v>
      </c>
      <c r="T79" s="37">
        <f t="shared" si="388"/>
        <v>-2060.8900000000003</v>
      </c>
      <c r="U79" s="37">
        <f t="shared" si="388"/>
        <v>-3850.88</v>
      </c>
      <c r="V79" s="37">
        <f t="shared" si="388"/>
        <v>-1931.7200000000003</v>
      </c>
      <c r="W79" s="37">
        <f t="shared" si="388"/>
        <v>-21628.43</v>
      </c>
      <c r="X79" s="37">
        <f t="shared" si="388"/>
        <v>-4028.06</v>
      </c>
      <c r="Y79" s="37">
        <f t="shared" si="388"/>
        <v>67120.009999999995</v>
      </c>
      <c r="Z79" s="37">
        <f t="shared" si="388"/>
        <v>40446.00999999998</v>
      </c>
      <c r="AA79" s="37">
        <f t="shared" si="388"/>
        <v>11123.430000000004</v>
      </c>
      <c r="AB79" s="37">
        <f t="shared" si="388"/>
        <v>-67320.260000000009</v>
      </c>
      <c r="AC79" s="37">
        <f t="shared" si="388"/>
        <v>92246.720000000001</v>
      </c>
      <c r="AD79" s="37">
        <f t="shared" si="388"/>
        <v>5735.720000000003</v>
      </c>
      <c r="AE79" s="37">
        <f t="shared" si="388"/>
        <v>-28857.11</v>
      </c>
      <c r="AF79" s="37">
        <f t="shared" ref="AF79:AG79" si="389">+AF33-AF76</f>
        <v>53032.210000000006</v>
      </c>
      <c r="AG79" s="37">
        <f t="shared" si="389"/>
        <v>-30499.549999999996</v>
      </c>
      <c r="AH79" s="37">
        <f t="shared" ref="AH79:AI79" si="390">+AH33-AH76</f>
        <v>-5299.88</v>
      </c>
      <c r="AI79" s="37">
        <f t="shared" si="390"/>
        <v>1880.1499999999996</v>
      </c>
      <c r="AJ79" s="164">
        <f t="shared" ref="AJ79" si="391">+AJ33-AJ76</f>
        <v>10566.740000000005</v>
      </c>
      <c r="AK79" s="37">
        <f>+AK33-AK76</f>
        <v>60727.900950000003</v>
      </c>
      <c r="AL79" s="37">
        <f t="shared" ref="AL79:BP79" si="392">+AL33-AL76</f>
        <v>17355.056666666667</v>
      </c>
      <c r="AM79" s="164">
        <f t="shared" si="392"/>
        <v>85411.14</v>
      </c>
      <c r="AN79" s="37">
        <f t="shared" si="392"/>
        <v>-32068.08336562074</v>
      </c>
      <c r="AO79" s="37">
        <f t="shared" si="392"/>
        <v>-22910.006014035218</v>
      </c>
      <c r="AP79" s="37">
        <f t="shared" si="392"/>
        <v>-55780.309387543879</v>
      </c>
      <c r="AQ79" s="37">
        <f t="shared" si="392"/>
        <v>146869.28405959316</v>
      </c>
      <c r="AR79" s="37">
        <f t="shared" si="392"/>
        <v>112620.00829318321</v>
      </c>
      <c r="AS79" s="37">
        <f t="shared" si="392"/>
        <v>89163.603933585095</v>
      </c>
      <c r="AT79" s="37">
        <f t="shared" si="392"/>
        <v>-142560.15306992445</v>
      </c>
      <c r="AU79" s="37">
        <f t="shared" si="392"/>
        <v>40260.094712670878</v>
      </c>
      <c r="AV79" s="37">
        <f t="shared" si="392"/>
        <v>-75523.907440153998</v>
      </c>
      <c r="AW79" s="37">
        <f t="shared" si="392"/>
        <v>288718.28139332269</v>
      </c>
      <c r="AX79" s="37">
        <f t="shared" si="392"/>
        <v>216877.96267392713</v>
      </c>
      <c r="AY79" s="164">
        <f t="shared" si="392"/>
        <v>-4847.1294351793331</v>
      </c>
      <c r="AZ79" s="37">
        <f t="shared" si="392"/>
        <v>-164145.52283997537</v>
      </c>
      <c r="BA79" s="37">
        <f t="shared" si="392"/>
        <v>111779.46084535235</v>
      </c>
      <c r="BB79" s="37">
        <f t="shared" si="392"/>
        <v>-55497.418378021619</v>
      </c>
      <c r="BC79" s="37">
        <f t="shared" si="392"/>
        <v>50390.904966286551</v>
      </c>
      <c r="BD79" s="37">
        <f t="shared" si="392"/>
        <v>157076.5173858669</v>
      </c>
      <c r="BE79" s="37">
        <f t="shared" si="392"/>
        <v>-42354.865528135961</v>
      </c>
      <c r="BF79" s="37">
        <f t="shared" si="392"/>
        <v>-31676.646578381617</v>
      </c>
      <c r="BG79" s="37">
        <f t="shared" si="392"/>
        <v>-52437.433461417684</v>
      </c>
      <c r="BH79" s="37">
        <f t="shared" si="392"/>
        <v>389627.00916772179</v>
      </c>
      <c r="BI79" s="37">
        <f t="shared" si="392"/>
        <v>383065.90529441781</v>
      </c>
      <c r="BJ79" s="37">
        <f t="shared" si="392"/>
        <v>78090.189640130091</v>
      </c>
      <c r="BK79" s="164">
        <f t="shared" si="392"/>
        <v>-187474.00077419431</v>
      </c>
      <c r="BL79" s="37">
        <f t="shared" si="392"/>
        <v>191201.69815251045</v>
      </c>
      <c r="BM79" s="37">
        <f t="shared" si="392"/>
        <v>-42966.391633980056</v>
      </c>
      <c r="BN79" s="37">
        <f t="shared" si="392"/>
        <v>122651.24148956919</v>
      </c>
      <c r="BO79" s="37">
        <f t="shared" si="392"/>
        <v>-71931.731101573067</v>
      </c>
      <c r="BP79" s="37">
        <f t="shared" si="392"/>
        <v>273178.68575</v>
      </c>
      <c r="BQ79" s="37">
        <f t="shared" ref="BQ79:CV79" si="393">+BQ33-BQ76</f>
        <v>-47197.613091097133</v>
      </c>
      <c r="BR79" s="37">
        <f t="shared" si="393"/>
        <v>-33673.773707555389</v>
      </c>
      <c r="BS79" s="37">
        <f t="shared" si="393"/>
        <v>-56692.323367508514</v>
      </c>
      <c r="BT79" s="37">
        <f t="shared" si="393"/>
        <v>545534.53729532799</v>
      </c>
      <c r="BU79" s="37">
        <f t="shared" si="393"/>
        <v>562940.91814653808</v>
      </c>
      <c r="BV79" s="37">
        <f t="shared" si="393"/>
        <v>165598.1854842669</v>
      </c>
      <c r="BW79" s="164">
        <f t="shared" si="393"/>
        <v>-213198.97410863466</v>
      </c>
      <c r="BX79" s="37">
        <f t="shared" si="393"/>
        <v>288498.13265645807</v>
      </c>
      <c r="BY79" s="37">
        <f t="shared" si="393"/>
        <v>-52073.470333928111</v>
      </c>
      <c r="BZ79" s="37">
        <f t="shared" si="393"/>
        <v>209375.5500136725</v>
      </c>
      <c r="CA79" s="37">
        <f t="shared" si="393"/>
        <v>-85493.153840873041</v>
      </c>
      <c r="CB79" s="37">
        <f t="shared" si="393"/>
        <v>312115.85372416663</v>
      </c>
      <c r="CC79" s="37">
        <f t="shared" si="393"/>
        <v>-58516.514080260575</v>
      </c>
      <c r="CD79" s="37">
        <f t="shared" si="393"/>
        <v>-42030.557915901503</v>
      </c>
      <c r="CE79" s="37">
        <f t="shared" si="393"/>
        <v>-70793.080574305364</v>
      </c>
      <c r="CF79" s="37">
        <f t="shared" si="393"/>
        <v>624846.13254918566</v>
      </c>
      <c r="CG79" s="37">
        <f t="shared" si="393"/>
        <v>634453.98590452119</v>
      </c>
      <c r="CH79" s="37">
        <f t="shared" si="393"/>
        <v>168170.62262787975</v>
      </c>
      <c r="CI79" s="164">
        <f t="shared" si="393"/>
        <v>-262825.88148646057</v>
      </c>
      <c r="CJ79" s="37">
        <f t="shared" si="393"/>
        <v>322802.83384313871</v>
      </c>
      <c r="CK79" s="37">
        <f t="shared" si="393"/>
        <v>-62475.092914259578</v>
      </c>
      <c r="CL79" s="37">
        <f t="shared" si="393"/>
        <v>226090.4244366335</v>
      </c>
      <c r="CM79" s="37">
        <f t="shared" si="393"/>
        <v>-102232.59569203795</v>
      </c>
      <c r="CN79" s="37">
        <f t="shared" si="393"/>
        <v>417193.87515724165</v>
      </c>
      <c r="CO79" s="37">
        <f t="shared" si="393"/>
        <v>-69146.584598292364</v>
      </c>
      <c r="CP79" s="37">
        <f t="shared" si="393"/>
        <v>-47411.139392843535</v>
      </c>
      <c r="CQ79" s="37">
        <f t="shared" si="393"/>
        <v>-82432.292715848365</v>
      </c>
      <c r="CR79" s="37">
        <f t="shared" si="393"/>
        <v>835156.72368851549</v>
      </c>
      <c r="CS79" s="37">
        <f t="shared" si="393"/>
        <v>860566.54038268491</v>
      </c>
      <c r="CT79" s="37">
        <f t="shared" si="393"/>
        <v>253762.33628688302</v>
      </c>
      <c r="CU79" s="164">
        <f t="shared" si="393"/>
        <v>-324433.29385604244</v>
      </c>
      <c r="CV79" s="37">
        <f t="shared" si="393"/>
        <v>928761.09564014385</v>
      </c>
      <c r="CW79" s="37">
        <f t="shared" ref="CW79:DG79" si="394">+CW33-CW76</f>
        <v>-92673.814513245015</v>
      </c>
      <c r="CX79" s="37">
        <f t="shared" si="394"/>
        <v>317643.96642190992</v>
      </c>
      <c r="CY79" s="37">
        <f t="shared" si="394"/>
        <v>-193636.59272653516</v>
      </c>
      <c r="CZ79" s="37">
        <f t="shared" si="394"/>
        <v>929345.315520301</v>
      </c>
      <c r="DA79" s="37">
        <f t="shared" si="394"/>
        <v>886357.0955533043</v>
      </c>
      <c r="DB79" s="37">
        <f t="shared" si="394"/>
        <v>203820.05063834199</v>
      </c>
      <c r="DC79" s="37">
        <f t="shared" si="394"/>
        <v>-358202.70553316851</v>
      </c>
      <c r="DD79" s="37">
        <f t="shared" si="394"/>
        <v>449663.33531161799</v>
      </c>
      <c r="DE79" s="37">
        <f t="shared" si="394"/>
        <v>-103587.25482447947</v>
      </c>
      <c r="DF79" s="37">
        <f t="shared" si="394"/>
        <v>358444.72120186011</v>
      </c>
      <c r="DG79" s="37">
        <f t="shared" si="394"/>
        <v>-153689.80899114703</v>
      </c>
    </row>
    <row r="80" spans="1:111" s="3" customFormat="1" ht="15" thickBot="1" x14ac:dyDescent="0.35">
      <c r="A80" s="116"/>
      <c r="B80" s="116" t="s">
        <v>449</v>
      </c>
      <c r="C80" s="117"/>
      <c r="D80" s="118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440">
        <f t="shared" ref="P80:AE80" si="395">+P34-P76</f>
        <v>-1759.16</v>
      </c>
      <c r="Q80" s="440">
        <f t="shared" si="395"/>
        <v>-467.18</v>
      </c>
      <c r="R80" s="440">
        <f t="shared" si="395"/>
        <v>-1525.78</v>
      </c>
      <c r="S80" s="440">
        <f t="shared" si="395"/>
        <v>-598.99</v>
      </c>
      <c r="T80" s="440">
        <f t="shared" si="395"/>
        <v>-2060.8900000000003</v>
      </c>
      <c r="U80" s="440">
        <f t="shared" si="395"/>
        <v>-3850.88</v>
      </c>
      <c r="V80" s="440">
        <f t="shared" si="395"/>
        <v>-1931.7200000000003</v>
      </c>
      <c r="W80" s="440">
        <f t="shared" si="395"/>
        <v>6092.9661538461523</v>
      </c>
      <c r="X80" s="440">
        <f t="shared" si="395"/>
        <v>-1930.229230769231</v>
      </c>
      <c r="Y80" s="440">
        <f t="shared" si="395"/>
        <v>12023.533076923068</v>
      </c>
      <c r="Z80" s="440">
        <f t="shared" si="395"/>
        <v>23154.471538461512</v>
      </c>
      <c r="AA80" s="440">
        <f>+AA34-AA76</f>
        <v>53692.216923077023</v>
      </c>
      <c r="AB80" s="440">
        <f t="shared" si="395"/>
        <v>19924.140821314319</v>
      </c>
      <c r="AC80" s="440">
        <f t="shared" si="395"/>
        <v>-1987.7999553117143</v>
      </c>
      <c r="AD80" s="440">
        <f t="shared" si="395"/>
        <v>33112.876700380119</v>
      </c>
      <c r="AE80" s="440">
        <f t="shared" si="395"/>
        <v>25755.854280799766</v>
      </c>
      <c r="AF80" s="440">
        <f t="shared" ref="AF80" si="396">+AF34-AF76</f>
        <v>-21967.79</v>
      </c>
      <c r="AG80" s="440">
        <f>+AG34-AG76</f>
        <v>-30499.549999999996</v>
      </c>
      <c r="AH80" s="440">
        <f t="shared" ref="AH80:AI80" si="397">+AH34-AH76</f>
        <v>-5299.88</v>
      </c>
      <c r="AI80" s="440">
        <f t="shared" si="397"/>
        <v>1880.1499999999996</v>
      </c>
      <c r="AJ80" s="441">
        <f t="shared" ref="AJ80" si="398">+AJ34-AJ76</f>
        <v>10566.740000000005</v>
      </c>
      <c r="AK80" s="440">
        <f t="shared" ref="AK80" si="399">+AK34-AK76</f>
        <v>4427.9009500000029</v>
      </c>
      <c r="AL80" s="440">
        <f t="shared" ref="AL80:CB80" si="400">+AL34-AL76</f>
        <v>-844.9433333333327</v>
      </c>
      <c r="AM80" s="441">
        <f t="shared" si="400"/>
        <v>-2688.8600000000006</v>
      </c>
      <c r="AN80" s="440">
        <f t="shared" si="400"/>
        <v>-26343.807512300307</v>
      </c>
      <c r="AO80" s="440">
        <f t="shared" si="400"/>
        <v>-28134.197283984093</v>
      </c>
      <c r="AP80" s="440">
        <f t="shared" si="400"/>
        <v>-17928.608663689862</v>
      </c>
      <c r="AQ80" s="440">
        <f t="shared" si="400"/>
        <v>-29928.425059171117</v>
      </c>
      <c r="AR80" s="440">
        <f t="shared" si="400"/>
        <v>12916.409157917253</v>
      </c>
      <c r="AS80" s="440">
        <f t="shared" si="400"/>
        <v>45322.527255800305</v>
      </c>
      <c r="AT80" s="440">
        <f t="shared" si="400"/>
        <v>25436.608093580042</v>
      </c>
      <c r="AU80" s="440">
        <f t="shared" si="400"/>
        <v>5246.390248333264</v>
      </c>
      <c r="AV80" s="440">
        <f t="shared" si="400"/>
        <v>5680.8364865619806</v>
      </c>
      <c r="AW80" s="440">
        <f t="shared" si="400"/>
        <v>26708.020902505014</v>
      </c>
      <c r="AX80" s="440">
        <f t="shared" si="400"/>
        <v>93575.150585443669</v>
      </c>
      <c r="AY80" s="441">
        <f t="shared" si="400"/>
        <v>168284.40943517932</v>
      </c>
      <c r="AZ80" s="440">
        <f t="shared" si="400"/>
        <v>100581.64617330872</v>
      </c>
      <c r="BA80" s="440">
        <f t="shared" si="400"/>
        <v>55268.262487980996</v>
      </c>
      <c r="BB80" s="440">
        <f t="shared" si="400"/>
        <v>-13266.458288645044</v>
      </c>
      <c r="BC80" s="440">
        <f t="shared" si="400"/>
        <v>105445.21836704679</v>
      </c>
      <c r="BD80" s="440">
        <f t="shared" si="400"/>
        <v>859.60594746643619</v>
      </c>
      <c r="BE80" s="440">
        <f t="shared" si="400"/>
        <v>-23696.873211870487</v>
      </c>
      <c r="BF80" s="440">
        <f t="shared" si="400"/>
        <v>-29423.325723259477</v>
      </c>
      <c r="BG80" s="440">
        <f t="shared" si="400"/>
        <v>16369.407156678026</v>
      </c>
      <c r="BH80" s="440">
        <f t="shared" si="400"/>
        <v>-25839.74039377064</v>
      </c>
      <c r="BI80" s="440">
        <f t="shared" si="400"/>
        <v>159618.41847128255</v>
      </c>
      <c r="BJ80" s="440">
        <f t="shared" si="400"/>
        <v>310075.39535431075</v>
      </c>
      <c r="BK80" s="441">
        <f t="shared" si="400"/>
        <v>199138.27481151285</v>
      </c>
      <c r="BL80" s="440">
        <f t="shared" si="400"/>
        <v>119302.31384027819</v>
      </c>
      <c r="BM80" s="440">
        <f t="shared" si="400"/>
        <v>-605.34883920696302</v>
      </c>
      <c r="BN80" s="440">
        <f t="shared" si="400"/>
        <v>210632.42403065885</v>
      </c>
      <c r="BO80" s="440">
        <f t="shared" si="400"/>
        <v>21424.029170052927</v>
      </c>
      <c r="BP80" s="440">
        <f t="shared" si="400"/>
        <v>-31821.314250000003</v>
      </c>
      <c r="BQ80" s="440">
        <f t="shared" si="400"/>
        <v>-19918.042238546834</v>
      </c>
      <c r="BR80" s="440">
        <f t="shared" si="400"/>
        <v>-30630.845092387804</v>
      </c>
      <c r="BS80" s="440">
        <f t="shared" si="400"/>
        <v>38693.806782901891</v>
      </c>
      <c r="BT80" s="440">
        <f t="shared" si="400"/>
        <v>-25452.398149510533</v>
      </c>
      <c r="BU80" s="440">
        <f t="shared" si="400"/>
        <v>256301.34320316644</v>
      </c>
      <c r="BV80" s="440">
        <f t="shared" si="400"/>
        <v>484880.21192930563</v>
      </c>
      <c r="BW80" s="441">
        <f t="shared" si="400"/>
        <v>316341.12495082401</v>
      </c>
      <c r="BX80" s="440">
        <f t="shared" si="400"/>
        <v>189759.44255362774</v>
      </c>
      <c r="BY80" s="440">
        <f t="shared" si="400"/>
        <v>7770.7511751791608</v>
      </c>
      <c r="BZ80" s="440">
        <f t="shared" si="400"/>
        <v>328459.03303516761</v>
      </c>
      <c r="CA80" s="440">
        <f t="shared" si="400"/>
        <v>42513.586996939383</v>
      </c>
      <c r="CB80" s="440">
        <f t="shared" si="400"/>
        <v>-39884.146275833336</v>
      </c>
      <c r="CC80" s="440">
        <f t="shared" ref="CC80:DG80" si="401">+CC34-CC76</f>
        <v>-26624.805301050059</v>
      </c>
      <c r="CD80" s="440">
        <f t="shared" si="401"/>
        <v>-38499.724935708356</v>
      </c>
      <c r="CE80" s="440">
        <f t="shared" si="401"/>
        <v>38668.899938032046</v>
      </c>
      <c r="CF80" s="440">
        <f t="shared" si="401"/>
        <v>-32789.65745503494</v>
      </c>
      <c r="CG80" s="440">
        <f t="shared" si="401"/>
        <v>281062.61139351653</v>
      </c>
      <c r="CH80" s="440">
        <f t="shared" si="401"/>
        <v>535682.11073402606</v>
      </c>
      <c r="CI80" s="441">
        <f t="shared" si="401"/>
        <v>347942.36827698338</v>
      </c>
      <c r="CJ80" s="440">
        <f t="shared" si="401"/>
        <v>209010.78423309707</v>
      </c>
      <c r="CK80" s="440">
        <f t="shared" si="401"/>
        <v>6328.4166216606463</v>
      </c>
      <c r="CL80" s="440">
        <f t="shared" si="401"/>
        <v>363500.20147835673</v>
      </c>
      <c r="CM80" s="440">
        <f t="shared" si="401"/>
        <v>45309.071714254322</v>
      </c>
      <c r="CN80" s="440">
        <f t="shared" si="401"/>
        <v>-46806.124842758327</v>
      </c>
      <c r="CO80" s="440">
        <f t="shared" si="401"/>
        <v>-28725.205331690231</v>
      </c>
      <c r="CP80" s="440">
        <f t="shared" si="401"/>
        <v>-42732.095742587895</v>
      </c>
      <c r="CQ80" s="440">
        <f t="shared" si="401"/>
        <v>62326.21090342175</v>
      </c>
      <c r="CR80" s="440">
        <f t="shared" si="401"/>
        <v>-35131.821905305966</v>
      </c>
      <c r="CS80" s="440">
        <f t="shared" si="401"/>
        <v>392848.5447063552</v>
      </c>
      <c r="CT80" s="440">
        <f t="shared" si="401"/>
        <v>740056.95289795916</v>
      </c>
      <c r="CU80" s="441">
        <f t="shared" si="401"/>
        <v>484048.21318380971</v>
      </c>
      <c r="CV80" s="440">
        <f t="shared" si="401"/>
        <v>288027.50056802976</v>
      </c>
      <c r="CW80" s="440">
        <f t="shared" si="401"/>
        <v>30451.234289629268</v>
      </c>
      <c r="CX80" s="440">
        <f t="shared" si="401"/>
        <v>501330.75415446906</v>
      </c>
      <c r="CY80" s="440">
        <f t="shared" si="401"/>
        <v>176560.82134369086</v>
      </c>
      <c r="CZ80" s="440">
        <f t="shared" si="401"/>
        <v>-50853.323015193469</v>
      </c>
      <c r="DA80" s="440">
        <f t="shared" si="401"/>
        <v>391393.05581685645</v>
      </c>
      <c r="DB80" s="440">
        <f t="shared" si="401"/>
        <v>751663.0776148471</v>
      </c>
      <c r="DC80" s="440">
        <f t="shared" si="401"/>
        <v>487592.71324355941</v>
      </c>
      <c r="DD80" s="440">
        <f t="shared" si="401"/>
        <v>301760.08734420495</v>
      </c>
      <c r="DE80" s="440">
        <f t="shared" si="401"/>
        <v>16647.214800817354</v>
      </c>
      <c r="DF80" s="440">
        <f t="shared" si="401"/>
        <v>519308.8116443436</v>
      </c>
      <c r="DG80" s="442">
        <f t="shared" si="401"/>
        <v>75034.946976744759</v>
      </c>
    </row>
    <row r="81" spans="1:111" s="3" customFormat="1" ht="15" thickBot="1" x14ac:dyDescent="0.35">
      <c r="A81" s="116"/>
      <c r="B81" s="116"/>
      <c r="C81" s="117" t="s">
        <v>210</v>
      </c>
      <c r="D81" s="118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443" t="e">
        <f t="shared" ref="P81:AE81" si="402">+P80/SUM(P10:P11)</f>
        <v>#DIV/0!</v>
      </c>
      <c r="Q81" s="119" t="e">
        <f t="shared" si="402"/>
        <v>#DIV/0!</v>
      </c>
      <c r="R81" s="119" t="e">
        <f t="shared" si="402"/>
        <v>#DIV/0!</v>
      </c>
      <c r="S81" s="119" t="e">
        <f t="shared" si="402"/>
        <v>#DIV/0!</v>
      </c>
      <c r="T81" s="119" t="e">
        <f t="shared" si="402"/>
        <v>#DIV/0!</v>
      </c>
      <c r="U81" s="119" t="e">
        <f t="shared" si="402"/>
        <v>#DIV/0!</v>
      </c>
      <c r="V81" s="119" t="e">
        <f t="shared" si="402"/>
        <v>#DIV/0!</v>
      </c>
      <c r="W81" s="119">
        <f t="shared" si="402"/>
        <v>0.21979290364857021</v>
      </c>
      <c r="X81" s="119">
        <f t="shared" si="402"/>
        <v>-0.92010721697871078</v>
      </c>
      <c r="Y81" s="119">
        <f t="shared" si="402"/>
        <v>0.12669216786796753</v>
      </c>
      <c r="Z81" s="119">
        <f t="shared" si="402"/>
        <v>0.13603596042861454</v>
      </c>
      <c r="AA81" s="119">
        <f>+AA80/SUM(AA10:AA11)</f>
        <v>0.3462477393965262</v>
      </c>
      <c r="AB81" s="119">
        <f t="shared" si="402"/>
        <v>0.22837157036726113</v>
      </c>
      <c r="AC81" s="119">
        <f t="shared" si="402"/>
        <v>-0.10882823503397485</v>
      </c>
      <c r="AD81" s="119">
        <f t="shared" si="402"/>
        <v>0.23672826558312601</v>
      </c>
      <c r="AE81" s="119">
        <f t="shared" si="402"/>
        <v>0.47160696402364538</v>
      </c>
      <c r="AF81" s="119">
        <f>+AF80/SUM(AF10:AF11)</f>
        <v>-2.9450124140002041</v>
      </c>
      <c r="AG81" s="539">
        <f>+AG80/SUM(AG10:AG11)</f>
        <v>-2.7907909858866242</v>
      </c>
      <c r="AH81" s="539">
        <f t="shared" ref="AH81" si="403">+AH80/SUM(AH10:AH11)</f>
        <v>-7.5712571428571431</v>
      </c>
      <c r="AI81" s="539">
        <f>+AI80/SUM(AI10:AI11)</f>
        <v>4.0964551059982125E-2</v>
      </c>
      <c r="AJ81" s="544">
        <f>+AJ80/SUM(AJ10:AJ11)</f>
        <v>0.21560243459028008</v>
      </c>
      <c r="AK81" s="119">
        <f t="shared" ref="AK81" si="404">+AK80/SUM(AK10:AK11)</f>
        <v>7.4946136760125237E-2</v>
      </c>
      <c r="AL81" s="119">
        <f t="shared" ref="AL81:AU81" si="405">+AL80/SUM(AL10:AL11)</f>
        <v>-3.719486426999264E-2</v>
      </c>
      <c r="AM81" s="166">
        <f t="shared" si="405"/>
        <v>-0.26888600000000007</v>
      </c>
      <c r="AN81" s="119">
        <f t="shared" si="405"/>
        <v>-0.74366537854946768</v>
      </c>
      <c r="AO81" s="119">
        <f t="shared" si="405"/>
        <v>-0.91416597791993603</v>
      </c>
      <c r="AP81" s="119">
        <f t="shared" si="405"/>
        <v>-0.28846529467227927</v>
      </c>
      <c r="AQ81" s="119">
        <f t="shared" si="405"/>
        <v>-0.90961523521875509</v>
      </c>
      <c r="AR81" s="119">
        <f t="shared" si="405"/>
        <v>8.0078718983625535E-2</v>
      </c>
      <c r="AS81" s="119">
        <f t="shared" si="405"/>
        <v>0.17073273216281232</v>
      </c>
      <c r="AT81" s="119">
        <f t="shared" si="405"/>
        <v>0.12866476893135731</v>
      </c>
      <c r="AU81" s="119">
        <f t="shared" si="405"/>
        <v>3.858028654775289E-2</v>
      </c>
      <c r="AV81" s="119">
        <f t="shared" ref="AV81:CA81" si="406">+AV80/SUM(AV10:AV11)</f>
        <v>5.3844370168870441E-2</v>
      </c>
      <c r="AW81" s="119">
        <f t="shared" si="406"/>
        <v>0.13176799658028607</v>
      </c>
      <c r="AX81" s="119">
        <f t="shared" si="406"/>
        <v>0.3252557011931011</v>
      </c>
      <c r="AY81" s="166">
        <f t="shared" si="406"/>
        <v>0.39837084580662585</v>
      </c>
      <c r="AZ81" s="119">
        <f t="shared" si="406"/>
        <v>0.3416180867763961</v>
      </c>
      <c r="BA81" s="119">
        <f t="shared" si="406"/>
        <v>0.27027525245401762</v>
      </c>
      <c r="BB81" s="119">
        <f t="shared" si="406"/>
        <v>-0.1994027783579721</v>
      </c>
      <c r="BC81" s="119">
        <f t="shared" si="406"/>
        <v>0.34041565784629363</v>
      </c>
      <c r="BD81" s="119">
        <f t="shared" si="406"/>
        <v>9.0691911448715686E-3</v>
      </c>
      <c r="BE81" s="119">
        <f t="shared" si="406"/>
        <v>-0.5516289736589477</v>
      </c>
      <c r="BF81" s="119">
        <f t="shared" si="406"/>
        <v>-0.70301054067155488</v>
      </c>
      <c r="BG81" s="119">
        <f t="shared" si="406"/>
        <v>0.14014082625690055</v>
      </c>
      <c r="BH81" s="119">
        <f t="shared" si="406"/>
        <v>-0.55056362285467864</v>
      </c>
      <c r="BI81" s="119">
        <f t="shared" si="406"/>
        <v>0.45134252556960053</v>
      </c>
      <c r="BJ81" s="119">
        <f t="shared" si="406"/>
        <v>0.51466059649838214</v>
      </c>
      <c r="BK81" s="166">
        <f t="shared" si="406"/>
        <v>0.47525642186294365</v>
      </c>
      <c r="BL81" s="119">
        <f t="shared" si="406"/>
        <v>0.39754104991375072</v>
      </c>
      <c r="BM81" s="119">
        <f t="shared" si="406"/>
        <v>-5.9138596352583681E-3</v>
      </c>
      <c r="BN81" s="119">
        <f t="shared" si="406"/>
        <v>0.46705368690514659</v>
      </c>
      <c r="BO81" s="119">
        <f t="shared" si="406"/>
        <v>0.1499696556114872</v>
      </c>
      <c r="BP81" s="119">
        <f t="shared" si="406"/>
        <v>-0.63642628500000009</v>
      </c>
      <c r="BQ81" s="119">
        <f t="shared" si="406"/>
        <v>-0.29386498008193557</v>
      </c>
      <c r="BR81" s="119">
        <f t="shared" si="406"/>
        <v>-0.58296798255637372</v>
      </c>
      <c r="BS81" s="119">
        <f t="shared" si="406"/>
        <v>0.24901712106123711</v>
      </c>
      <c r="BT81" s="119">
        <f t="shared" si="406"/>
        <v>-0.42767749131653615</v>
      </c>
      <c r="BU81" s="119">
        <f t="shared" si="406"/>
        <v>0.53356048882035145</v>
      </c>
      <c r="BV81" s="119">
        <f t="shared" si="406"/>
        <v>0.59003506565707875</v>
      </c>
      <c r="BW81" s="166">
        <f t="shared" si="406"/>
        <v>0.55494538975902408</v>
      </c>
      <c r="BX81" s="119">
        <f t="shared" si="406"/>
        <v>0.47067870327643241</v>
      </c>
      <c r="BY81" s="119">
        <f t="shared" si="406"/>
        <v>5.8938883223201316E-2</v>
      </c>
      <c r="BZ81" s="119">
        <f t="shared" si="406"/>
        <v>0.53829551630717754</v>
      </c>
      <c r="CA81" s="119">
        <f t="shared" si="406"/>
        <v>0.22685196277828637</v>
      </c>
      <c r="CB81" s="119">
        <f t="shared" ref="CB81:DG81" si="407">+CB80/SUM(CB10:CB11)</f>
        <v>-0.66473577126388894</v>
      </c>
      <c r="CC81" s="119">
        <f t="shared" si="407"/>
        <v>-0.33077699187728937</v>
      </c>
      <c r="CD81" s="119">
        <f t="shared" si="407"/>
        <v>-0.61177840992229937</v>
      </c>
      <c r="CE81" s="119">
        <f t="shared" si="407"/>
        <v>0.21309642840254897</v>
      </c>
      <c r="CF81" s="119">
        <f t="shared" si="407"/>
        <v>-0.46205907818864095</v>
      </c>
      <c r="CG81" s="119">
        <f t="shared" si="407"/>
        <v>0.50550045180743219</v>
      </c>
      <c r="CH81" s="119">
        <f t="shared" si="407"/>
        <v>0.56416601320166637</v>
      </c>
      <c r="CI81" s="166">
        <f t="shared" si="407"/>
        <v>0.52769051042693027</v>
      </c>
      <c r="CJ81" s="119">
        <f t="shared" si="407"/>
        <v>0.44899509032661572</v>
      </c>
      <c r="CK81" s="119">
        <f t="shared" si="407"/>
        <v>4.1415387911447131E-2</v>
      </c>
      <c r="CL81" s="119">
        <f t="shared" si="407"/>
        <v>0.51625501211697689</v>
      </c>
      <c r="CM81" s="119">
        <f t="shared" si="407"/>
        <v>0.20895002448657407</v>
      </c>
      <c r="CN81" s="119">
        <f t="shared" si="407"/>
        <v>-0.66865892632511892</v>
      </c>
      <c r="CO81" s="119">
        <f t="shared" si="407"/>
        <v>-0.29576603574418325</v>
      </c>
      <c r="CP81" s="119">
        <f t="shared" si="407"/>
        <v>-0.5094490099429938</v>
      </c>
      <c r="CQ81" s="119">
        <f t="shared" si="407"/>
        <v>0.25887439058843364</v>
      </c>
      <c r="CR81" s="119">
        <f t="shared" si="407"/>
        <v>-0.37172025471453624</v>
      </c>
      <c r="CS81" s="119">
        <f t="shared" si="407"/>
        <v>0.53341227945836611</v>
      </c>
      <c r="CT81" s="119">
        <f t="shared" si="407"/>
        <v>0.58861061132411097</v>
      </c>
      <c r="CU81" s="166">
        <f t="shared" si="407"/>
        <v>0.55428657229279921</v>
      </c>
      <c r="CV81" s="119">
        <f t="shared" si="407"/>
        <v>0.47728837631392079</v>
      </c>
      <c r="CW81" s="119">
        <f t="shared" si="407"/>
        <v>0.1389673816662709</v>
      </c>
      <c r="CX81" s="119">
        <f t="shared" si="407"/>
        <v>0.54286727305042282</v>
      </c>
      <c r="CY81" s="119">
        <f t="shared" si="407"/>
        <v>0.39288348311701726</v>
      </c>
      <c r="CZ81" s="119">
        <f t="shared" si="407"/>
        <v>-0.53082046265109362</v>
      </c>
      <c r="DA81" s="119">
        <f t="shared" si="407"/>
        <v>0.49241991477974667</v>
      </c>
      <c r="DB81" s="119">
        <f t="shared" si="407"/>
        <v>0.54788213711130995</v>
      </c>
      <c r="DC81" s="119">
        <f t="shared" si="407"/>
        <v>0.51121310046646284</v>
      </c>
      <c r="DD81" s="119">
        <f t="shared" si="407"/>
        <v>0.45721450357880811</v>
      </c>
      <c r="DE81" s="119">
        <f t="shared" si="407"/>
        <v>7.9524479798360151E-2</v>
      </c>
      <c r="DF81" s="119">
        <f t="shared" si="407"/>
        <v>0.51730987948323015</v>
      </c>
      <c r="DG81" s="120">
        <f t="shared" si="407"/>
        <v>0.24876919248873688</v>
      </c>
    </row>
    <row r="82" spans="1:111" s="3" customFormat="1" ht="15" thickBot="1" x14ac:dyDescent="0.35">
      <c r="A82" s="116"/>
      <c r="B82" s="116"/>
      <c r="C82" s="117" t="s">
        <v>459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440"/>
      <c r="Q82" s="440"/>
      <c r="R82" s="440"/>
      <c r="S82" s="440"/>
      <c r="T82" s="440"/>
      <c r="U82" s="440"/>
      <c r="V82" s="440"/>
      <c r="W82" s="440"/>
      <c r="X82" s="440"/>
      <c r="Y82" s="440"/>
      <c r="Z82" s="440"/>
      <c r="AA82" s="440"/>
      <c r="AB82" s="491">
        <f t="shared" ref="AB82:AG82" si="408">-AB76-AB26</f>
        <v>-67320.260000000009</v>
      </c>
      <c r="AC82" s="491">
        <f t="shared" si="408"/>
        <v>-20253.280000000002</v>
      </c>
      <c r="AD82" s="491">
        <f t="shared" si="408"/>
        <v>-106764.28</v>
      </c>
      <c r="AE82" s="491">
        <f t="shared" si="408"/>
        <v>-28857.11</v>
      </c>
      <c r="AF82" s="491">
        <f t="shared" si="408"/>
        <v>-29427.11</v>
      </c>
      <c r="AG82" s="491">
        <f t="shared" si="408"/>
        <v>-41428.189999999995</v>
      </c>
      <c r="AH82" s="491">
        <f t="shared" ref="AH82:AI82" si="409">-AH76-AH26</f>
        <v>-5999.88</v>
      </c>
      <c r="AI82" s="491">
        <f t="shared" si="409"/>
        <v>-44016.85</v>
      </c>
      <c r="AJ82" s="492">
        <f>-AJ76-AJ26</f>
        <v>-38443.56</v>
      </c>
      <c r="AK82" s="491">
        <f t="shared" ref="AK82" si="410">-AK76-AK26</f>
        <v>-54653.209049999998</v>
      </c>
      <c r="AL82" s="491">
        <f t="shared" ref="AL82:BG82" si="411">-AL76-AL26</f>
        <v>-23561.609999999997</v>
      </c>
      <c r="AM82" s="492">
        <f t="shared" si="411"/>
        <v>-12688.86</v>
      </c>
      <c r="AN82" s="491">
        <f t="shared" si="411"/>
        <v>-61768.08336562074</v>
      </c>
      <c r="AO82" s="491">
        <f t="shared" si="411"/>
        <v>-58910.006014035214</v>
      </c>
      <c r="AP82" s="491">
        <f t="shared" si="411"/>
        <v>-80080.309387543879</v>
      </c>
      <c r="AQ82" s="491">
        <f t="shared" si="411"/>
        <v>-62830.715940406822</v>
      </c>
      <c r="AR82" s="491">
        <f t="shared" si="411"/>
        <v>-148379.9917068168</v>
      </c>
      <c r="AS82" s="491">
        <f t="shared" si="411"/>
        <v>-220136.39606641489</v>
      </c>
      <c r="AT82" s="491">
        <f t="shared" si="411"/>
        <v>-172260.15306992445</v>
      </c>
      <c r="AU82" s="491">
        <f t="shared" si="411"/>
        <v>-130739.90528732912</v>
      </c>
      <c r="AV82" s="491">
        <f t="shared" si="411"/>
        <v>-99823.907440153998</v>
      </c>
      <c r="AW82" s="491">
        <f t="shared" si="411"/>
        <v>-175981.71860667731</v>
      </c>
      <c r="AX82" s="491">
        <f t="shared" si="411"/>
        <v>-194122.03732607287</v>
      </c>
      <c r="AY82" s="492">
        <f t="shared" si="411"/>
        <v>-254147.12943517935</v>
      </c>
      <c r="AZ82" s="491">
        <f t="shared" si="411"/>
        <v>-193845.52283997537</v>
      </c>
      <c r="BA82" s="491">
        <f t="shared" si="411"/>
        <v>-149220.53915464765</v>
      </c>
      <c r="BB82" s="491">
        <f t="shared" si="411"/>
        <v>-79797.418378021626</v>
      </c>
      <c r="BC82" s="491">
        <f t="shared" si="411"/>
        <v>-204309.09503371344</v>
      </c>
      <c r="BD82" s="491">
        <f t="shared" si="411"/>
        <v>-93923.4826141331</v>
      </c>
      <c r="BE82" s="491">
        <f t="shared" si="411"/>
        <v>-66654.865528135968</v>
      </c>
      <c r="BF82" s="491">
        <f t="shared" si="411"/>
        <v>-71276.646578381624</v>
      </c>
      <c r="BG82" s="491">
        <f t="shared" si="411"/>
        <v>-100437.43346141768</v>
      </c>
      <c r="BH82" s="491">
        <f t="shared" ref="BH82:CM82" si="412">-BH76-BH26</f>
        <v>-72772.99083227817</v>
      </c>
      <c r="BI82" s="491">
        <f t="shared" si="412"/>
        <v>-194034.09470558216</v>
      </c>
      <c r="BJ82" s="491">
        <f t="shared" si="412"/>
        <v>-292409.81035986991</v>
      </c>
      <c r="BK82" s="492">
        <f t="shared" si="412"/>
        <v>-219874.00077419431</v>
      </c>
      <c r="BL82" s="491">
        <f t="shared" si="412"/>
        <v>-180798.30184748955</v>
      </c>
      <c r="BM82" s="491">
        <f t="shared" si="412"/>
        <v>-102966.39163398006</v>
      </c>
      <c r="BN82" s="491">
        <f t="shared" si="412"/>
        <v>-240348.75851043081</v>
      </c>
      <c r="BO82" s="491">
        <f t="shared" si="412"/>
        <v>-121431.73110157307</v>
      </c>
      <c r="BP82" s="491">
        <f t="shared" si="412"/>
        <v>-81821.314249999996</v>
      </c>
      <c r="BQ82" s="491">
        <f t="shared" si="412"/>
        <v>-87697.613091097126</v>
      </c>
      <c r="BR82" s="491">
        <f t="shared" si="412"/>
        <v>-83173.773707555389</v>
      </c>
      <c r="BS82" s="491">
        <f t="shared" si="412"/>
        <v>-116692.32336750851</v>
      </c>
      <c r="BT82" s="491">
        <f t="shared" si="412"/>
        <v>-84965.462704672012</v>
      </c>
      <c r="BU82" s="491">
        <f t="shared" si="412"/>
        <v>-224059.08185346189</v>
      </c>
      <c r="BV82" s="491">
        <f t="shared" si="412"/>
        <v>-336901.8145157331</v>
      </c>
      <c r="BW82" s="492">
        <f t="shared" si="412"/>
        <v>-253698.97410863466</v>
      </c>
      <c r="BX82" s="491">
        <f t="shared" si="412"/>
        <v>-213401.86734354196</v>
      </c>
      <c r="BY82" s="491">
        <f t="shared" si="412"/>
        <v>-124073.47033392811</v>
      </c>
      <c r="BZ82" s="491">
        <f t="shared" si="412"/>
        <v>-281724.4499863275</v>
      </c>
      <c r="CA82" s="491">
        <f t="shared" si="412"/>
        <v>-144893.15384087304</v>
      </c>
      <c r="CB82" s="491">
        <f t="shared" si="412"/>
        <v>-99884.146275833336</v>
      </c>
      <c r="CC82" s="491">
        <f t="shared" si="412"/>
        <v>-107116.51408026057</v>
      </c>
      <c r="CD82" s="491">
        <f t="shared" si="412"/>
        <v>-101430.5579159015</v>
      </c>
      <c r="CE82" s="491">
        <f t="shared" si="412"/>
        <v>-142793.08057430538</v>
      </c>
      <c r="CF82" s="491">
        <f t="shared" si="412"/>
        <v>-103753.86745081429</v>
      </c>
      <c r="CG82" s="491">
        <f t="shared" si="412"/>
        <v>-274946.01409547875</v>
      </c>
      <c r="CH82" s="491">
        <f t="shared" si="412"/>
        <v>-413829.37737212027</v>
      </c>
      <c r="CI82" s="492">
        <f t="shared" si="412"/>
        <v>-311425.88148646057</v>
      </c>
      <c r="CJ82" s="491">
        <f t="shared" si="412"/>
        <v>-256497.16615686123</v>
      </c>
      <c r="CK82" s="491">
        <f t="shared" si="412"/>
        <v>-146475.09291425959</v>
      </c>
      <c r="CL82" s="491">
        <f t="shared" si="412"/>
        <v>-340609.57556336652</v>
      </c>
      <c r="CM82" s="491">
        <f t="shared" si="412"/>
        <v>-171532.59569203795</v>
      </c>
      <c r="CN82" s="491">
        <f t="shared" ref="CN82:DG82" si="413">-CN76-CN26</f>
        <v>-116806.12484275832</v>
      </c>
      <c r="CO82" s="491">
        <f t="shared" si="413"/>
        <v>-125846.58459829238</v>
      </c>
      <c r="CP82" s="491">
        <f t="shared" si="413"/>
        <v>-126611.13939284353</v>
      </c>
      <c r="CQ82" s="491">
        <f t="shared" si="413"/>
        <v>-178432.29271584837</v>
      </c>
      <c r="CR82" s="491">
        <f t="shared" si="413"/>
        <v>-129643.27631148451</v>
      </c>
      <c r="CS82" s="491">
        <f t="shared" si="413"/>
        <v>-343633.45961731509</v>
      </c>
      <c r="CT82" s="491">
        <f t="shared" si="413"/>
        <v>-517237.66371311701</v>
      </c>
      <c r="CU82" s="492">
        <f t="shared" si="413"/>
        <v>-389233.29385604244</v>
      </c>
      <c r="CV82" s="491">
        <f t="shared" si="413"/>
        <v>-315438.90435985621</v>
      </c>
      <c r="CW82" s="491">
        <f t="shared" si="413"/>
        <v>-188673.81451324502</v>
      </c>
      <c r="CX82" s="491">
        <f t="shared" si="413"/>
        <v>-422156.03357809008</v>
      </c>
      <c r="CY82" s="491">
        <f t="shared" si="413"/>
        <v>-272836.59272653516</v>
      </c>
      <c r="CZ82" s="491">
        <f t="shared" si="413"/>
        <v>-146654.684479699</v>
      </c>
      <c r="DA82" s="491">
        <f t="shared" si="413"/>
        <v>-403442.9044466957</v>
      </c>
      <c r="DB82" s="491">
        <f t="shared" si="413"/>
        <v>-620279.94936165796</v>
      </c>
      <c r="DC82" s="491">
        <f t="shared" si="413"/>
        <v>-466202.70553316851</v>
      </c>
      <c r="DD82" s="491">
        <f t="shared" si="413"/>
        <v>-358236.66468838201</v>
      </c>
      <c r="DE82" s="491">
        <f t="shared" si="413"/>
        <v>-192687.25482447946</v>
      </c>
      <c r="DF82" s="491">
        <f t="shared" si="413"/>
        <v>-484555.27879813989</v>
      </c>
      <c r="DG82" s="493">
        <f t="shared" si="413"/>
        <v>-226589.80899114703</v>
      </c>
    </row>
    <row r="83" spans="1:111" x14ac:dyDescent="0.3">
      <c r="B83" s="1" t="s">
        <v>8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J83" s="162"/>
      <c r="AM83" s="162"/>
      <c r="AY83" s="162"/>
      <c r="BK83" s="162"/>
      <c r="BW83" s="162"/>
      <c r="CI83" s="162"/>
      <c r="CU83" s="162"/>
    </row>
    <row r="84" spans="1:111" x14ac:dyDescent="0.3">
      <c r="B84" s="1" t="s">
        <v>9</v>
      </c>
      <c r="C84" s="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>
        <v>0</v>
      </c>
      <c r="Q84" s="91">
        <v>0</v>
      </c>
      <c r="R84" s="91">
        <v>0</v>
      </c>
      <c r="S84" s="91"/>
      <c r="T84" s="91"/>
      <c r="U84" s="91"/>
      <c r="V84" s="91"/>
      <c r="W84" s="91"/>
      <c r="X84" s="91">
        <v>0</v>
      </c>
      <c r="Y84" s="91">
        <v>0</v>
      </c>
      <c r="Z84" s="91">
        <v>0</v>
      </c>
      <c r="AA84" s="91">
        <v>0</v>
      </c>
      <c r="AB84" s="288">
        <v>0</v>
      </c>
      <c r="AC84" s="288">
        <v>0</v>
      </c>
      <c r="AD84" s="288">
        <v>0</v>
      </c>
      <c r="AE84" s="288">
        <v>0</v>
      </c>
      <c r="AF84" s="288">
        <v>0</v>
      </c>
      <c r="AG84" s="288">
        <v>0</v>
      </c>
      <c r="AH84" s="288">
        <v>300</v>
      </c>
      <c r="AI84" s="288"/>
      <c r="AJ84" s="545">
        <v>300</v>
      </c>
      <c r="AK84" s="540">
        <v>0</v>
      </c>
      <c r="AL84" s="91">
        <f t="shared" ref="AL84:CA84" si="414">AK84</f>
        <v>0</v>
      </c>
      <c r="AM84" s="163">
        <f t="shared" si="414"/>
        <v>0</v>
      </c>
      <c r="AN84" s="91">
        <f t="shared" si="414"/>
        <v>0</v>
      </c>
      <c r="AO84" s="91">
        <f t="shared" si="414"/>
        <v>0</v>
      </c>
      <c r="AP84" s="91">
        <f t="shared" si="414"/>
        <v>0</v>
      </c>
      <c r="AQ84" s="91">
        <f t="shared" si="414"/>
        <v>0</v>
      </c>
      <c r="AR84" s="91">
        <f t="shared" si="414"/>
        <v>0</v>
      </c>
      <c r="AS84" s="91">
        <f t="shared" si="414"/>
        <v>0</v>
      </c>
      <c r="AT84" s="91">
        <f t="shared" si="414"/>
        <v>0</v>
      </c>
      <c r="AU84" s="91">
        <f t="shared" si="414"/>
        <v>0</v>
      </c>
      <c r="AV84" s="91">
        <f t="shared" si="414"/>
        <v>0</v>
      </c>
      <c r="AW84" s="91">
        <f t="shared" si="414"/>
        <v>0</v>
      </c>
      <c r="AX84" s="91">
        <f t="shared" si="414"/>
        <v>0</v>
      </c>
      <c r="AY84" s="163">
        <f t="shared" si="414"/>
        <v>0</v>
      </c>
      <c r="AZ84" s="91">
        <f t="shared" si="414"/>
        <v>0</v>
      </c>
      <c r="BA84" s="91">
        <f t="shared" si="414"/>
        <v>0</v>
      </c>
      <c r="BB84" s="91">
        <f t="shared" si="414"/>
        <v>0</v>
      </c>
      <c r="BC84" s="91">
        <f t="shared" si="414"/>
        <v>0</v>
      </c>
      <c r="BD84" s="91">
        <f t="shared" si="414"/>
        <v>0</v>
      </c>
      <c r="BE84" s="91">
        <f t="shared" si="414"/>
        <v>0</v>
      </c>
      <c r="BF84" s="91">
        <f t="shared" si="414"/>
        <v>0</v>
      </c>
      <c r="BG84" s="91">
        <f t="shared" si="414"/>
        <v>0</v>
      </c>
      <c r="BH84" s="91">
        <f t="shared" si="414"/>
        <v>0</v>
      </c>
      <c r="BI84" s="91">
        <f t="shared" si="414"/>
        <v>0</v>
      </c>
      <c r="BJ84" s="91">
        <f t="shared" si="414"/>
        <v>0</v>
      </c>
      <c r="BK84" s="163">
        <f t="shared" si="414"/>
        <v>0</v>
      </c>
      <c r="BL84" s="91">
        <f t="shared" si="414"/>
        <v>0</v>
      </c>
      <c r="BM84" s="91">
        <f t="shared" si="414"/>
        <v>0</v>
      </c>
      <c r="BN84" s="91">
        <f t="shared" si="414"/>
        <v>0</v>
      </c>
      <c r="BO84" s="91">
        <f t="shared" si="414"/>
        <v>0</v>
      </c>
      <c r="BP84" s="91">
        <f t="shared" si="414"/>
        <v>0</v>
      </c>
      <c r="BQ84" s="91">
        <f t="shared" si="414"/>
        <v>0</v>
      </c>
      <c r="BR84" s="91">
        <f t="shared" si="414"/>
        <v>0</v>
      </c>
      <c r="BS84" s="91">
        <f t="shared" si="414"/>
        <v>0</v>
      </c>
      <c r="BT84" s="91">
        <f t="shared" si="414"/>
        <v>0</v>
      </c>
      <c r="BU84" s="91">
        <f t="shared" si="414"/>
        <v>0</v>
      </c>
      <c r="BV84" s="91">
        <f t="shared" si="414"/>
        <v>0</v>
      </c>
      <c r="BW84" s="163">
        <f t="shared" si="414"/>
        <v>0</v>
      </c>
      <c r="BX84" s="91">
        <f t="shared" si="414"/>
        <v>0</v>
      </c>
      <c r="BY84" s="91">
        <f t="shared" si="414"/>
        <v>0</v>
      </c>
      <c r="BZ84" s="91">
        <f t="shared" si="414"/>
        <v>0</v>
      </c>
      <c r="CA84" s="91">
        <f t="shared" si="414"/>
        <v>0</v>
      </c>
      <c r="CB84" s="91">
        <f t="shared" ref="CB84:DG84" si="415">CA84</f>
        <v>0</v>
      </c>
      <c r="CC84" s="91">
        <f t="shared" si="415"/>
        <v>0</v>
      </c>
      <c r="CD84" s="91">
        <f t="shared" si="415"/>
        <v>0</v>
      </c>
      <c r="CE84" s="91">
        <f t="shared" si="415"/>
        <v>0</v>
      </c>
      <c r="CF84" s="91">
        <f t="shared" si="415"/>
        <v>0</v>
      </c>
      <c r="CG84" s="91">
        <f t="shared" si="415"/>
        <v>0</v>
      </c>
      <c r="CH84" s="91">
        <f t="shared" si="415"/>
        <v>0</v>
      </c>
      <c r="CI84" s="163">
        <f t="shared" si="415"/>
        <v>0</v>
      </c>
      <c r="CJ84" s="91">
        <f t="shared" si="415"/>
        <v>0</v>
      </c>
      <c r="CK84" s="91">
        <f t="shared" si="415"/>
        <v>0</v>
      </c>
      <c r="CL84" s="91">
        <f t="shared" si="415"/>
        <v>0</v>
      </c>
      <c r="CM84" s="91">
        <f t="shared" si="415"/>
        <v>0</v>
      </c>
      <c r="CN84" s="91">
        <f t="shared" si="415"/>
        <v>0</v>
      </c>
      <c r="CO84" s="91">
        <f t="shared" si="415"/>
        <v>0</v>
      </c>
      <c r="CP84" s="91">
        <f t="shared" si="415"/>
        <v>0</v>
      </c>
      <c r="CQ84" s="91">
        <f t="shared" si="415"/>
        <v>0</v>
      </c>
      <c r="CR84" s="91">
        <f t="shared" si="415"/>
        <v>0</v>
      </c>
      <c r="CS84" s="91">
        <f t="shared" si="415"/>
        <v>0</v>
      </c>
      <c r="CT84" s="91">
        <f t="shared" si="415"/>
        <v>0</v>
      </c>
      <c r="CU84" s="163">
        <f t="shared" si="415"/>
        <v>0</v>
      </c>
      <c r="CV84" s="91">
        <f t="shared" si="415"/>
        <v>0</v>
      </c>
      <c r="CW84" s="91">
        <f t="shared" si="415"/>
        <v>0</v>
      </c>
      <c r="CX84" s="91">
        <f t="shared" si="415"/>
        <v>0</v>
      </c>
      <c r="CY84" s="91">
        <f t="shared" si="415"/>
        <v>0</v>
      </c>
      <c r="CZ84" s="91">
        <f t="shared" si="415"/>
        <v>0</v>
      </c>
      <c r="DA84" s="91">
        <f t="shared" si="415"/>
        <v>0</v>
      </c>
      <c r="DB84" s="91">
        <f t="shared" si="415"/>
        <v>0</v>
      </c>
      <c r="DC84" s="91">
        <f t="shared" si="415"/>
        <v>0</v>
      </c>
      <c r="DD84" s="91">
        <f t="shared" si="415"/>
        <v>0</v>
      </c>
      <c r="DE84" s="91">
        <f t="shared" si="415"/>
        <v>0</v>
      </c>
      <c r="DF84" s="91">
        <f t="shared" si="415"/>
        <v>0</v>
      </c>
      <c r="DG84" s="91">
        <f t="shared" si="415"/>
        <v>0</v>
      </c>
    </row>
    <row r="85" spans="1:111" x14ac:dyDescent="0.3">
      <c r="A85" s="5"/>
      <c r="B85" s="6" t="s">
        <v>10</v>
      </c>
      <c r="C85" s="6"/>
      <c r="D85" s="37"/>
      <c r="E85" s="37"/>
      <c r="F85" s="37"/>
      <c r="G85" s="37"/>
      <c r="H85" s="37"/>
      <c r="I85" s="37"/>
      <c r="J85" s="37"/>
      <c r="K85" s="37"/>
      <c r="L85" s="37"/>
      <c r="M85" s="36"/>
      <c r="N85" s="36"/>
      <c r="O85" s="36"/>
      <c r="P85" s="36">
        <f t="shared" ref="P85:W85" si="416">P84</f>
        <v>0</v>
      </c>
      <c r="Q85" s="36">
        <f t="shared" si="416"/>
        <v>0</v>
      </c>
      <c r="R85" s="36">
        <f t="shared" si="416"/>
        <v>0</v>
      </c>
      <c r="S85" s="36">
        <f t="shared" si="416"/>
        <v>0</v>
      </c>
      <c r="T85" s="36">
        <f t="shared" si="416"/>
        <v>0</v>
      </c>
      <c r="U85" s="36">
        <f t="shared" si="416"/>
        <v>0</v>
      </c>
      <c r="V85" s="36">
        <f t="shared" si="416"/>
        <v>0</v>
      </c>
      <c r="W85" s="36">
        <f t="shared" si="416"/>
        <v>0</v>
      </c>
      <c r="X85" s="36">
        <f t="shared" ref="X85:Y85" si="417">X84</f>
        <v>0</v>
      </c>
      <c r="Y85" s="36">
        <f t="shared" si="417"/>
        <v>0</v>
      </c>
      <c r="Z85" s="36">
        <f t="shared" ref="Z85" si="418">Z84</f>
        <v>0</v>
      </c>
      <c r="AA85" s="36">
        <f t="shared" ref="AA85:AB85" si="419">AA84</f>
        <v>0</v>
      </c>
      <c r="AB85" s="36">
        <f t="shared" si="419"/>
        <v>0</v>
      </c>
      <c r="AC85" s="36">
        <f t="shared" ref="AC85" si="420">AC84</f>
        <v>0</v>
      </c>
      <c r="AD85" s="36">
        <f t="shared" ref="AD85:AE85" si="421">AD84</f>
        <v>0</v>
      </c>
      <c r="AE85" s="36">
        <f t="shared" si="421"/>
        <v>0</v>
      </c>
      <c r="AF85" s="36">
        <f t="shared" ref="AF85:AG85" si="422">AF84</f>
        <v>0</v>
      </c>
      <c r="AG85" s="36">
        <f t="shared" si="422"/>
        <v>0</v>
      </c>
      <c r="AH85" s="36">
        <f t="shared" ref="AH85:AI85" si="423">AH84</f>
        <v>300</v>
      </c>
      <c r="AI85" s="36">
        <f t="shared" si="423"/>
        <v>0</v>
      </c>
      <c r="AJ85" s="167">
        <f t="shared" ref="AJ85" si="424">AJ84</f>
        <v>300</v>
      </c>
      <c r="AK85" s="36">
        <f t="shared" ref="AK85" si="425">AK84</f>
        <v>0</v>
      </c>
      <c r="AL85" s="36">
        <f t="shared" ref="AL85:BZ85" si="426">AL84</f>
        <v>0</v>
      </c>
      <c r="AM85" s="167">
        <f t="shared" si="426"/>
        <v>0</v>
      </c>
      <c r="AN85" s="36">
        <f t="shared" si="426"/>
        <v>0</v>
      </c>
      <c r="AO85" s="36">
        <f t="shared" si="426"/>
        <v>0</v>
      </c>
      <c r="AP85" s="36">
        <f t="shared" si="426"/>
        <v>0</v>
      </c>
      <c r="AQ85" s="36">
        <f t="shared" si="426"/>
        <v>0</v>
      </c>
      <c r="AR85" s="36">
        <f t="shared" si="426"/>
        <v>0</v>
      </c>
      <c r="AS85" s="36">
        <f t="shared" si="426"/>
        <v>0</v>
      </c>
      <c r="AT85" s="36">
        <f t="shared" si="426"/>
        <v>0</v>
      </c>
      <c r="AU85" s="36">
        <f t="shared" si="426"/>
        <v>0</v>
      </c>
      <c r="AV85" s="36">
        <f t="shared" si="426"/>
        <v>0</v>
      </c>
      <c r="AW85" s="36">
        <f t="shared" si="426"/>
        <v>0</v>
      </c>
      <c r="AX85" s="36">
        <f t="shared" si="426"/>
        <v>0</v>
      </c>
      <c r="AY85" s="167">
        <f t="shared" si="426"/>
        <v>0</v>
      </c>
      <c r="AZ85" s="36">
        <f t="shared" si="426"/>
        <v>0</v>
      </c>
      <c r="BA85" s="36">
        <f t="shared" si="426"/>
        <v>0</v>
      </c>
      <c r="BB85" s="36">
        <f t="shared" si="426"/>
        <v>0</v>
      </c>
      <c r="BC85" s="36">
        <f t="shared" si="426"/>
        <v>0</v>
      </c>
      <c r="BD85" s="36">
        <f t="shared" si="426"/>
        <v>0</v>
      </c>
      <c r="BE85" s="36">
        <f t="shared" si="426"/>
        <v>0</v>
      </c>
      <c r="BF85" s="36">
        <f t="shared" si="426"/>
        <v>0</v>
      </c>
      <c r="BG85" s="36">
        <f t="shared" si="426"/>
        <v>0</v>
      </c>
      <c r="BH85" s="36">
        <f t="shared" si="426"/>
        <v>0</v>
      </c>
      <c r="BI85" s="36">
        <f t="shared" si="426"/>
        <v>0</v>
      </c>
      <c r="BJ85" s="36">
        <f t="shared" si="426"/>
        <v>0</v>
      </c>
      <c r="BK85" s="167">
        <f t="shared" si="426"/>
        <v>0</v>
      </c>
      <c r="BL85" s="36">
        <f t="shared" si="426"/>
        <v>0</v>
      </c>
      <c r="BM85" s="36">
        <f t="shared" si="426"/>
        <v>0</v>
      </c>
      <c r="BN85" s="36">
        <f t="shared" si="426"/>
        <v>0</v>
      </c>
      <c r="BO85" s="36">
        <f t="shared" si="426"/>
        <v>0</v>
      </c>
      <c r="BP85" s="36">
        <f t="shared" si="426"/>
        <v>0</v>
      </c>
      <c r="BQ85" s="36">
        <f t="shared" si="426"/>
        <v>0</v>
      </c>
      <c r="BR85" s="36">
        <f t="shared" si="426"/>
        <v>0</v>
      </c>
      <c r="BS85" s="36">
        <f t="shared" si="426"/>
        <v>0</v>
      </c>
      <c r="BT85" s="36">
        <f t="shared" si="426"/>
        <v>0</v>
      </c>
      <c r="BU85" s="36">
        <f t="shared" si="426"/>
        <v>0</v>
      </c>
      <c r="BV85" s="36">
        <f t="shared" si="426"/>
        <v>0</v>
      </c>
      <c r="BW85" s="167">
        <f t="shared" si="426"/>
        <v>0</v>
      </c>
      <c r="BX85" s="36">
        <f t="shared" si="426"/>
        <v>0</v>
      </c>
      <c r="BY85" s="36">
        <f t="shared" si="426"/>
        <v>0</v>
      </c>
      <c r="BZ85" s="36">
        <f t="shared" si="426"/>
        <v>0</v>
      </c>
      <c r="CA85" s="36">
        <f t="shared" ref="CA85:DG85" si="427">CA84</f>
        <v>0</v>
      </c>
      <c r="CB85" s="36">
        <f t="shared" si="427"/>
        <v>0</v>
      </c>
      <c r="CC85" s="36">
        <f t="shared" si="427"/>
        <v>0</v>
      </c>
      <c r="CD85" s="36">
        <f t="shared" si="427"/>
        <v>0</v>
      </c>
      <c r="CE85" s="36">
        <f t="shared" si="427"/>
        <v>0</v>
      </c>
      <c r="CF85" s="36">
        <f t="shared" si="427"/>
        <v>0</v>
      </c>
      <c r="CG85" s="36">
        <f t="shared" si="427"/>
        <v>0</v>
      </c>
      <c r="CH85" s="36">
        <f t="shared" si="427"/>
        <v>0</v>
      </c>
      <c r="CI85" s="167">
        <f t="shared" si="427"/>
        <v>0</v>
      </c>
      <c r="CJ85" s="36">
        <f t="shared" si="427"/>
        <v>0</v>
      </c>
      <c r="CK85" s="36">
        <f t="shared" si="427"/>
        <v>0</v>
      </c>
      <c r="CL85" s="36">
        <f t="shared" si="427"/>
        <v>0</v>
      </c>
      <c r="CM85" s="36">
        <f t="shared" si="427"/>
        <v>0</v>
      </c>
      <c r="CN85" s="36">
        <f t="shared" si="427"/>
        <v>0</v>
      </c>
      <c r="CO85" s="36">
        <f t="shared" si="427"/>
        <v>0</v>
      </c>
      <c r="CP85" s="36">
        <f t="shared" si="427"/>
        <v>0</v>
      </c>
      <c r="CQ85" s="36">
        <f t="shared" si="427"/>
        <v>0</v>
      </c>
      <c r="CR85" s="36">
        <f t="shared" si="427"/>
        <v>0</v>
      </c>
      <c r="CS85" s="36">
        <f t="shared" si="427"/>
        <v>0</v>
      </c>
      <c r="CT85" s="36">
        <f t="shared" si="427"/>
        <v>0</v>
      </c>
      <c r="CU85" s="167">
        <f t="shared" si="427"/>
        <v>0</v>
      </c>
      <c r="CV85" s="36">
        <f t="shared" si="427"/>
        <v>0</v>
      </c>
      <c r="CW85" s="36">
        <f t="shared" si="427"/>
        <v>0</v>
      </c>
      <c r="CX85" s="36">
        <f t="shared" si="427"/>
        <v>0</v>
      </c>
      <c r="CY85" s="36">
        <f t="shared" si="427"/>
        <v>0</v>
      </c>
      <c r="CZ85" s="36">
        <f t="shared" si="427"/>
        <v>0</v>
      </c>
      <c r="DA85" s="36">
        <f t="shared" si="427"/>
        <v>0</v>
      </c>
      <c r="DB85" s="36">
        <f t="shared" si="427"/>
        <v>0</v>
      </c>
      <c r="DC85" s="36">
        <f t="shared" si="427"/>
        <v>0</v>
      </c>
      <c r="DD85" s="36">
        <f t="shared" si="427"/>
        <v>0</v>
      </c>
      <c r="DE85" s="36">
        <f t="shared" si="427"/>
        <v>0</v>
      </c>
      <c r="DF85" s="36">
        <f t="shared" si="427"/>
        <v>0</v>
      </c>
      <c r="DG85" s="36">
        <f t="shared" si="427"/>
        <v>0</v>
      </c>
    </row>
    <row r="86" spans="1:111" x14ac:dyDescent="0.3">
      <c r="A86" s="3"/>
      <c r="B86" s="4" t="s">
        <v>265</v>
      </c>
      <c r="C86" s="4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>
        <v>29.19</v>
      </c>
      <c r="V86" s="37">
        <v>99.23</v>
      </c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164"/>
      <c r="AK86" s="37"/>
      <c r="AL86" s="37"/>
      <c r="AM86" s="164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164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164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164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164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164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</row>
    <row r="87" spans="1:111" x14ac:dyDescent="0.3">
      <c r="A87" t="s">
        <v>265</v>
      </c>
      <c r="B87" s="1" t="s">
        <v>332</v>
      </c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X87" s="39"/>
      <c r="Y87" s="39"/>
      <c r="Z87" s="39">
        <v>549</v>
      </c>
      <c r="AA87" s="39">
        <v>-549</v>
      </c>
      <c r="AB87" s="39"/>
      <c r="AC87" s="39"/>
      <c r="AD87" s="39"/>
      <c r="AE87" s="39"/>
      <c r="AF87" s="39"/>
      <c r="AG87" s="39"/>
      <c r="AH87" s="39"/>
      <c r="AI87" s="39"/>
      <c r="AJ87" s="165"/>
      <c r="AK87" s="540">
        <v>0</v>
      </c>
      <c r="AL87" s="91">
        <f t="shared" ref="AL87" si="428">AK87</f>
        <v>0</v>
      </c>
      <c r="AM87" s="163">
        <f t="shared" ref="AM87" si="429">AL87</f>
        <v>0</v>
      </c>
      <c r="AN87" s="91">
        <f t="shared" ref="AN87" si="430">AM87</f>
        <v>0</v>
      </c>
      <c r="AO87" s="91">
        <f t="shared" ref="AO87" si="431">AN87</f>
        <v>0</v>
      </c>
      <c r="AP87" s="91">
        <f t="shared" ref="AP87" si="432">AO87</f>
        <v>0</v>
      </c>
      <c r="AQ87" s="91">
        <f t="shared" ref="AQ87" si="433">AP87</f>
        <v>0</v>
      </c>
      <c r="AR87" s="91">
        <f t="shared" ref="AR87" si="434">AQ87</f>
        <v>0</v>
      </c>
      <c r="AS87" s="91">
        <f t="shared" ref="AS87" si="435">AR87</f>
        <v>0</v>
      </c>
      <c r="AT87" s="91">
        <f t="shared" ref="AT87" si="436">AS87</f>
        <v>0</v>
      </c>
      <c r="AU87" s="91">
        <f t="shared" ref="AU87" si="437">AT87</f>
        <v>0</v>
      </c>
      <c r="AV87" s="91">
        <f t="shared" ref="AV87" si="438">AU87</f>
        <v>0</v>
      </c>
      <c r="AW87" s="91">
        <f t="shared" ref="AW87" si="439">AV87</f>
        <v>0</v>
      </c>
      <c r="AX87" s="91">
        <f t="shared" ref="AX87" si="440">AW87</f>
        <v>0</v>
      </c>
      <c r="AY87" s="163">
        <f t="shared" ref="AY87" si="441">AX87</f>
        <v>0</v>
      </c>
      <c r="AZ87" s="91">
        <f t="shared" ref="AZ87" si="442">AY87</f>
        <v>0</v>
      </c>
      <c r="BA87" s="91">
        <f t="shared" ref="BA87" si="443">AZ87</f>
        <v>0</v>
      </c>
      <c r="BB87" s="91">
        <f t="shared" ref="BB87" si="444">BA87</f>
        <v>0</v>
      </c>
      <c r="BC87" s="91">
        <f t="shared" ref="BC87" si="445">BB87</f>
        <v>0</v>
      </c>
      <c r="BD87" s="91">
        <f t="shared" ref="BD87" si="446">BC87</f>
        <v>0</v>
      </c>
      <c r="BE87" s="91">
        <f t="shared" ref="BE87" si="447">BD87</f>
        <v>0</v>
      </c>
      <c r="BF87" s="91">
        <f t="shared" ref="BF87" si="448">BE87</f>
        <v>0</v>
      </c>
      <c r="BG87" s="91">
        <f t="shared" ref="BG87" si="449">BF87</f>
        <v>0</v>
      </c>
      <c r="BH87" s="91">
        <f t="shared" ref="BH87" si="450">BG87</f>
        <v>0</v>
      </c>
      <c r="BI87" s="91">
        <f t="shared" ref="BI87" si="451">BH87</f>
        <v>0</v>
      </c>
      <c r="BJ87" s="91">
        <f t="shared" ref="BJ87" si="452">BI87</f>
        <v>0</v>
      </c>
      <c r="BK87" s="163">
        <f t="shared" ref="BK87" si="453">BJ87</f>
        <v>0</v>
      </c>
      <c r="BL87" s="91">
        <f t="shared" ref="BL87" si="454">BK87</f>
        <v>0</v>
      </c>
      <c r="BM87" s="91">
        <f t="shared" ref="BM87" si="455">BL87</f>
        <v>0</v>
      </c>
      <c r="BN87" s="91">
        <f t="shared" ref="BN87" si="456">BM87</f>
        <v>0</v>
      </c>
      <c r="BO87" s="91">
        <f t="shared" ref="BO87" si="457">BN87</f>
        <v>0</v>
      </c>
      <c r="BP87" s="91">
        <f t="shared" ref="BP87" si="458">BO87</f>
        <v>0</v>
      </c>
      <c r="BQ87" s="91">
        <f t="shared" ref="BQ87" si="459">BP87</f>
        <v>0</v>
      </c>
      <c r="BR87" s="91">
        <f t="shared" ref="BR87" si="460">BQ87</f>
        <v>0</v>
      </c>
      <c r="BS87" s="91">
        <f t="shared" ref="BS87" si="461">BR87</f>
        <v>0</v>
      </c>
      <c r="BT87" s="91">
        <f t="shared" ref="BT87" si="462">BS87</f>
        <v>0</v>
      </c>
      <c r="BU87" s="91">
        <f t="shared" ref="BU87" si="463">BT87</f>
        <v>0</v>
      </c>
      <c r="BV87" s="91">
        <f t="shared" ref="BV87" si="464">BU87</f>
        <v>0</v>
      </c>
      <c r="BW87" s="163">
        <f t="shared" ref="BW87" si="465">BV87</f>
        <v>0</v>
      </c>
      <c r="BX87" s="91">
        <f t="shared" ref="BX87" si="466">BW87</f>
        <v>0</v>
      </c>
      <c r="BY87" s="91">
        <f t="shared" ref="BY87" si="467">BX87</f>
        <v>0</v>
      </c>
      <c r="BZ87" s="91">
        <f t="shared" ref="BZ87" si="468">BY87</f>
        <v>0</v>
      </c>
      <c r="CA87" s="91">
        <f t="shared" ref="CA87" si="469">BZ87</f>
        <v>0</v>
      </c>
      <c r="CB87" s="91">
        <f t="shared" ref="CB87" si="470">CA87</f>
        <v>0</v>
      </c>
      <c r="CC87" s="91">
        <f t="shared" ref="CC87" si="471">CB87</f>
        <v>0</v>
      </c>
      <c r="CD87" s="91">
        <f t="shared" ref="CD87" si="472">CC87</f>
        <v>0</v>
      </c>
      <c r="CE87" s="91">
        <f t="shared" ref="CE87" si="473">CD87</f>
        <v>0</v>
      </c>
      <c r="CF87" s="91">
        <f t="shared" ref="CF87" si="474">CE87</f>
        <v>0</v>
      </c>
      <c r="CG87" s="91">
        <f t="shared" ref="CG87" si="475">CF87</f>
        <v>0</v>
      </c>
      <c r="CH87" s="91">
        <f t="shared" ref="CH87" si="476">CG87</f>
        <v>0</v>
      </c>
      <c r="CI87" s="163">
        <f t="shared" ref="CI87" si="477">CH87</f>
        <v>0</v>
      </c>
      <c r="CJ87" s="91">
        <f t="shared" ref="CJ87" si="478">CI87</f>
        <v>0</v>
      </c>
      <c r="CK87" s="91">
        <f t="shared" ref="CK87" si="479">CJ87</f>
        <v>0</v>
      </c>
      <c r="CL87" s="91">
        <f t="shared" ref="CL87" si="480">CK87</f>
        <v>0</v>
      </c>
      <c r="CM87" s="91">
        <f t="shared" ref="CM87" si="481">CL87</f>
        <v>0</v>
      </c>
      <c r="CN87" s="91">
        <f t="shared" ref="CN87" si="482">CM87</f>
        <v>0</v>
      </c>
      <c r="CO87" s="91">
        <f t="shared" ref="CO87" si="483">CN87</f>
        <v>0</v>
      </c>
      <c r="CP87" s="91">
        <f t="shared" ref="CP87" si="484">CO87</f>
        <v>0</v>
      </c>
      <c r="CQ87" s="91">
        <f t="shared" ref="CQ87" si="485">CP87</f>
        <v>0</v>
      </c>
      <c r="CR87" s="91">
        <f t="shared" ref="CR87" si="486">CQ87</f>
        <v>0</v>
      </c>
      <c r="CS87" s="91">
        <f t="shared" ref="CS87" si="487">CR87</f>
        <v>0</v>
      </c>
      <c r="CT87" s="91">
        <f t="shared" ref="CT87" si="488">CS87</f>
        <v>0</v>
      </c>
      <c r="CU87" s="163">
        <f t="shared" ref="CU87" si="489">CT87</f>
        <v>0</v>
      </c>
      <c r="CV87" s="91">
        <f t="shared" ref="CV87" si="490">CU87</f>
        <v>0</v>
      </c>
      <c r="CW87" s="91">
        <f t="shared" ref="CW87" si="491">CV87</f>
        <v>0</v>
      </c>
      <c r="CX87" s="91">
        <f t="shared" ref="CX87" si="492">CW87</f>
        <v>0</v>
      </c>
      <c r="CY87" s="91">
        <f t="shared" ref="CY87" si="493">CX87</f>
        <v>0</v>
      </c>
      <c r="CZ87" s="91">
        <f t="shared" ref="CZ87" si="494">CY87</f>
        <v>0</v>
      </c>
      <c r="DA87" s="91">
        <f t="shared" ref="DA87" si="495">CZ87</f>
        <v>0</v>
      </c>
      <c r="DB87" s="91">
        <f t="shared" ref="DB87" si="496">DA87</f>
        <v>0</v>
      </c>
      <c r="DC87" s="91">
        <f t="shared" ref="DC87" si="497">DB87</f>
        <v>0</v>
      </c>
      <c r="DD87" s="91">
        <f t="shared" ref="DD87" si="498">DC87</f>
        <v>0</v>
      </c>
      <c r="DE87" s="91">
        <f t="shared" ref="DE87" si="499">DD87</f>
        <v>0</v>
      </c>
      <c r="DF87" s="91">
        <f t="shared" ref="DF87" si="500">DE87</f>
        <v>0</v>
      </c>
      <c r="DG87" s="91">
        <f t="shared" ref="DG87" si="501">DF87</f>
        <v>0</v>
      </c>
    </row>
    <row r="88" spans="1:111" x14ac:dyDescent="0.3">
      <c r="A88" s="283"/>
      <c r="B88" s="284" t="s">
        <v>11</v>
      </c>
      <c r="C88" s="284"/>
      <c r="D88" s="39"/>
      <c r="E88" s="39">
        <f t="shared" ref="E88" si="502">E85-E87</f>
        <v>0</v>
      </c>
      <c r="F88" s="39">
        <f t="shared" ref="F88" si="503">F85-F87</f>
        <v>0</v>
      </c>
      <c r="G88" s="39">
        <f t="shared" ref="G88" si="504">G85-G87</f>
        <v>0</v>
      </c>
      <c r="H88" s="39">
        <f t="shared" ref="H88" si="505">H85-H87</f>
        <v>0</v>
      </c>
      <c r="I88" s="39">
        <f t="shared" ref="I88" si="506">I85-I87</f>
        <v>0</v>
      </c>
      <c r="J88" s="39">
        <f t="shared" ref="J88" si="507">J85-J87</f>
        <v>0</v>
      </c>
      <c r="K88" s="39">
        <f t="shared" ref="K88" si="508">K85-K87</f>
        <v>0</v>
      </c>
      <c r="L88" s="39">
        <f t="shared" ref="L88" si="509">L85-L87</f>
        <v>0</v>
      </c>
      <c r="M88" s="38">
        <f t="shared" ref="M88" si="510">M85-M87</f>
        <v>0</v>
      </c>
      <c r="N88" s="38">
        <f t="shared" ref="N88" si="511">N85-N87</f>
        <v>0</v>
      </c>
      <c r="O88" s="38">
        <f t="shared" ref="O88" si="512">O85-O87</f>
        <v>0</v>
      </c>
      <c r="P88" s="38">
        <f t="shared" ref="P88:S88" si="513">P85-P87</f>
        <v>0</v>
      </c>
      <c r="Q88" s="38">
        <f t="shared" si="513"/>
        <v>0</v>
      </c>
      <c r="R88" s="38">
        <f t="shared" si="513"/>
        <v>0</v>
      </c>
      <c r="S88" s="38">
        <f t="shared" si="513"/>
        <v>0</v>
      </c>
      <c r="T88" s="38">
        <f>T85-SUM(T86:T87)</f>
        <v>0</v>
      </c>
      <c r="U88" s="38">
        <f>U85-SUM(U86:U87)</f>
        <v>-29.19</v>
      </c>
      <c r="V88" s="38">
        <f t="shared" ref="V88:CG88" si="514">V85-SUM(V86:V87)</f>
        <v>-99.23</v>
      </c>
      <c r="W88" s="38">
        <f t="shared" si="514"/>
        <v>0</v>
      </c>
      <c r="X88" s="38">
        <f t="shared" si="514"/>
        <v>0</v>
      </c>
      <c r="Y88" s="38">
        <f t="shared" si="514"/>
        <v>0</v>
      </c>
      <c r="Z88" s="38">
        <f t="shared" si="514"/>
        <v>-549</v>
      </c>
      <c r="AA88" s="38">
        <f t="shared" si="514"/>
        <v>549</v>
      </c>
      <c r="AB88" s="38">
        <f t="shared" si="514"/>
        <v>0</v>
      </c>
      <c r="AC88" s="38">
        <f t="shared" si="514"/>
        <v>0</v>
      </c>
      <c r="AD88" s="38">
        <f t="shared" si="514"/>
        <v>0</v>
      </c>
      <c r="AE88" s="38">
        <f t="shared" si="514"/>
        <v>0</v>
      </c>
      <c r="AF88" s="38">
        <f t="shared" ref="AF88:AG88" si="515">AF85-SUM(AF86:AF87)</f>
        <v>0</v>
      </c>
      <c r="AG88" s="38">
        <f t="shared" si="515"/>
        <v>0</v>
      </c>
      <c r="AH88" s="38">
        <f t="shared" ref="AH88:AI88" si="516">AH85-SUM(AH86:AH87)</f>
        <v>300</v>
      </c>
      <c r="AI88" s="38">
        <f t="shared" si="516"/>
        <v>0</v>
      </c>
      <c r="AJ88" s="285">
        <f t="shared" ref="AJ88" si="517">AJ85-SUM(AJ86:AJ87)</f>
        <v>300</v>
      </c>
      <c r="AK88" s="38">
        <f t="shared" ref="AK88" si="518">AK85-SUM(AK86:AK87)</f>
        <v>0</v>
      </c>
      <c r="AL88" s="38">
        <f t="shared" si="514"/>
        <v>0</v>
      </c>
      <c r="AM88" s="285">
        <f t="shared" si="514"/>
        <v>0</v>
      </c>
      <c r="AN88" s="38">
        <f t="shared" si="514"/>
        <v>0</v>
      </c>
      <c r="AO88" s="38">
        <f t="shared" si="514"/>
        <v>0</v>
      </c>
      <c r="AP88" s="38">
        <f t="shared" si="514"/>
        <v>0</v>
      </c>
      <c r="AQ88" s="38">
        <f t="shared" si="514"/>
        <v>0</v>
      </c>
      <c r="AR88" s="38">
        <f t="shared" si="514"/>
        <v>0</v>
      </c>
      <c r="AS88" s="38">
        <f t="shared" si="514"/>
        <v>0</v>
      </c>
      <c r="AT88" s="38">
        <f t="shared" si="514"/>
        <v>0</v>
      </c>
      <c r="AU88" s="38">
        <f t="shared" si="514"/>
        <v>0</v>
      </c>
      <c r="AV88" s="38">
        <f t="shared" si="514"/>
        <v>0</v>
      </c>
      <c r="AW88" s="38">
        <f t="shared" si="514"/>
        <v>0</v>
      </c>
      <c r="AX88" s="38">
        <f t="shared" si="514"/>
        <v>0</v>
      </c>
      <c r="AY88" s="285">
        <f t="shared" si="514"/>
        <v>0</v>
      </c>
      <c r="AZ88" s="38">
        <f t="shared" si="514"/>
        <v>0</v>
      </c>
      <c r="BA88" s="38">
        <f t="shared" si="514"/>
        <v>0</v>
      </c>
      <c r="BB88" s="38">
        <f t="shared" si="514"/>
        <v>0</v>
      </c>
      <c r="BC88" s="38">
        <f t="shared" si="514"/>
        <v>0</v>
      </c>
      <c r="BD88" s="38">
        <f t="shared" si="514"/>
        <v>0</v>
      </c>
      <c r="BE88" s="38">
        <f t="shared" si="514"/>
        <v>0</v>
      </c>
      <c r="BF88" s="38">
        <f t="shared" si="514"/>
        <v>0</v>
      </c>
      <c r="BG88" s="38">
        <f t="shared" si="514"/>
        <v>0</v>
      </c>
      <c r="BH88" s="38">
        <f t="shared" si="514"/>
        <v>0</v>
      </c>
      <c r="BI88" s="38">
        <f t="shared" si="514"/>
        <v>0</v>
      </c>
      <c r="BJ88" s="38">
        <f t="shared" si="514"/>
        <v>0</v>
      </c>
      <c r="BK88" s="285">
        <f t="shared" si="514"/>
        <v>0</v>
      </c>
      <c r="BL88" s="38">
        <f t="shared" si="514"/>
        <v>0</v>
      </c>
      <c r="BM88" s="38">
        <f t="shared" si="514"/>
        <v>0</v>
      </c>
      <c r="BN88" s="38">
        <f t="shared" si="514"/>
        <v>0</v>
      </c>
      <c r="BO88" s="38">
        <f t="shared" si="514"/>
        <v>0</v>
      </c>
      <c r="BP88" s="38">
        <f t="shared" si="514"/>
        <v>0</v>
      </c>
      <c r="BQ88" s="38">
        <f t="shared" si="514"/>
        <v>0</v>
      </c>
      <c r="BR88" s="38">
        <f t="shared" si="514"/>
        <v>0</v>
      </c>
      <c r="BS88" s="38">
        <f t="shared" si="514"/>
        <v>0</v>
      </c>
      <c r="BT88" s="38">
        <f t="shared" si="514"/>
        <v>0</v>
      </c>
      <c r="BU88" s="38">
        <f t="shared" si="514"/>
        <v>0</v>
      </c>
      <c r="BV88" s="38">
        <f t="shared" si="514"/>
        <v>0</v>
      </c>
      <c r="BW88" s="285">
        <f t="shared" si="514"/>
        <v>0</v>
      </c>
      <c r="BX88" s="38">
        <f t="shared" si="514"/>
        <v>0</v>
      </c>
      <c r="BY88" s="38">
        <f t="shared" si="514"/>
        <v>0</v>
      </c>
      <c r="BZ88" s="38">
        <f t="shared" si="514"/>
        <v>0</v>
      </c>
      <c r="CA88" s="38">
        <f t="shared" si="514"/>
        <v>0</v>
      </c>
      <c r="CB88" s="38">
        <f t="shared" si="514"/>
        <v>0</v>
      </c>
      <c r="CC88" s="38">
        <f t="shared" si="514"/>
        <v>0</v>
      </c>
      <c r="CD88" s="38">
        <f t="shared" si="514"/>
        <v>0</v>
      </c>
      <c r="CE88" s="38">
        <f t="shared" si="514"/>
        <v>0</v>
      </c>
      <c r="CF88" s="38">
        <f t="shared" si="514"/>
        <v>0</v>
      </c>
      <c r="CG88" s="38">
        <f t="shared" si="514"/>
        <v>0</v>
      </c>
      <c r="CH88" s="38">
        <f t="shared" ref="CH88:DG88" si="519">CH85-SUM(CH86:CH87)</f>
        <v>0</v>
      </c>
      <c r="CI88" s="285">
        <f t="shared" si="519"/>
        <v>0</v>
      </c>
      <c r="CJ88" s="38">
        <f t="shared" si="519"/>
        <v>0</v>
      </c>
      <c r="CK88" s="38">
        <f t="shared" si="519"/>
        <v>0</v>
      </c>
      <c r="CL88" s="38">
        <f t="shared" si="519"/>
        <v>0</v>
      </c>
      <c r="CM88" s="38">
        <f t="shared" si="519"/>
        <v>0</v>
      </c>
      <c r="CN88" s="38">
        <f t="shared" si="519"/>
        <v>0</v>
      </c>
      <c r="CO88" s="38">
        <f t="shared" si="519"/>
        <v>0</v>
      </c>
      <c r="CP88" s="38">
        <f t="shared" si="519"/>
        <v>0</v>
      </c>
      <c r="CQ88" s="38">
        <f t="shared" si="519"/>
        <v>0</v>
      </c>
      <c r="CR88" s="38">
        <f t="shared" si="519"/>
        <v>0</v>
      </c>
      <c r="CS88" s="38">
        <f t="shared" si="519"/>
        <v>0</v>
      </c>
      <c r="CT88" s="38">
        <f t="shared" si="519"/>
        <v>0</v>
      </c>
      <c r="CU88" s="285">
        <f t="shared" si="519"/>
        <v>0</v>
      </c>
      <c r="CV88" s="38">
        <f t="shared" si="519"/>
        <v>0</v>
      </c>
      <c r="CW88" s="38">
        <f t="shared" si="519"/>
        <v>0</v>
      </c>
      <c r="CX88" s="38">
        <f t="shared" si="519"/>
        <v>0</v>
      </c>
      <c r="CY88" s="38">
        <f t="shared" si="519"/>
        <v>0</v>
      </c>
      <c r="CZ88" s="38">
        <f t="shared" si="519"/>
        <v>0</v>
      </c>
      <c r="DA88" s="38">
        <f t="shared" si="519"/>
        <v>0</v>
      </c>
      <c r="DB88" s="38">
        <f t="shared" si="519"/>
        <v>0</v>
      </c>
      <c r="DC88" s="38">
        <f t="shared" si="519"/>
        <v>0</v>
      </c>
      <c r="DD88" s="38">
        <f t="shared" si="519"/>
        <v>0</v>
      </c>
      <c r="DE88" s="38">
        <f t="shared" si="519"/>
        <v>0</v>
      </c>
      <c r="DF88" s="38">
        <f t="shared" si="519"/>
        <v>0</v>
      </c>
      <c r="DG88" s="38">
        <f t="shared" si="519"/>
        <v>0</v>
      </c>
    </row>
    <row r="89" spans="1:111" s="3" customFormat="1" x14ac:dyDescent="0.3">
      <c r="B89" s="4" t="s">
        <v>12</v>
      </c>
      <c r="C89" s="4"/>
      <c r="D89" s="37"/>
      <c r="E89" s="37">
        <f t="shared" ref="E89:AE89" si="520">E79+E88</f>
        <v>-12</v>
      </c>
      <c r="F89" s="37">
        <f t="shared" si="520"/>
        <v>-11.83</v>
      </c>
      <c r="G89" s="37">
        <f t="shared" si="520"/>
        <v>-12</v>
      </c>
      <c r="H89" s="37">
        <f t="shared" si="520"/>
        <v>-132</v>
      </c>
      <c r="I89" s="37">
        <f t="shared" si="520"/>
        <v>-817.36</v>
      </c>
      <c r="J89" s="37">
        <f t="shared" si="520"/>
        <v>-12</v>
      </c>
      <c r="K89" s="37">
        <f t="shared" si="520"/>
        <v>-213</v>
      </c>
      <c r="L89" s="37">
        <f t="shared" si="520"/>
        <v>-1880.5</v>
      </c>
      <c r="M89" s="37">
        <f t="shared" si="520"/>
        <v>-263.3</v>
      </c>
      <c r="N89" s="37">
        <f t="shared" si="520"/>
        <v>-223</v>
      </c>
      <c r="O89" s="37">
        <f t="shared" si="520"/>
        <v>-2910.3900000000003</v>
      </c>
      <c r="P89" s="37">
        <f t="shared" si="520"/>
        <v>-1759.16</v>
      </c>
      <c r="Q89" s="37">
        <f t="shared" si="520"/>
        <v>-467.18</v>
      </c>
      <c r="R89" s="37">
        <f t="shared" si="520"/>
        <v>-1525.78</v>
      </c>
      <c r="S89" s="37">
        <f t="shared" si="520"/>
        <v>-598.99</v>
      </c>
      <c r="T89" s="37">
        <f t="shared" si="520"/>
        <v>-2060.8900000000003</v>
      </c>
      <c r="U89" s="37">
        <f t="shared" si="520"/>
        <v>-3880.07</v>
      </c>
      <c r="V89" s="37">
        <f t="shared" si="520"/>
        <v>-2030.9500000000003</v>
      </c>
      <c r="W89" s="37">
        <f t="shared" si="520"/>
        <v>-21628.43</v>
      </c>
      <c r="X89" s="37">
        <f t="shared" si="520"/>
        <v>-4028.06</v>
      </c>
      <c r="Y89" s="37">
        <f t="shared" si="520"/>
        <v>67120.009999999995</v>
      </c>
      <c r="Z89" s="37">
        <f t="shared" si="520"/>
        <v>39897.00999999998</v>
      </c>
      <c r="AA89" s="37">
        <f t="shared" si="520"/>
        <v>11672.430000000004</v>
      </c>
      <c r="AB89" s="37">
        <f t="shared" si="520"/>
        <v>-67320.260000000009</v>
      </c>
      <c r="AC89" s="37">
        <f t="shared" si="520"/>
        <v>92246.720000000001</v>
      </c>
      <c r="AD89" s="37">
        <f t="shared" si="520"/>
        <v>5735.720000000003</v>
      </c>
      <c r="AE89" s="37">
        <f t="shared" si="520"/>
        <v>-28857.11</v>
      </c>
      <c r="AF89" s="37">
        <f t="shared" ref="AF89:AG89" si="521">AF79+AF88</f>
        <v>53032.210000000006</v>
      </c>
      <c r="AG89" s="37">
        <f t="shared" si="521"/>
        <v>-30499.549999999996</v>
      </c>
      <c r="AH89" s="37">
        <f t="shared" ref="AH89:AI89" si="522">AH79+AH88</f>
        <v>-4999.88</v>
      </c>
      <c r="AI89" s="37">
        <f t="shared" si="522"/>
        <v>1880.1499999999996</v>
      </c>
      <c r="AJ89" s="164">
        <f t="shared" ref="AJ89" si="523">AJ79+AJ88</f>
        <v>10866.740000000005</v>
      </c>
      <c r="AK89" s="37">
        <f t="shared" ref="AK89" si="524">AK79+AK88</f>
        <v>60727.900950000003</v>
      </c>
      <c r="AL89" s="37">
        <f t="shared" ref="AL89:BP89" si="525">AL79+AL88</f>
        <v>17355.056666666667</v>
      </c>
      <c r="AM89" s="164">
        <f t="shared" si="525"/>
        <v>85411.14</v>
      </c>
      <c r="AN89" s="37">
        <f t="shared" si="525"/>
        <v>-32068.08336562074</v>
      </c>
      <c r="AO89" s="37">
        <f t="shared" si="525"/>
        <v>-22910.006014035218</v>
      </c>
      <c r="AP89" s="37">
        <f t="shared" si="525"/>
        <v>-55780.309387543879</v>
      </c>
      <c r="AQ89" s="37">
        <f t="shared" si="525"/>
        <v>146869.28405959316</v>
      </c>
      <c r="AR89" s="37">
        <f t="shared" si="525"/>
        <v>112620.00829318321</v>
      </c>
      <c r="AS89" s="37">
        <f t="shared" si="525"/>
        <v>89163.603933585095</v>
      </c>
      <c r="AT89" s="37">
        <f t="shared" si="525"/>
        <v>-142560.15306992445</v>
      </c>
      <c r="AU89" s="37">
        <f t="shared" si="525"/>
        <v>40260.094712670878</v>
      </c>
      <c r="AV89" s="37">
        <f t="shared" si="525"/>
        <v>-75523.907440153998</v>
      </c>
      <c r="AW89" s="37">
        <f t="shared" si="525"/>
        <v>288718.28139332269</v>
      </c>
      <c r="AX89" s="37">
        <f t="shared" si="525"/>
        <v>216877.96267392713</v>
      </c>
      <c r="AY89" s="164">
        <f t="shared" si="525"/>
        <v>-4847.1294351793331</v>
      </c>
      <c r="AZ89" s="37">
        <f t="shared" si="525"/>
        <v>-164145.52283997537</v>
      </c>
      <c r="BA89" s="37">
        <f t="shared" si="525"/>
        <v>111779.46084535235</v>
      </c>
      <c r="BB89" s="37">
        <f t="shared" si="525"/>
        <v>-55497.418378021619</v>
      </c>
      <c r="BC89" s="37">
        <f t="shared" si="525"/>
        <v>50390.904966286551</v>
      </c>
      <c r="BD89" s="37">
        <f t="shared" si="525"/>
        <v>157076.5173858669</v>
      </c>
      <c r="BE89" s="37">
        <f t="shared" si="525"/>
        <v>-42354.865528135961</v>
      </c>
      <c r="BF89" s="37">
        <f t="shared" si="525"/>
        <v>-31676.646578381617</v>
      </c>
      <c r="BG89" s="37">
        <f t="shared" si="525"/>
        <v>-52437.433461417684</v>
      </c>
      <c r="BH89" s="37">
        <f t="shared" si="525"/>
        <v>389627.00916772179</v>
      </c>
      <c r="BI89" s="37">
        <f t="shared" si="525"/>
        <v>383065.90529441781</v>
      </c>
      <c r="BJ89" s="37">
        <f t="shared" si="525"/>
        <v>78090.189640130091</v>
      </c>
      <c r="BK89" s="164">
        <f t="shared" si="525"/>
        <v>-187474.00077419431</v>
      </c>
      <c r="BL89" s="37">
        <f t="shared" si="525"/>
        <v>191201.69815251045</v>
      </c>
      <c r="BM89" s="37">
        <f t="shared" si="525"/>
        <v>-42966.391633980056</v>
      </c>
      <c r="BN89" s="37">
        <f t="shared" si="525"/>
        <v>122651.24148956919</v>
      </c>
      <c r="BO89" s="37">
        <f t="shared" si="525"/>
        <v>-71931.731101573067</v>
      </c>
      <c r="BP89" s="37">
        <f t="shared" si="525"/>
        <v>273178.68575</v>
      </c>
      <c r="BQ89" s="37">
        <f t="shared" ref="BQ89:CV89" si="526">BQ79+BQ88</f>
        <v>-47197.613091097133</v>
      </c>
      <c r="BR89" s="37">
        <f t="shared" si="526"/>
        <v>-33673.773707555389</v>
      </c>
      <c r="BS89" s="37">
        <f t="shared" si="526"/>
        <v>-56692.323367508514</v>
      </c>
      <c r="BT89" s="37">
        <f t="shared" si="526"/>
        <v>545534.53729532799</v>
      </c>
      <c r="BU89" s="37">
        <f t="shared" si="526"/>
        <v>562940.91814653808</v>
      </c>
      <c r="BV89" s="37">
        <f t="shared" si="526"/>
        <v>165598.1854842669</v>
      </c>
      <c r="BW89" s="164">
        <f t="shared" si="526"/>
        <v>-213198.97410863466</v>
      </c>
      <c r="BX89" s="37">
        <f t="shared" si="526"/>
        <v>288498.13265645807</v>
      </c>
      <c r="BY89" s="37">
        <f t="shared" si="526"/>
        <v>-52073.470333928111</v>
      </c>
      <c r="BZ89" s="37">
        <f t="shared" si="526"/>
        <v>209375.5500136725</v>
      </c>
      <c r="CA89" s="37">
        <f t="shared" si="526"/>
        <v>-85493.153840873041</v>
      </c>
      <c r="CB89" s="37">
        <f t="shared" si="526"/>
        <v>312115.85372416663</v>
      </c>
      <c r="CC89" s="37">
        <f t="shared" si="526"/>
        <v>-58516.514080260575</v>
      </c>
      <c r="CD89" s="37">
        <f t="shared" si="526"/>
        <v>-42030.557915901503</v>
      </c>
      <c r="CE89" s="37">
        <f t="shared" si="526"/>
        <v>-70793.080574305364</v>
      </c>
      <c r="CF89" s="37">
        <f t="shared" si="526"/>
        <v>624846.13254918566</v>
      </c>
      <c r="CG89" s="37">
        <f t="shared" si="526"/>
        <v>634453.98590452119</v>
      </c>
      <c r="CH89" s="37">
        <f t="shared" si="526"/>
        <v>168170.62262787975</v>
      </c>
      <c r="CI89" s="164">
        <f t="shared" si="526"/>
        <v>-262825.88148646057</v>
      </c>
      <c r="CJ89" s="37">
        <f t="shared" si="526"/>
        <v>322802.83384313871</v>
      </c>
      <c r="CK89" s="37">
        <f t="shared" si="526"/>
        <v>-62475.092914259578</v>
      </c>
      <c r="CL89" s="37">
        <f t="shared" si="526"/>
        <v>226090.4244366335</v>
      </c>
      <c r="CM89" s="37">
        <f t="shared" si="526"/>
        <v>-102232.59569203795</v>
      </c>
      <c r="CN89" s="37">
        <f t="shared" si="526"/>
        <v>417193.87515724165</v>
      </c>
      <c r="CO89" s="37">
        <f t="shared" si="526"/>
        <v>-69146.584598292364</v>
      </c>
      <c r="CP89" s="37">
        <f t="shared" si="526"/>
        <v>-47411.139392843535</v>
      </c>
      <c r="CQ89" s="37">
        <f t="shared" si="526"/>
        <v>-82432.292715848365</v>
      </c>
      <c r="CR89" s="37">
        <f t="shared" si="526"/>
        <v>835156.72368851549</v>
      </c>
      <c r="CS89" s="37">
        <f t="shared" si="526"/>
        <v>860566.54038268491</v>
      </c>
      <c r="CT89" s="37">
        <f t="shared" si="526"/>
        <v>253762.33628688302</v>
      </c>
      <c r="CU89" s="164">
        <f t="shared" si="526"/>
        <v>-324433.29385604244</v>
      </c>
      <c r="CV89" s="37">
        <f t="shared" si="526"/>
        <v>928761.09564014385</v>
      </c>
      <c r="CW89" s="37">
        <f t="shared" ref="CW89:DG89" si="527">CW79+CW88</f>
        <v>-92673.814513245015</v>
      </c>
      <c r="CX89" s="37">
        <f t="shared" si="527"/>
        <v>317643.96642190992</v>
      </c>
      <c r="CY89" s="37">
        <f t="shared" si="527"/>
        <v>-193636.59272653516</v>
      </c>
      <c r="CZ89" s="37">
        <f t="shared" si="527"/>
        <v>929345.315520301</v>
      </c>
      <c r="DA89" s="37">
        <f t="shared" si="527"/>
        <v>886357.0955533043</v>
      </c>
      <c r="DB89" s="37">
        <f t="shared" si="527"/>
        <v>203820.05063834199</v>
      </c>
      <c r="DC89" s="37">
        <f t="shared" si="527"/>
        <v>-358202.70553316851</v>
      </c>
      <c r="DD89" s="37">
        <f t="shared" si="527"/>
        <v>449663.33531161799</v>
      </c>
      <c r="DE89" s="37">
        <f t="shared" si="527"/>
        <v>-103587.25482447947</v>
      </c>
      <c r="DF89" s="37">
        <f t="shared" si="527"/>
        <v>358444.72120186011</v>
      </c>
      <c r="DG89" s="37">
        <f t="shared" si="527"/>
        <v>-153689.80899114703</v>
      </c>
    </row>
    <row r="90" spans="1:111" s="291" customFormat="1" x14ac:dyDescent="0.3">
      <c r="B90" s="292" t="s">
        <v>297</v>
      </c>
      <c r="C90" s="292"/>
      <c r="D90" s="293"/>
      <c r="E90" s="293">
        <f>+E80+E88</f>
        <v>0</v>
      </c>
      <c r="F90" s="293">
        <f t="shared" ref="F90:BQ90" si="528">+F80+F88</f>
        <v>0</v>
      </c>
      <c r="G90" s="293">
        <f t="shared" si="528"/>
        <v>0</v>
      </c>
      <c r="H90" s="293">
        <f t="shared" si="528"/>
        <v>0</v>
      </c>
      <c r="I90" s="293">
        <f t="shared" si="528"/>
        <v>0</v>
      </c>
      <c r="J90" s="293">
        <f t="shared" si="528"/>
        <v>0</v>
      </c>
      <c r="K90" s="293">
        <f t="shared" si="528"/>
        <v>0</v>
      </c>
      <c r="L90" s="293">
        <f t="shared" si="528"/>
        <v>0</v>
      </c>
      <c r="M90" s="293">
        <f t="shared" si="528"/>
        <v>0</v>
      </c>
      <c r="N90" s="293">
        <f t="shared" si="528"/>
        <v>0</v>
      </c>
      <c r="O90" s="293">
        <f t="shared" si="528"/>
        <v>0</v>
      </c>
      <c r="P90" s="293">
        <f t="shared" si="528"/>
        <v>-1759.16</v>
      </c>
      <c r="Q90" s="293">
        <f t="shared" si="528"/>
        <v>-467.18</v>
      </c>
      <c r="R90" s="293">
        <f t="shared" si="528"/>
        <v>-1525.78</v>
      </c>
      <c r="S90" s="293">
        <f t="shared" si="528"/>
        <v>-598.99</v>
      </c>
      <c r="T90" s="293">
        <f t="shared" si="528"/>
        <v>-2060.8900000000003</v>
      </c>
      <c r="U90" s="293">
        <f t="shared" si="528"/>
        <v>-3880.07</v>
      </c>
      <c r="V90" s="293">
        <f t="shared" si="528"/>
        <v>-2030.9500000000003</v>
      </c>
      <c r="W90" s="293">
        <f t="shared" si="528"/>
        <v>6092.9661538461523</v>
      </c>
      <c r="X90" s="293">
        <f t="shared" si="528"/>
        <v>-1930.229230769231</v>
      </c>
      <c r="Y90" s="293">
        <f t="shared" si="528"/>
        <v>12023.533076923068</v>
      </c>
      <c r="Z90" s="293">
        <f t="shared" si="528"/>
        <v>22605.471538461512</v>
      </c>
      <c r="AA90" s="293">
        <f t="shared" si="528"/>
        <v>54241.216923077023</v>
      </c>
      <c r="AB90" s="293">
        <f t="shared" si="528"/>
        <v>19924.140821314319</v>
      </c>
      <c r="AC90" s="293">
        <f t="shared" si="528"/>
        <v>-1987.7999553117143</v>
      </c>
      <c r="AD90" s="293">
        <f t="shared" si="528"/>
        <v>33112.876700380119</v>
      </c>
      <c r="AE90" s="293">
        <f t="shared" si="528"/>
        <v>25755.854280799766</v>
      </c>
      <c r="AF90" s="293">
        <f t="shared" ref="AF90:AG90" si="529">+AF80+AF88</f>
        <v>-21967.79</v>
      </c>
      <c r="AG90" s="293">
        <f t="shared" si="529"/>
        <v>-30499.549999999996</v>
      </c>
      <c r="AH90" s="293">
        <f t="shared" ref="AH90:AI90" si="530">+AH80+AH88</f>
        <v>-4999.88</v>
      </c>
      <c r="AI90" s="293">
        <f t="shared" si="530"/>
        <v>1880.1499999999996</v>
      </c>
      <c r="AJ90" s="294">
        <f t="shared" ref="AJ90" si="531">+AJ80+AJ88</f>
        <v>10866.740000000005</v>
      </c>
      <c r="AK90" s="293">
        <f t="shared" ref="AK90" si="532">+AK80+AK88</f>
        <v>4427.9009500000029</v>
      </c>
      <c r="AL90" s="293">
        <f t="shared" si="528"/>
        <v>-844.9433333333327</v>
      </c>
      <c r="AM90" s="294">
        <f t="shared" si="528"/>
        <v>-2688.8600000000006</v>
      </c>
      <c r="AN90" s="293">
        <f t="shared" si="528"/>
        <v>-26343.807512300307</v>
      </c>
      <c r="AO90" s="293">
        <f t="shared" si="528"/>
        <v>-28134.197283984093</v>
      </c>
      <c r="AP90" s="293">
        <f t="shared" si="528"/>
        <v>-17928.608663689862</v>
      </c>
      <c r="AQ90" s="293">
        <f t="shared" si="528"/>
        <v>-29928.425059171117</v>
      </c>
      <c r="AR90" s="293">
        <f t="shared" si="528"/>
        <v>12916.409157917253</v>
      </c>
      <c r="AS90" s="293">
        <f t="shared" si="528"/>
        <v>45322.527255800305</v>
      </c>
      <c r="AT90" s="293">
        <f t="shared" si="528"/>
        <v>25436.608093580042</v>
      </c>
      <c r="AU90" s="293">
        <f t="shared" si="528"/>
        <v>5246.390248333264</v>
      </c>
      <c r="AV90" s="293">
        <f t="shared" si="528"/>
        <v>5680.8364865619806</v>
      </c>
      <c r="AW90" s="293">
        <f t="shared" si="528"/>
        <v>26708.020902505014</v>
      </c>
      <c r="AX90" s="293">
        <f t="shared" si="528"/>
        <v>93575.150585443669</v>
      </c>
      <c r="AY90" s="294">
        <f t="shared" si="528"/>
        <v>168284.40943517932</v>
      </c>
      <c r="AZ90" s="293">
        <f t="shared" si="528"/>
        <v>100581.64617330872</v>
      </c>
      <c r="BA90" s="293">
        <f t="shared" si="528"/>
        <v>55268.262487980996</v>
      </c>
      <c r="BB90" s="293">
        <f t="shared" si="528"/>
        <v>-13266.458288645044</v>
      </c>
      <c r="BC90" s="293">
        <f t="shared" si="528"/>
        <v>105445.21836704679</v>
      </c>
      <c r="BD90" s="293">
        <f t="shared" si="528"/>
        <v>859.60594746643619</v>
      </c>
      <c r="BE90" s="293">
        <f t="shared" si="528"/>
        <v>-23696.873211870487</v>
      </c>
      <c r="BF90" s="293">
        <f t="shared" si="528"/>
        <v>-29423.325723259477</v>
      </c>
      <c r="BG90" s="293">
        <f t="shared" si="528"/>
        <v>16369.407156678026</v>
      </c>
      <c r="BH90" s="293">
        <f t="shared" si="528"/>
        <v>-25839.74039377064</v>
      </c>
      <c r="BI90" s="293">
        <f t="shared" si="528"/>
        <v>159618.41847128255</v>
      </c>
      <c r="BJ90" s="293">
        <f t="shared" si="528"/>
        <v>310075.39535431075</v>
      </c>
      <c r="BK90" s="294">
        <f t="shared" si="528"/>
        <v>199138.27481151285</v>
      </c>
      <c r="BL90" s="293">
        <f t="shared" si="528"/>
        <v>119302.31384027819</v>
      </c>
      <c r="BM90" s="293">
        <f t="shared" si="528"/>
        <v>-605.34883920696302</v>
      </c>
      <c r="BN90" s="293">
        <f t="shared" si="528"/>
        <v>210632.42403065885</v>
      </c>
      <c r="BO90" s="293">
        <f t="shared" si="528"/>
        <v>21424.029170052927</v>
      </c>
      <c r="BP90" s="293">
        <f t="shared" si="528"/>
        <v>-31821.314250000003</v>
      </c>
      <c r="BQ90" s="293">
        <f t="shared" si="528"/>
        <v>-19918.042238546834</v>
      </c>
      <c r="BR90" s="293">
        <f t="shared" ref="BR90:DG90" si="533">+BR80+BR88</f>
        <v>-30630.845092387804</v>
      </c>
      <c r="BS90" s="293">
        <f t="shared" si="533"/>
        <v>38693.806782901891</v>
      </c>
      <c r="BT90" s="293">
        <f t="shared" si="533"/>
        <v>-25452.398149510533</v>
      </c>
      <c r="BU90" s="293">
        <f t="shared" si="533"/>
        <v>256301.34320316644</v>
      </c>
      <c r="BV90" s="293">
        <f t="shared" si="533"/>
        <v>484880.21192930563</v>
      </c>
      <c r="BW90" s="294">
        <f t="shared" si="533"/>
        <v>316341.12495082401</v>
      </c>
      <c r="BX90" s="293">
        <f t="shared" si="533"/>
        <v>189759.44255362774</v>
      </c>
      <c r="BY90" s="293">
        <f t="shared" si="533"/>
        <v>7770.7511751791608</v>
      </c>
      <c r="BZ90" s="293">
        <f t="shared" si="533"/>
        <v>328459.03303516761</v>
      </c>
      <c r="CA90" s="293">
        <f t="shared" si="533"/>
        <v>42513.586996939383</v>
      </c>
      <c r="CB90" s="293">
        <f t="shared" si="533"/>
        <v>-39884.146275833336</v>
      </c>
      <c r="CC90" s="293">
        <f t="shared" si="533"/>
        <v>-26624.805301050059</v>
      </c>
      <c r="CD90" s="293">
        <f t="shared" si="533"/>
        <v>-38499.724935708356</v>
      </c>
      <c r="CE90" s="293">
        <f t="shared" si="533"/>
        <v>38668.899938032046</v>
      </c>
      <c r="CF90" s="293">
        <f t="shared" si="533"/>
        <v>-32789.65745503494</v>
      </c>
      <c r="CG90" s="293">
        <f t="shared" si="533"/>
        <v>281062.61139351653</v>
      </c>
      <c r="CH90" s="293">
        <f t="shared" si="533"/>
        <v>535682.11073402606</v>
      </c>
      <c r="CI90" s="294">
        <f t="shared" si="533"/>
        <v>347942.36827698338</v>
      </c>
      <c r="CJ90" s="293">
        <f t="shared" si="533"/>
        <v>209010.78423309707</v>
      </c>
      <c r="CK90" s="293">
        <f t="shared" si="533"/>
        <v>6328.4166216606463</v>
      </c>
      <c r="CL90" s="293">
        <f t="shared" si="533"/>
        <v>363500.20147835673</v>
      </c>
      <c r="CM90" s="293">
        <f t="shared" si="533"/>
        <v>45309.071714254322</v>
      </c>
      <c r="CN90" s="293">
        <f t="shared" si="533"/>
        <v>-46806.124842758327</v>
      </c>
      <c r="CO90" s="293">
        <f t="shared" si="533"/>
        <v>-28725.205331690231</v>
      </c>
      <c r="CP90" s="293">
        <f t="shared" si="533"/>
        <v>-42732.095742587895</v>
      </c>
      <c r="CQ90" s="293">
        <f t="shared" si="533"/>
        <v>62326.21090342175</v>
      </c>
      <c r="CR90" s="293">
        <f t="shared" si="533"/>
        <v>-35131.821905305966</v>
      </c>
      <c r="CS90" s="293">
        <f t="shared" si="533"/>
        <v>392848.5447063552</v>
      </c>
      <c r="CT90" s="293">
        <f t="shared" si="533"/>
        <v>740056.95289795916</v>
      </c>
      <c r="CU90" s="294">
        <f t="shared" si="533"/>
        <v>484048.21318380971</v>
      </c>
      <c r="CV90" s="293">
        <f t="shared" si="533"/>
        <v>288027.50056802976</v>
      </c>
      <c r="CW90" s="293">
        <f t="shared" si="533"/>
        <v>30451.234289629268</v>
      </c>
      <c r="CX90" s="293">
        <f t="shared" si="533"/>
        <v>501330.75415446906</v>
      </c>
      <c r="CY90" s="293">
        <f t="shared" si="533"/>
        <v>176560.82134369086</v>
      </c>
      <c r="CZ90" s="293">
        <f t="shared" si="533"/>
        <v>-50853.323015193469</v>
      </c>
      <c r="DA90" s="293">
        <f t="shared" si="533"/>
        <v>391393.05581685645</v>
      </c>
      <c r="DB90" s="293">
        <f t="shared" si="533"/>
        <v>751663.0776148471</v>
      </c>
      <c r="DC90" s="293">
        <f t="shared" si="533"/>
        <v>487592.71324355941</v>
      </c>
      <c r="DD90" s="293">
        <f t="shared" si="533"/>
        <v>301760.08734420495</v>
      </c>
      <c r="DE90" s="293">
        <f t="shared" si="533"/>
        <v>16647.214800817354</v>
      </c>
      <c r="DF90" s="293">
        <f t="shared" si="533"/>
        <v>519308.8116443436</v>
      </c>
      <c r="DG90" s="293">
        <f t="shared" si="533"/>
        <v>75034.946976744759</v>
      </c>
    </row>
    <row r="91" spans="1:111" x14ac:dyDescent="0.3"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165"/>
      <c r="AK91" s="39"/>
      <c r="AL91" s="39"/>
      <c r="AM91" s="165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165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165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165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165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165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</row>
    <row r="92" spans="1:111" x14ac:dyDescent="0.3">
      <c r="A92" s="15"/>
      <c r="B92" s="47"/>
      <c r="C92" s="47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168"/>
      <c r="AK92" s="48"/>
      <c r="AL92" s="48"/>
      <c r="AM92" s="16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16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16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16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16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16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</row>
    <row r="93" spans="1:111" s="5" customFormat="1" x14ac:dyDescent="0.3">
      <c r="A93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/>
      <c r="O93" s="2"/>
      <c r="P93" s="2"/>
      <c r="Q93" s="2"/>
      <c r="R93" s="2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 s="162"/>
      <c r="AK93"/>
      <c r="AL93"/>
      <c r="AM93" s="162"/>
      <c r="AN93"/>
      <c r="AO93"/>
      <c r="AP93"/>
      <c r="AQ93"/>
      <c r="AR93"/>
      <c r="AS93"/>
      <c r="AT93"/>
      <c r="AU93"/>
      <c r="AV93"/>
      <c r="AW93"/>
      <c r="AX93"/>
      <c r="AY93" s="162"/>
      <c r="AZ93"/>
      <c r="BA93"/>
      <c r="BB93"/>
      <c r="BC93"/>
      <c r="BD93"/>
      <c r="BE93"/>
      <c r="BF93"/>
      <c r="BG93"/>
      <c r="BH93"/>
      <c r="BI93"/>
      <c r="BJ93"/>
      <c r="BK93" s="162"/>
      <c r="BL93"/>
      <c r="BM93"/>
      <c r="BN93"/>
      <c r="BO93"/>
      <c r="BP93"/>
      <c r="BQ93"/>
      <c r="BR93"/>
      <c r="BS93"/>
      <c r="BT93"/>
      <c r="BU93"/>
      <c r="BV93"/>
      <c r="BW93" s="162"/>
      <c r="BX93"/>
      <c r="BY93"/>
      <c r="BZ93"/>
      <c r="CA93"/>
      <c r="CB93"/>
      <c r="CC93"/>
      <c r="CD93"/>
      <c r="CE93"/>
      <c r="CF93"/>
      <c r="CG93"/>
      <c r="CH93"/>
      <c r="CI93" s="162"/>
      <c r="CJ93"/>
      <c r="CK93"/>
      <c r="CL93"/>
      <c r="CM93"/>
      <c r="CN93"/>
      <c r="CO93"/>
      <c r="CP93"/>
      <c r="CQ93"/>
      <c r="CR93"/>
      <c r="CS93"/>
      <c r="CT93"/>
      <c r="CU93" s="162"/>
      <c r="CV93"/>
      <c r="CW93"/>
      <c r="CX93"/>
      <c r="CY93"/>
      <c r="CZ93"/>
      <c r="DA93"/>
      <c r="DB93"/>
      <c r="DC93"/>
      <c r="DD93"/>
      <c r="DE93"/>
      <c r="DF93"/>
      <c r="DG93"/>
    </row>
    <row r="94" spans="1:111" s="45" customFormat="1" x14ac:dyDescent="0.3">
      <c r="A94"/>
      <c r="B94" s="1" t="s">
        <v>13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/>
      <c r="O94" s="2"/>
      <c r="P94" s="2"/>
      <c r="Q94" s="2"/>
      <c r="R94" s="2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 s="162"/>
      <c r="AK94"/>
      <c r="AL94"/>
      <c r="AM94" s="162"/>
      <c r="AN94"/>
      <c r="AO94"/>
      <c r="AP94"/>
      <c r="AQ94"/>
      <c r="AR94"/>
      <c r="AS94"/>
      <c r="AT94"/>
      <c r="AU94"/>
      <c r="AV94"/>
      <c r="AW94"/>
      <c r="AX94"/>
      <c r="AY94" s="162"/>
      <c r="AZ94"/>
      <c r="BA94"/>
      <c r="BB94"/>
      <c r="BC94"/>
      <c r="BD94"/>
      <c r="BE94"/>
      <c r="BF94"/>
      <c r="BG94"/>
      <c r="BH94"/>
      <c r="BI94"/>
      <c r="BJ94"/>
      <c r="BK94" s="162"/>
      <c r="BL94"/>
      <c r="BM94"/>
      <c r="BN94"/>
      <c r="BO94"/>
      <c r="BP94"/>
      <c r="BQ94"/>
      <c r="BR94"/>
      <c r="BS94"/>
      <c r="BT94"/>
      <c r="BU94"/>
      <c r="BV94"/>
      <c r="BW94" s="162"/>
      <c r="BX94"/>
      <c r="BY94"/>
      <c r="BZ94"/>
      <c r="CA94"/>
      <c r="CB94"/>
      <c r="CC94"/>
      <c r="CD94"/>
      <c r="CE94"/>
      <c r="CF94"/>
      <c r="CG94"/>
      <c r="CH94"/>
      <c r="CI94" s="162"/>
      <c r="CJ94"/>
      <c r="CK94"/>
      <c r="CL94"/>
      <c r="CM94"/>
      <c r="CN94"/>
      <c r="CO94"/>
      <c r="CP94"/>
      <c r="CQ94"/>
      <c r="CR94"/>
      <c r="CS94"/>
      <c r="CT94"/>
      <c r="CU94" s="162"/>
      <c r="CV94"/>
      <c r="CW94"/>
      <c r="CX94"/>
      <c r="CY94"/>
      <c r="CZ94"/>
      <c r="DA94"/>
      <c r="DB94"/>
      <c r="DC94"/>
      <c r="DD94"/>
      <c r="DE94"/>
      <c r="DF94"/>
      <c r="DG94"/>
    </row>
    <row r="95" spans="1:111" x14ac:dyDescent="0.3">
      <c r="B95" s="1" t="s">
        <v>14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2"/>
      <c r="R95" s="2"/>
      <c r="AJ95" s="162"/>
      <c r="AM95" s="162"/>
      <c r="AY95" s="162"/>
      <c r="BK95" s="162"/>
      <c r="BW95" s="162"/>
      <c r="CI95" s="162"/>
      <c r="CU95" s="162"/>
    </row>
    <row r="96" spans="1:111" x14ac:dyDescent="0.3">
      <c r="B96" s="1" t="s">
        <v>15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AJ96" s="162"/>
      <c r="AM96" s="162"/>
      <c r="AY96" s="162"/>
      <c r="BK96" s="162"/>
      <c r="BW96" s="162"/>
      <c r="CI96" s="162"/>
      <c r="CU96" s="162"/>
    </row>
    <row r="97" spans="1:111" s="3" customFormat="1" x14ac:dyDescent="0.3">
      <c r="A97"/>
      <c r="B97" s="1" t="s">
        <v>266</v>
      </c>
      <c r="C97" s="1"/>
      <c r="D97" s="91"/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0">
        <v>0</v>
      </c>
      <c r="K97" s="90">
        <v>0</v>
      </c>
      <c r="L97" s="90">
        <v>0</v>
      </c>
      <c r="M97" s="91">
        <v>0</v>
      </c>
      <c r="N97">
        <v>0</v>
      </c>
      <c r="O97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0</v>
      </c>
      <c r="V97" s="91">
        <v>0</v>
      </c>
      <c r="W97" s="91">
        <v>0</v>
      </c>
      <c r="X97" s="91">
        <v>0</v>
      </c>
      <c r="Y97" s="91">
        <v>0</v>
      </c>
      <c r="Z97" s="91">
        <v>0</v>
      </c>
      <c r="AA97" s="91">
        <v>0</v>
      </c>
      <c r="AB97" s="91">
        <v>0</v>
      </c>
      <c r="AC97" s="91">
        <v>0</v>
      </c>
      <c r="AD97" s="91">
        <v>0</v>
      </c>
      <c r="AE97" s="91">
        <v>0</v>
      </c>
      <c r="AF97" s="91">
        <v>0</v>
      </c>
      <c r="AG97" s="91">
        <v>0</v>
      </c>
      <c r="AH97" s="91">
        <v>0</v>
      </c>
      <c r="AI97" s="91">
        <v>0</v>
      </c>
      <c r="AJ97" s="163">
        <v>0</v>
      </c>
      <c r="AK97"/>
      <c r="AL97"/>
      <c r="AM97" s="162"/>
      <c r="AN97"/>
      <c r="AO97"/>
      <c r="AP97"/>
      <c r="AQ97"/>
      <c r="AR97"/>
      <c r="AS97"/>
      <c r="AT97"/>
      <c r="AU97"/>
      <c r="AV97"/>
      <c r="AW97"/>
      <c r="AX97"/>
      <c r="AY97" s="162"/>
      <c r="AZ97"/>
      <c r="BA97"/>
      <c r="BB97"/>
      <c r="BC97"/>
      <c r="BD97"/>
      <c r="BE97"/>
      <c r="BF97"/>
      <c r="BG97"/>
      <c r="BH97"/>
      <c r="BI97"/>
      <c r="BJ97"/>
      <c r="BK97" s="162"/>
      <c r="BL97"/>
      <c r="BM97"/>
      <c r="BN97"/>
      <c r="BO97"/>
      <c r="BP97"/>
      <c r="BQ97"/>
      <c r="BR97"/>
      <c r="BS97"/>
      <c r="BT97"/>
      <c r="BU97"/>
      <c r="BV97"/>
      <c r="BW97" s="162"/>
      <c r="BX97"/>
      <c r="BY97"/>
      <c r="BZ97"/>
      <c r="CA97"/>
      <c r="CB97"/>
      <c r="CC97"/>
      <c r="CD97"/>
      <c r="CE97"/>
      <c r="CF97"/>
      <c r="CG97"/>
      <c r="CH97"/>
      <c r="CI97" s="162"/>
      <c r="CJ97"/>
      <c r="CK97"/>
      <c r="CL97"/>
      <c r="CM97"/>
      <c r="CN97"/>
      <c r="CO97"/>
      <c r="CP97"/>
      <c r="CQ97"/>
      <c r="CR97"/>
      <c r="CS97"/>
      <c r="CT97"/>
      <c r="CU97" s="162"/>
      <c r="CV97"/>
      <c r="CW97"/>
      <c r="CX97"/>
      <c r="CY97"/>
      <c r="CZ97"/>
      <c r="DA97"/>
      <c r="DB97"/>
      <c r="DC97"/>
      <c r="DD97"/>
      <c r="DE97"/>
      <c r="DF97"/>
      <c r="DG97"/>
    </row>
    <row r="98" spans="1:111" x14ac:dyDescent="0.3">
      <c r="B98" s="1" t="s">
        <v>472</v>
      </c>
      <c r="C98" s="1"/>
      <c r="D98" s="91"/>
      <c r="E98" s="91"/>
      <c r="F98" s="91"/>
      <c r="G98" s="91"/>
      <c r="H98" s="91"/>
      <c r="I98" s="91"/>
      <c r="J98" s="90"/>
      <c r="K98" s="90"/>
      <c r="L98" s="90"/>
      <c r="M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>
        <v>20197.939999999999</v>
      </c>
      <c r="AC98" s="91">
        <v>71721.929999999993</v>
      </c>
      <c r="AD98" s="91">
        <v>27555.54</v>
      </c>
      <c r="AE98" s="91">
        <v>12418.3</v>
      </c>
      <c r="AF98" s="91">
        <v>3011.79</v>
      </c>
      <c r="AG98" s="91">
        <v>3957.08</v>
      </c>
      <c r="AH98" s="91">
        <v>7572.38</v>
      </c>
      <c r="AI98" s="91">
        <v>3227.87</v>
      </c>
      <c r="AJ98" s="163">
        <v>744.75</v>
      </c>
      <c r="AM98" s="162"/>
      <c r="AY98" s="162"/>
      <c r="BK98" s="162"/>
      <c r="BW98" s="162"/>
      <c r="CI98" s="162"/>
      <c r="CU98" s="162"/>
    </row>
    <row r="99" spans="1:111" x14ac:dyDescent="0.3">
      <c r="B99" s="1" t="s">
        <v>473</v>
      </c>
      <c r="C99" s="1"/>
      <c r="D99" s="91"/>
      <c r="E99" s="91">
        <v>0</v>
      </c>
      <c r="F99" s="91">
        <v>0</v>
      </c>
      <c r="G99" s="91">
        <v>100</v>
      </c>
      <c r="H99" s="91">
        <v>100</v>
      </c>
      <c r="I99" s="91">
        <v>100</v>
      </c>
      <c r="J99" s="90">
        <v>1600</v>
      </c>
      <c r="K99" s="90">
        <v>1399</v>
      </c>
      <c r="L99" s="90">
        <v>280.5</v>
      </c>
      <c r="M99" s="91">
        <v>329.2</v>
      </c>
      <c r="N99">
        <v>118.2</v>
      </c>
      <c r="O99">
        <v>307.81</v>
      </c>
      <c r="P99" s="91">
        <v>1685.41</v>
      </c>
      <c r="Q99" s="91">
        <v>1215.79</v>
      </c>
      <c r="R99" s="91">
        <v>888.6</v>
      </c>
      <c r="S99" s="91">
        <v>621.97</v>
      </c>
      <c r="T99" s="91">
        <v>300.05</v>
      </c>
      <c r="U99" s="91">
        <v>86.05</v>
      </c>
      <c r="V99" s="91">
        <v>735.05</v>
      </c>
      <c r="W99" s="91">
        <v>342.86</v>
      </c>
      <c r="X99" s="91">
        <v>287.63</v>
      </c>
      <c r="Y99" s="91">
        <v>43050.05</v>
      </c>
      <c r="Z99" s="91">
        <v>68860.100000000006</v>
      </c>
      <c r="AA99" s="91">
        <v>119649.23</v>
      </c>
      <c r="AB99" s="91"/>
      <c r="AC99" s="91">
        <v>0</v>
      </c>
      <c r="AD99" s="91">
        <v>0</v>
      </c>
      <c r="AE99" s="91">
        <v>0</v>
      </c>
      <c r="AF99" s="91">
        <v>5539.92</v>
      </c>
      <c r="AG99" s="91">
        <v>5539.92</v>
      </c>
      <c r="AH99" s="91">
        <v>4684.99</v>
      </c>
      <c r="AI99" s="91">
        <v>9706.3700000000008</v>
      </c>
      <c r="AJ99" s="163">
        <v>30906.97</v>
      </c>
      <c r="AM99" s="162"/>
      <c r="AY99" s="162"/>
      <c r="BK99" s="162"/>
      <c r="BW99" s="162"/>
      <c r="CI99" s="162"/>
      <c r="CU99" s="162"/>
    </row>
    <row r="100" spans="1:111" x14ac:dyDescent="0.3">
      <c r="B100" s="1" t="s">
        <v>474</v>
      </c>
      <c r="C100" s="1"/>
      <c r="D100" s="91"/>
      <c r="E100" s="91">
        <v>0</v>
      </c>
      <c r="F100" s="91">
        <v>0</v>
      </c>
      <c r="G100" s="91">
        <v>0</v>
      </c>
      <c r="H100" s="91">
        <v>0</v>
      </c>
      <c r="I100" s="91">
        <v>0</v>
      </c>
      <c r="J100" s="90">
        <v>0</v>
      </c>
      <c r="K100" s="90">
        <v>0</v>
      </c>
      <c r="L100" s="90">
        <v>0</v>
      </c>
      <c r="M100" s="91">
        <v>0</v>
      </c>
      <c r="N100">
        <v>0</v>
      </c>
      <c r="O100">
        <v>0</v>
      </c>
      <c r="P100" s="91"/>
      <c r="Q100" s="91">
        <v>0</v>
      </c>
      <c r="R100" s="91">
        <v>0</v>
      </c>
      <c r="S100" s="91">
        <v>100</v>
      </c>
      <c r="T100" s="91">
        <v>75085</v>
      </c>
      <c r="U100" s="91">
        <v>71682.509999999995</v>
      </c>
      <c r="V100" s="91">
        <v>71119.87</v>
      </c>
      <c r="W100" s="91">
        <v>50974.17</v>
      </c>
      <c r="X100" s="91">
        <v>48471.17</v>
      </c>
      <c r="Y100" s="91">
        <v>75000</v>
      </c>
      <c r="Z100" s="91">
        <v>75000</v>
      </c>
      <c r="AA100" s="91">
        <v>75000</v>
      </c>
      <c r="AB100" s="91">
        <v>75000</v>
      </c>
      <c r="AC100" s="91">
        <v>75000</v>
      </c>
      <c r="AD100" s="91">
        <v>125000</v>
      </c>
      <c r="AE100" s="91">
        <v>70000</v>
      </c>
      <c r="AF100" s="91">
        <v>45176.93</v>
      </c>
      <c r="AG100" s="91">
        <v>35042.6</v>
      </c>
      <c r="AH100" s="91">
        <v>15042.6</v>
      </c>
      <c r="AI100" s="91">
        <v>7575.3</v>
      </c>
      <c r="AJ100" s="163">
        <v>1575.3</v>
      </c>
      <c r="AM100" s="162"/>
      <c r="AY100" s="162"/>
      <c r="BK100" s="162"/>
      <c r="BW100" s="162"/>
      <c r="CI100" s="162"/>
      <c r="CU100" s="162"/>
    </row>
    <row r="101" spans="1:111" x14ac:dyDescent="0.3">
      <c r="B101" s="1"/>
      <c r="C101" s="1"/>
      <c r="D101" s="91"/>
      <c r="E101" s="91"/>
      <c r="F101" s="91"/>
      <c r="G101" s="91"/>
      <c r="H101" s="91"/>
      <c r="I101" s="91"/>
      <c r="J101" s="90"/>
      <c r="K101" s="90"/>
      <c r="L101" s="90"/>
      <c r="M101" s="91"/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0</v>
      </c>
      <c r="V101" s="91">
        <v>0</v>
      </c>
      <c r="W101" s="91">
        <v>0</v>
      </c>
      <c r="X101" s="91">
        <v>0</v>
      </c>
      <c r="Y101" s="91">
        <v>0</v>
      </c>
      <c r="Z101" s="91">
        <v>0</v>
      </c>
      <c r="AA101" s="91">
        <v>0</v>
      </c>
      <c r="AB101" s="91">
        <v>0</v>
      </c>
      <c r="AC101" s="91">
        <v>0</v>
      </c>
      <c r="AD101" s="91">
        <v>0</v>
      </c>
      <c r="AE101" s="91">
        <v>0</v>
      </c>
      <c r="AF101" s="91">
        <v>0</v>
      </c>
      <c r="AG101" s="91">
        <v>0</v>
      </c>
      <c r="AH101" s="91">
        <v>0</v>
      </c>
      <c r="AI101" s="91">
        <v>0</v>
      </c>
      <c r="AJ101" s="163">
        <v>0</v>
      </c>
      <c r="AM101" s="162"/>
      <c r="AY101" s="162"/>
      <c r="BK101" s="162"/>
      <c r="BW101" s="162"/>
      <c r="CI101" s="162"/>
      <c r="CU101" s="162"/>
    </row>
    <row r="102" spans="1:111" x14ac:dyDescent="0.3">
      <c r="A102" s="3"/>
      <c r="B102" s="4" t="s">
        <v>16</v>
      </c>
      <c r="C102" s="4"/>
      <c r="D102" s="37"/>
      <c r="E102" s="37">
        <f t="shared" ref="E102:N102" si="534">SUM(E97:E101)</f>
        <v>0</v>
      </c>
      <c r="F102" s="37">
        <f t="shared" si="534"/>
        <v>0</v>
      </c>
      <c r="G102" s="37">
        <f t="shared" si="534"/>
        <v>100</v>
      </c>
      <c r="H102" s="37">
        <f t="shared" si="534"/>
        <v>100</v>
      </c>
      <c r="I102" s="37">
        <f t="shared" si="534"/>
        <v>100</v>
      </c>
      <c r="J102" s="37">
        <f t="shared" si="534"/>
        <v>1600</v>
      </c>
      <c r="K102" s="37">
        <f t="shared" si="534"/>
        <v>1399</v>
      </c>
      <c r="L102" s="37">
        <f t="shared" si="534"/>
        <v>280.5</v>
      </c>
      <c r="M102" s="37">
        <f t="shared" si="534"/>
        <v>329.2</v>
      </c>
      <c r="N102" s="37">
        <f t="shared" si="534"/>
        <v>118.2</v>
      </c>
      <c r="O102" s="37">
        <f>SUM(O97:O101)</f>
        <v>307.81</v>
      </c>
      <c r="P102" s="37">
        <f t="shared" ref="P102" si="535">SUM(P97:P101)</f>
        <v>1685.41</v>
      </c>
      <c r="Q102" s="37">
        <f t="shared" ref="Q102:W102" si="536">SUM(Q97:Q101)</f>
        <v>1215.79</v>
      </c>
      <c r="R102" s="37">
        <f t="shared" si="536"/>
        <v>888.6</v>
      </c>
      <c r="S102" s="37">
        <f t="shared" si="536"/>
        <v>721.97</v>
      </c>
      <c r="T102" s="37">
        <f t="shared" si="536"/>
        <v>75385.05</v>
      </c>
      <c r="U102" s="37">
        <f t="shared" si="536"/>
        <v>71768.56</v>
      </c>
      <c r="V102" s="37">
        <f t="shared" si="536"/>
        <v>71854.92</v>
      </c>
      <c r="W102" s="37">
        <f t="shared" si="536"/>
        <v>51317.03</v>
      </c>
      <c r="X102" s="37">
        <f t="shared" ref="X102" si="537">SUM(X97:X101)</f>
        <v>48758.799999999996</v>
      </c>
      <c r="Y102" s="37">
        <f>SUM(Y97:Y101)</f>
        <v>118050.05</v>
      </c>
      <c r="Z102" s="37">
        <f t="shared" ref="Z102:AB102" si="538">SUM(Z97:Z101)</f>
        <v>143860.1</v>
      </c>
      <c r="AA102" s="37">
        <f t="shared" si="538"/>
        <v>194649.22999999998</v>
      </c>
      <c r="AB102" s="37">
        <f t="shared" si="538"/>
        <v>95197.94</v>
      </c>
      <c r="AC102" s="37">
        <f t="shared" ref="AC102" si="539">SUM(AC97:AC101)</f>
        <v>146721.93</v>
      </c>
      <c r="AD102" s="37">
        <f t="shared" ref="AD102:AE102" si="540">SUM(AD97:AD101)</f>
        <v>152555.54</v>
      </c>
      <c r="AE102" s="37">
        <f t="shared" si="540"/>
        <v>82418.3</v>
      </c>
      <c r="AF102" s="37">
        <f t="shared" ref="AF102:AG102" si="541">SUM(AF97:AF101)</f>
        <v>53728.639999999999</v>
      </c>
      <c r="AG102" s="37">
        <f t="shared" si="541"/>
        <v>44539.6</v>
      </c>
      <c r="AH102" s="37">
        <f t="shared" ref="AH102:AI102" si="542">SUM(AH97:AH101)</f>
        <v>27299.97</v>
      </c>
      <c r="AI102" s="37">
        <f t="shared" si="542"/>
        <v>20509.54</v>
      </c>
      <c r="AJ102" s="164">
        <f t="shared" ref="AJ102" si="543">SUM(AJ97:AJ101)</f>
        <v>33227.020000000004</v>
      </c>
      <c r="AK102" s="37">
        <f t="shared" ref="AK102:BM102" si="544">AJ102+AK176</f>
        <v>169214.67718884727</v>
      </c>
      <c r="AL102" s="37">
        <f t="shared" si="544"/>
        <v>190769.46533662349</v>
      </c>
      <c r="AM102" s="164">
        <f t="shared" si="544"/>
        <v>352788.93552211684</v>
      </c>
      <c r="AN102" s="37">
        <f t="shared" si="544"/>
        <v>335561.62857232022</v>
      </c>
      <c r="AO102" s="37">
        <f t="shared" si="544"/>
        <v>314832.22931562545</v>
      </c>
      <c r="AP102" s="37">
        <f t="shared" si="544"/>
        <v>242361.02336300298</v>
      </c>
      <c r="AQ102" s="37">
        <f t="shared" si="544"/>
        <v>547118.2103943401</v>
      </c>
      <c r="AR102" s="37">
        <f t="shared" si="544"/>
        <v>845678.87634067261</v>
      </c>
      <c r="AS102" s="37">
        <f t="shared" si="544"/>
        <v>1049418.3156140326</v>
      </c>
      <c r="AT102" s="37">
        <f t="shared" si="544"/>
        <v>691330.3321276895</v>
      </c>
      <c r="AU102" s="37">
        <f t="shared" si="544"/>
        <v>725985.22262644547</v>
      </c>
      <c r="AV102" s="37">
        <f t="shared" si="544"/>
        <v>538807.03291127761</v>
      </c>
      <c r="AW102" s="37">
        <f t="shared" si="544"/>
        <v>1164609.0743828993</v>
      </c>
      <c r="AX102" s="37">
        <f t="shared" si="544"/>
        <v>1522671.891565352</v>
      </c>
      <c r="AY102" s="164">
        <f t="shared" si="544"/>
        <v>1347696.6337711802</v>
      </c>
      <c r="AZ102" s="37">
        <f t="shared" si="544"/>
        <v>856948.96403110656</v>
      </c>
      <c r="BA102" s="37">
        <f t="shared" si="544"/>
        <v>981023.79680160526</v>
      </c>
      <c r="BB102" s="37">
        <f t="shared" si="544"/>
        <v>815152.63975617639</v>
      </c>
      <c r="BC102" s="37">
        <f t="shared" si="544"/>
        <v>931322.34175240714</v>
      </c>
      <c r="BD102" s="37">
        <f t="shared" si="544"/>
        <v>1137707.6018080097</v>
      </c>
      <c r="BE102" s="37">
        <f t="shared" si="544"/>
        <v>1049814.3690920067</v>
      </c>
      <c r="BF102" s="37">
        <f t="shared" si="544"/>
        <v>1015525.6263575773</v>
      </c>
      <c r="BG102" s="37">
        <f t="shared" si="544"/>
        <v>923337.1433520217</v>
      </c>
      <c r="BH102" s="37">
        <f t="shared" si="544"/>
        <v>1701186.6243041239</v>
      </c>
      <c r="BI102" s="37">
        <f t="shared" si="544"/>
        <v>2427234.6418549726</v>
      </c>
      <c r="BJ102" s="37">
        <f t="shared" si="544"/>
        <v>2370314.698140102</v>
      </c>
      <c r="BK102" s="164">
        <f t="shared" si="544"/>
        <v>1553699.3885945075</v>
      </c>
      <c r="BL102" s="37">
        <f t="shared" si="544"/>
        <v>1769832.4907873932</v>
      </c>
      <c r="BM102" s="37">
        <f t="shared" si="544"/>
        <v>1607555.0934428445</v>
      </c>
      <c r="BN102" s="37">
        <f t="shared" ref="BN102:CS102" si="545">BM102+BN176</f>
        <v>1777943.4283026948</v>
      </c>
      <c r="BO102" s="37">
        <f t="shared" si="545"/>
        <v>1493526.2065924723</v>
      </c>
      <c r="BP102" s="37">
        <f t="shared" si="545"/>
        <v>2034564.2435943184</v>
      </c>
      <c r="BQ102" s="37">
        <f t="shared" si="545"/>
        <v>1965879.6935494896</v>
      </c>
      <c r="BR102" s="37">
        <f t="shared" si="545"/>
        <v>1924367.0873482437</v>
      </c>
      <c r="BS102" s="37">
        <f t="shared" si="545"/>
        <v>1805640.1431900917</v>
      </c>
      <c r="BT102" s="37">
        <f t="shared" si="545"/>
        <v>2890912.7595826029</v>
      </c>
      <c r="BU102" s="37">
        <f t="shared" si="545"/>
        <v>3897606.4994930578</v>
      </c>
      <c r="BV102" s="37">
        <f t="shared" si="545"/>
        <v>3855158.7709442866</v>
      </c>
      <c r="BW102" s="164">
        <f t="shared" si="545"/>
        <v>2762572.0128482124</v>
      </c>
      <c r="BX102" s="37">
        <f t="shared" si="545"/>
        <v>3098828.4295607531</v>
      </c>
      <c r="BY102" s="37">
        <f t="shared" si="545"/>
        <v>2898627.9714620565</v>
      </c>
      <c r="BZ102" s="37">
        <f t="shared" si="545"/>
        <v>3144618.3488435764</v>
      </c>
      <c r="CA102" s="37">
        <f t="shared" si="545"/>
        <v>2794329.5129602356</v>
      </c>
      <c r="CB102" s="37">
        <f t="shared" si="545"/>
        <v>3415982.990703119</v>
      </c>
      <c r="CC102" s="37">
        <f t="shared" si="545"/>
        <v>3332704.1634114245</v>
      </c>
      <c r="CD102" s="37">
        <f t="shared" si="545"/>
        <v>3281201.2977186181</v>
      </c>
      <c r="CE102" s="37">
        <f t="shared" si="545"/>
        <v>3142030.0389061985</v>
      </c>
      <c r="CF102" s="37">
        <f t="shared" si="545"/>
        <v>4386054.8636849718</v>
      </c>
      <c r="CG102" s="37">
        <f t="shared" si="545"/>
        <v>5542654.9894180913</v>
      </c>
      <c r="CH102" s="37">
        <f t="shared" si="545"/>
        <v>5480220.1084469026</v>
      </c>
      <c r="CI102" s="164">
        <f t="shared" si="545"/>
        <v>4178868.3768800152</v>
      </c>
      <c r="CJ102" s="37">
        <f t="shared" si="545"/>
        <v>4550809.3063058797</v>
      </c>
      <c r="CK102" s="37">
        <f t="shared" si="545"/>
        <v>4310848.8915882809</v>
      </c>
      <c r="CL102" s="37">
        <f t="shared" si="545"/>
        <v>4591191.9114328828</v>
      </c>
      <c r="CM102" s="37">
        <f t="shared" si="545"/>
        <v>4172842.1275681597</v>
      </c>
      <c r="CN102" s="37">
        <f t="shared" si="545"/>
        <v>5001994.5177244851</v>
      </c>
      <c r="CO102" s="37">
        <f t="shared" si="545"/>
        <v>4901338.2983193118</v>
      </c>
      <c r="CP102" s="37">
        <f t="shared" si="545"/>
        <v>4845087.0317250863</v>
      </c>
      <c r="CQ102" s="37">
        <f t="shared" si="545"/>
        <v>4669289.7615501322</v>
      </c>
      <c r="CR102" s="37">
        <f t="shared" si="545"/>
        <v>6326666.9444885328</v>
      </c>
      <c r="CS102" s="37">
        <f t="shared" si="545"/>
        <v>7865894.9371945402</v>
      </c>
      <c r="CT102" s="37">
        <f t="shared" ref="CT102:DG102" si="546">CS102+CT176</f>
        <v>7804495.1375041939</v>
      </c>
      <c r="CU102" s="164">
        <f t="shared" si="546"/>
        <v>6115391.8241627179</v>
      </c>
      <c r="CV102" s="37">
        <f t="shared" si="546"/>
        <v>7601533.3707080614</v>
      </c>
      <c r="CW102" s="37">
        <f t="shared" si="546"/>
        <v>7260548.0604605107</v>
      </c>
      <c r="CX102" s="37">
        <f t="shared" si="546"/>
        <v>7624955.1270011738</v>
      </c>
      <c r="CY102" s="37">
        <f t="shared" si="546"/>
        <v>6912021.8366713533</v>
      </c>
      <c r="CZ102" s="37">
        <f t="shared" si="546"/>
        <v>8699086.228950901</v>
      </c>
      <c r="DA102" s="37">
        <f t="shared" si="546"/>
        <v>10333539.512217045</v>
      </c>
      <c r="DB102" s="37">
        <f t="shared" si="546"/>
        <v>10198351.568542965</v>
      </c>
      <c r="DC102" s="37">
        <f t="shared" si="546"/>
        <v>8842780.0915288031</v>
      </c>
      <c r="DD102" s="37">
        <f t="shared" si="546"/>
        <v>9333944.108364379</v>
      </c>
      <c r="DE102" s="37">
        <f t="shared" si="546"/>
        <v>8946930.0158205386</v>
      </c>
      <c r="DF102" s="37">
        <f t="shared" si="546"/>
        <v>9432223.1430627089</v>
      </c>
      <c r="DG102" s="37">
        <f t="shared" si="546"/>
        <v>8097732.5626533711</v>
      </c>
    </row>
    <row r="103" spans="1:111" x14ac:dyDescent="0.3">
      <c r="B103" s="1" t="s">
        <v>17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AJ103" s="162"/>
      <c r="AM103" s="162"/>
      <c r="AY103" s="162"/>
      <c r="BK103" s="162"/>
      <c r="BW103" s="162"/>
      <c r="CI103" s="162"/>
      <c r="CU103" s="162"/>
    </row>
    <row r="104" spans="1:111" x14ac:dyDescent="0.3">
      <c r="B104" s="1" t="s">
        <v>18</v>
      </c>
      <c r="C104" s="1"/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0">
        <v>0</v>
      </c>
      <c r="K104" s="90">
        <v>0</v>
      </c>
      <c r="L104" s="90">
        <v>0</v>
      </c>
      <c r="M104" s="90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0</v>
      </c>
      <c r="V104" s="91">
        <v>0</v>
      </c>
      <c r="W104" s="91">
        <v>0</v>
      </c>
      <c r="X104" s="91">
        <v>0</v>
      </c>
      <c r="Y104" s="91">
        <v>0</v>
      </c>
      <c r="Z104" s="91">
        <v>0</v>
      </c>
      <c r="AA104" s="91">
        <v>0</v>
      </c>
      <c r="AB104" s="91"/>
      <c r="AC104" s="91">
        <v>0</v>
      </c>
      <c r="AD104" s="91">
        <v>0</v>
      </c>
      <c r="AE104" s="91">
        <v>14766</v>
      </c>
      <c r="AF104" s="91">
        <v>12565</v>
      </c>
      <c r="AG104" s="91">
        <v>400</v>
      </c>
      <c r="AH104" s="91">
        <v>1500</v>
      </c>
      <c r="AI104" s="91">
        <v>0</v>
      </c>
      <c r="AJ104" s="163">
        <v>0</v>
      </c>
      <c r="AK104" s="91">
        <f t="shared" ref="AK104" si="547">(AK106*AK11)/30.4333</f>
        <v>27048.982381216949</v>
      </c>
      <c r="AL104" s="90">
        <f t="shared" ref="AL104:BM104" si="548">(AL106*AL11)/30.4333</f>
        <v>10400.324510264702</v>
      </c>
      <c r="AM104" s="163">
        <f t="shared" si="548"/>
        <v>4578.2793148634064</v>
      </c>
      <c r="AN104" s="90">
        <f t="shared" si="548"/>
        <v>13734.837944590217</v>
      </c>
      <c r="AO104" s="90">
        <f t="shared" si="548"/>
        <v>13734.837944590217</v>
      </c>
      <c r="AP104" s="90">
        <f t="shared" si="548"/>
        <v>13734.837944590217</v>
      </c>
      <c r="AQ104" s="90">
        <f t="shared" si="548"/>
        <v>13734.837944590217</v>
      </c>
      <c r="AR104" s="90">
        <f t="shared" si="548"/>
        <v>13734.837944590217</v>
      </c>
      <c r="AS104" s="90">
        <f t="shared" si="548"/>
        <v>13734.837944590217</v>
      </c>
      <c r="AT104" s="90">
        <f t="shared" si="548"/>
        <v>13734.837944590217</v>
      </c>
      <c r="AU104" s="90">
        <f t="shared" si="548"/>
        <v>13734.837944590217</v>
      </c>
      <c r="AV104" s="90">
        <f t="shared" si="548"/>
        <v>13734.837944590217</v>
      </c>
      <c r="AW104" s="90">
        <f t="shared" si="548"/>
        <v>13734.837944590217</v>
      </c>
      <c r="AX104" s="90">
        <f t="shared" si="548"/>
        <v>13734.837944590217</v>
      </c>
      <c r="AY104" s="163">
        <f t="shared" si="548"/>
        <v>13734.837944590217</v>
      </c>
      <c r="AZ104" s="90">
        <f t="shared" si="548"/>
        <v>13734.837944590217</v>
      </c>
      <c r="BA104" s="90">
        <f t="shared" si="548"/>
        <v>13734.837944590217</v>
      </c>
      <c r="BB104" s="90">
        <f t="shared" si="548"/>
        <v>13734.837944590217</v>
      </c>
      <c r="BC104" s="90">
        <f t="shared" si="548"/>
        <v>13734.837944590217</v>
      </c>
      <c r="BD104" s="90">
        <f t="shared" si="548"/>
        <v>13734.837944590217</v>
      </c>
      <c r="BE104" s="90">
        <f t="shared" si="548"/>
        <v>13734.837944590217</v>
      </c>
      <c r="BF104" s="90">
        <f t="shared" si="548"/>
        <v>18313.117259453626</v>
      </c>
      <c r="BG104" s="90">
        <f t="shared" si="548"/>
        <v>18313.117259453626</v>
      </c>
      <c r="BH104" s="90">
        <f t="shared" si="548"/>
        <v>18313.117259453626</v>
      </c>
      <c r="BI104" s="90">
        <f t="shared" si="548"/>
        <v>18313.117259453626</v>
      </c>
      <c r="BJ104" s="90">
        <f t="shared" si="548"/>
        <v>18313.117259453626</v>
      </c>
      <c r="BK104" s="163">
        <f t="shared" si="548"/>
        <v>18313.117259453626</v>
      </c>
      <c r="BL104" s="90">
        <f t="shared" si="548"/>
        <v>22891.39657431703</v>
      </c>
      <c r="BM104" s="90">
        <f t="shared" si="548"/>
        <v>22891.39657431703</v>
      </c>
      <c r="BN104" s="90">
        <f t="shared" ref="BN104:CS104" si="549">(BN106*BN11)/30.4333</f>
        <v>22891.39657431703</v>
      </c>
      <c r="BO104" s="90">
        <f t="shared" si="549"/>
        <v>22891.39657431703</v>
      </c>
      <c r="BP104" s="90">
        <f t="shared" si="549"/>
        <v>22891.39657431703</v>
      </c>
      <c r="BQ104" s="90">
        <f t="shared" si="549"/>
        <v>22891.39657431703</v>
      </c>
      <c r="BR104" s="90">
        <f t="shared" si="549"/>
        <v>22891.39657431703</v>
      </c>
      <c r="BS104" s="90">
        <f t="shared" si="549"/>
        <v>22891.39657431703</v>
      </c>
      <c r="BT104" s="90">
        <f t="shared" si="549"/>
        <v>22891.39657431703</v>
      </c>
      <c r="BU104" s="90">
        <f t="shared" si="549"/>
        <v>22891.39657431703</v>
      </c>
      <c r="BV104" s="90">
        <f t="shared" si="549"/>
        <v>22891.39657431703</v>
      </c>
      <c r="BW104" s="163">
        <f t="shared" si="549"/>
        <v>22891.39657431703</v>
      </c>
      <c r="BX104" s="90">
        <f t="shared" si="549"/>
        <v>27469.675889180435</v>
      </c>
      <c r="BY104" s="90">
        <f t="shared" si="549"/>
        <v>27469.675889180435</v>
      </c>
      <c r="BZ104" s="90">
        <f t="shared" si="549"/>
        <v>27469.675889180435</v>
      </c>
      <c r="CA104" s="90">
        <f t="shared" si="549"/>
        <v>27469.675889180435</v>
      </c>
      <c r="CB104" s="90">
        <f t="shared" si="549"/>
        <v>27469.675889180435</v>
      </c>
      <c r="CC104" s="90">
        <f t="shared" si="549"/>
        <v>27469.675889180435</v>
      </c>
      <c r="CD104" s="90">
        <f t="shared" si="549"/>
        <v>27469.675889180435</v>
      </c>
      <c r="CE104" s="90">
        <f t="shared" si="549"/>
        <v>27469.675889180435</v>
      </c>
      <c r="CF104" s="90">
        <f t="shared" si="549"/>
        <v>27469.675889180435</v>
      </c>
      <c r="CG104" s="90">
        <f t="shared" si="549"/>
        <v>27469.675889180435</v>
      </c>
      <c r="CH104" s="90">
        <f t="shared" si="549"/>
        <v>27469.675889180435</v>
      </c>
      <c r="CI104" s="163">
        <f t="shared" si="549"/>
        <v>27469.675889180435</v>
      </c>
      <c r="CJ104" s="90">
        <f t="shared" si="549"/>
        <v>32047.955204043839</v>
      </c>
      <c r="CK104" s="90">
        <f t="shared" si="549"/>
        <v>32047.955204043839</v>
      </c>
      <c r="CL104" s="90">
        <f t="shared" si="549"/>
        <v>32047.955204043839</v>
      </c>
      <c r="CM104" s="90">
        <f t="shared" si="549"/>
        <v>32047.955204043839</v>
      </c>
      <c r="CN104" s="90">
        <f t="shared" si="549"/>
        <v>32047.955204043839</v>
      </c>
      <c r="CO104" s="90">
        <f t="shared" si="549"/>
        <v>32047.955204043839</v>
      </c>
      <c r="CP104" s="90">
        <f t="shared" si="549"/>
        <v>36626.234518907251</v>
      </c>
      <c r="CQ104" s="90">
        <f t="shared" si="549"/>
        <v>36626.234518907251</v>
      </c>
      <c r="CR104" s="90">
        <f t="shared" si="549"/>
        <v>36626.234518907251</v>
      </c>
      <c r="CS104" s="90">
        <f t="shared" si="549"/>
        <v>36626.234518907251</v>
      </c>
      <c r="CT104" s="90">
        <f t="shared" ref="CT104:DG104" si="550">(CT106*CT11)/30.4333</f>
        <v>36626.234518907251</v>
      </c>
      <c r="CU104" s="163">
        <f t="shared" si="550"/>
        <v>36626.234518907251</v>
      </c>
      <c r="CV104" s="90">
        <f t="shared" si="550"/>
        <v>36626.234518907251</v>
      </c>
      <c r="CW104" s="90">
        <f t="shared" si="550"/>
        <v>36626.234518907251</v>
      </c>
      <c r="CX104" s="90">
        <f t="shared" si="550"/>
        <v>36626.234518907251</v>
      </c>
      <c r="CY104" s="90">
        <f t="shared" si="550"/>
        <v>36626.234518907251</v>
      </c>
      <c r="CZ104" s="90">
        <f t="shared" si="550"/>
        <v>36626.234518907251</v>
      </c>
      <c r="DA104" s="90">
        <f t="shared" si="550"/>
        <v>36626.234518907251</v>
      </c>
      <c r="DB104" s="90">
        <f t="shared" si="550"/>
        <v>41204.513833770652</v>
      </c>
      <c r="DC104" s="90">
        <f t="shared" si="550"/>
        <v>41204.513833770652</v>
      </c>
      <c r="DD104" s="90">
        <f t="shared" si="550"/>
        <v>41204.513833770652</v>
      </c>
      <c r="DE104" s="90">
        <f t="shared" si="550"/>
        <v>41204.513833770652</v>
      </c>
      <c r="DF104" s="90">
        <f t="shared" si="550"/>
        <v>41204.513833770652</v>
      </c>
      <c r="DG104" s="90">
        <f t="shared" si="550"/>
        <v>41204.513833770652</v>
      </c>
    </row>
    <row r="105" spans="1:111" x14ac:dyDescent="0.3">
      <c r="A105" s="5"/>
      <c r="B105" s="6" t="s">
        <v>19</v>
      </c>
      <c r="C105" s="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>
        <f t="shared" ref="P105:BZ105" si="551">P104</f>
        <v>0</v>
      </c>
      <c r="Q105" s="36">
        <f t="shared" ref="Q105:W105" si="552">Q104</f>
        <v>0</v>
      </c>
      <c r="R105" s="36">
        <f t="shared" si="552"/>
        <v>0</v>
      </c>
      <c r="S105" s="36">
        <f t="shared" si="552"/>
        <v>0</v>
      </c>
      <c r="T105" s="36">
        <f t="shared" si="552"/>
        <v>0</v>
      </c>
      <c r="U105" s="36">
        <f t="shared" si="552"/>
        <v>0</v>
      </c>
      <c r="V105" s="36">
        <f t="shared" si="552"/>
        <v>0</v>
      </c>
      <c r="W105" s="36">
        <f t="shared" si="552"/>
        <v>0</v>
      </c>
      <c r="X105" s="36">
        <f t="shared" ref="X105:Y105" si="553">X104</f>
        <v>0</v>
      </c>
      <c r="Y105" s="36">
        <f t="shared" si="553"/>
        <v>0</v>
      </c>
      <c r="Z105" s="36">
        <f t="shared" ref="Z105:AA105" si="554">Z104</f>
        <v>0</v>
      </c>
      <c r="AA105" s="36">
        <f t="shared" si="554"/>
        <v>0</v>
      </c>
      <c r="AB105" s="36">
        <f t="shared" ref="AB105:AC105" si="555">AB104</f>
        <v>0</v>
      </c>
      <c r="AC105" s="36">
        <f t="shared" si="555"/>
        <v>0</v>
      </c>
      <c r="AD105" s="36">
        <f t="shared" ref="AD105:AE105" si="556">AD104</f>
        <v>0</v>
      </c>
      <c r="AE105" s="36">
        <f t="shared" si="556"/>
        <v>14766</v>
      </c>
      <c r="AF105" s="36">
        <f t="shared" ref="AF105:AG105" si="557">AF104</f>
        <v>12565</v>
      </c>
      <c r="AG105" s="36">
        <f t="shared" si="557"/>
        <v>400</v>
      </c>
      <c r="AH105" s="36">
        <f t="shared" ref="AH105:AI105" si="558">AH104</f>
        <v>1500</v>
      </c>
      <c r="AI105" s="36">
        <f t="shared" si="558"/>
        <v>0</v>
      </c>
      <c r="AJ105" s="167">
        <f t="shared" ref="AJ105" si="559">AJ104</f>
        <v>0</v>
      </c>
      <c r="AK105" s="36">
        <f t="shared" ref="AK105" si="560">AK104</f>
        <v>27048.982381216949</v>
      </c>
      <c r="AL105" s="36">
        <f t="shared" si="551"/>
        <v>10400.324510264702</v>
      </c>
      <c r="AM105" s="167">
        <f t="shared" si="551"/>
        <v>4578.2793148634064</v>
      </c>
      <c r="AN105" s="36">
        <f t="shared" si="551"/>
        <v>13734.837944590217</v>
      </c>
      <c r="AO105" s="36">
        <f t="shared" si="551"/>
        <v>13734.837944590217</v>
      </c>
      <c r="AP105" s="36">
        <f t="shared" si="551"/>
        <v>13734.837944590217</v>
      </c>
      <c r="AQ105" s="36">
        <f t="shared" si="551"/>
        <v>13734.837944590217</v>
      </c>
      <c r="AR105" s="36">
        <f t="shared" si="551"/>
        <v>13734.837944590217</v>
      </c>
      <c r="AS105" s="36">
        <f t="shared" si="551"/>
        <v>13734.837944590217</v>
      </c>
      <c r="AT105" s="36">
        <f t="shared" si="551"/>
        <v>13734.837944590217</v>
      </c>
      <c r="AU105" s="36">
        <f t="shared" si="551"/>
        <v>13734.837944590217</v>
      </c>
      <c r="AV105" s="36">
        <f t="shared" si="551"/>
        <v>13734.837944590217</v>
      </c>
      <c r="AW105" s="36">
        <f t="shared" si="551"/>
        <v>13734.837944590217</v>
      </c>
      <c r="AX105" s="36">
        <f t="shared" si="551"/>
        <v>13734.837944590217</v>
      </c>
      <c r="AY105" s="167">
        <f t="shared" si="551"/>
        <v>13734.837944590217</v>
      </c>
      <c r="AZ105" s="36">
        <f t="shared" si="551"/>
        <v>13734.837944590217</v>
      </c>
      <c r="BA105" s="36">
        <f t="shared" si="551"/>
        <v>13734.837944590217</v>
      </c>
      <c r="BB105" s="36">
        <f t="shared" si="551"/>
        <v>13734.837944590217</v>
      </c>
      <c r="BC105" s="36">
        <f t="shared" si="551"/>
        <v>13734.837944590217</v>
      </c>
      <c r="BD105" s="36">
        <f t="shared" si="551"/>
        <v>13734.837944590217</v>
      </c>
      <c r="BE105" s="36">
        <f t="shared" si="551"/>
        <v>13734.837944590217</v>
      </c>
      <c r="BF105" s="36">
        <f t="shared" si="551"/>
        <v>18313.117259453626</v>
      </c>
      <c r="BG105" s="36">
        <f t="shared" si="551"/>
        <v>18313.117259453626</v>
      </c>
      <c r="BH105" s="36">
        <f t="shared" si="551"/>
        <v>18313.117259453626</v>
      </c>
      <c r="BI105" s="36">
        <f t="shared" si="551"/>
        <v>18313.117259453626</v>
      </c>
      <c r="BJ105" s="36">
        <f t="shared" si="551"/>
        <v>18313.117259453626</v>
      </c>
      <c r="BK105" s="167">
        <f t="shared" si="551"/>
        <v>18313.117259453626</v>
      </c>
      <c r="BL105" s="36">
        <f t="shared" si="551"/>
        <v>22891.39657431703</v>
      </c>
      <c r="BM105" s="36">
        <f t="shared" si="551"/>
        <v>22891.39657431703</v>
      </c>
      <c r="BN105" s="36">
        <f t="shared" si="551"/>
        <v>22891.39657431703</v>
      </c>
      <c r="BO105" s="36">
        <f t="shared" si="551"/>
        <v>22891.39657431703</v>
      </c>
      <c r="BP105" s="36">
        <f t="shared" si="551"/>
        <v>22891.39657431703</v>
      </c>
      <c r="BQ105" s="36">
        <f t="shared" si="551"/>
        <v>22891.39657431703</v>
      </c>
      <c r="BR105" s="36">
        <f t="shared" si="551"/>
        <v>22891.39657431703</v>
      </c>
      <c r="BS105" s="36">
        <f t="shared" si="551"/>
        <v>22891.39657431703</v>
      </c>
      <c r="BT105" s="36">
        <f t="shared" si="551"/>
        <v>22891.39657431703</v>
      </c>
      <c r="BU105" s="36">
        <f t="shared" si="551"/>
        <v>22891.39657431703</v>
      </c>
      <c r="BV105" s="36">
        <f t="shared" si="551"/>
        <v>22891.39657431703</v>
      </c>
      <c r="BW105" s="167">
        <f t="shared" si="551"/>
        <v>22891.39657431703</v>
      </c>
      <c r="BX105" s="36">
        <f t="shared" si="551"/>
        <v>27469.675889180435</v>
      </c>
      <c r="BY105" s="36">
        <f t="shared" si="551"/>
        <v>27469.675889180435</v>
      </c>
      <c r="BZ105" s="36">
        <f t="shared" si="551"/>
        <v>27469.675889180435</v>
      </c>
      <c r="CA105" s="36">
        <f t="shared" ref="CA105:DG105" si="561">CA104</f>
        <v>27469.675889180435</v>
      </c>
      <c r="CB105" s="36">
        <f t="shared" si="561"/>
        <v>27469.675889180435</v>
      </c>
      <c r="CC105" s="36">
        <f t="shared" si="561"/>
        <v>27469.675889180435</v>
      </c>
      <c r="CD105" s="36">
        <f t="shared" si="561"/>
        <v>27469.675889180435</v>
      </c>
      <c r="CE105" s="36">
        <f t="shared" si="561"/>
        <v>27469.675889180435</v>
      </c>
      <c r="CF105" s="36">
        <f t="shared" si="561"/>
        <v>27469.675889180435</v>
      </c>
      <c r="CG105" s="36">
        <f t="shared" si="561"/>
        <v>27469.675889180435</v>
      </c>
      <c r="CH105" s="36">
        <f t="shared" si="561"/>
        <v>27469.675889180435</v>
      </c>
      <c r="CI105" s="167">
        <f t="shared" si="561"/>
        <v>27469.675889180435</v>
      </c>
      <c r="CJ105" s="36">
        <f t="shared" si="561"/>
        <v>32047.955204043839</v>
      </c>
      <c r="CK105" s="36">
        <f t="shared" si="561"/>
        <v>32047.955204043839</v>
      </c>
      <c r="CL105" s="36">
        <f t="shared" si="561"/>
        <v>32047.955204043839</v>
      </c>
      <c r="CM105" s="36">
        <f t="shared" si="561"/>
        <v>32047.955204043839</v>
      </c>
      <c r="CN105" s="36">
        <f t="shared" si="561"/>
        <v>32047.955204043839</v>
      </c>
      <c r="CO105" s="36">
        <f t="shared" si="561"/>
        <v>32047.955204043839</v>
      </c>
      <c r="CP105" s="36">
        <f t="shared" si="561"/>
        <v>36626.234518907251</v>
      </c>
      <c r="CQ105" s="36">
        <f t="shared" si="561"/>
        <v>36626.234518907251</v>
      </c>
      <c r="CR105" s="36">
        <f t="shared" si="561"/>
        <v>36626.234518907251</v>
      </c>
      <c r="CS105" s="36">
        <f t="shared" si="561"/>
        <v>36626.234518907251</v>
      </c>
      <c r="CT105" s="36">
        <f t="shared" si="561"/>
        <v>36626.234518907251</v>
      </c>
      <c r="CU105" s="167">
        <f t="shared" si="561"/>
        <v>36626.234518907251</v>
      </c>
      <c r="CV105" s="36">
        <f t="shared" si="561"/>
        <v>36626.234518907251</v>
      </c>
      <c r="CW105" s="36">
        <f t="shared" si="561"/>
        <v>36626.234518907251</v>
      </c>
      <c r="CX105" s="36">
        <f t="shared" si="561"/>
        <v>36626.234518907251</v>
      </c>
      <c r="CY105" s="36">
        <f t="shared" si="561"/>
        <v>36626.234518907251</v>
      </c>
      <c r="CZ105" s="36">
        <f t="shared" si="561"/>
        <v>36626.234518907251</v>
      </c>
      <c r="DA105" s="36">
        <f t="shared" si="561"/>
        <v>36626.234518907251</v>
      </c>
      <c r="DB105" s="36">
        <f t="shared" si="561"/>
        <v>41204.513833770652</v>
      </c>
      <c r="DC105" s="36">
        <f t="shared" si="561"/>
        <v>41204.513833770652</v>
      </c>
      <c r="DD105" s="36">
        <f t="shared" si="561"/>
        <v>41204.513833770652</v>
      </c>
      <c r="DE105" s="36">
        <f t="shared" si="561"/>
        <v>41204.513833770652</v>
      </c>
      <c r="DF105" s="36">
        <f t="shared" si="561"/>
        <v>41204.513833770652</v>
      </c>
      <c r="DG105" s="36">
        <f t="shared" si="561"/>
        <v>41204.513833770652</v>
      </c>
    </row>
    <row r="106" spans="1:111" x14ac:dyDescent="0.3">
      <c r="A106" s="45"/>
      <c r="B106" s="42"/>
      <c r="C106" s="43" t="s">
        <v>148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>
        <f t="shared" ref="P106:AJ106" si="562">IFERROR(AVERAGE(O104:P104)/(P9/30.4333), 0)</f>
        <v>0</v>
      </c>
      <c r="Q106" s="44">
        <f t="shared" si="562"/>
        <v>0</v>
      </c>
      <c r="R106" s="44">
        <f t="shared" si="562"/>
        <v>0</v>
      </c>
      <c r="S106" s="44">
        <f t="shared" si="562"/>
        <v>0</v>
      </c>
      <c r="T106" s="44">
        <f t="shared" si="562"/>
        <v>0</v>
      </c>
      <c r="U106" s="44">
        <f t="shared" si="562"/>
        <v>0</v>
      </c>
      <c r="V106" s="44">
        <f t="shared" si="562"/>
        <v>0</v>
      </c>
      <c r="W106" s="44">
        <f t="shared" si="562"/>
        <v>0</v>
      </c>
      <c r="X106" s="44">
        <f t="shared" si="562"/>
        <v>0</v>
      </c>
      <c r="Y106" s="44">
        <f t="shared" si="562"/>
        <v>0</v>
      </c>
      <c r="Z106" s="44">
        <f t="shared" si="562"/>
        <v>0</v>
      </c>
      <c r="AA106" s="44">
        <f t="shared" si="562"/>
        <v>0</v>
      </c>
      <c r="AB106" s="44">
        <f t="shared" si="562"/>
        <v>0</v>
      </c>
      <c r="AC106" s="44">
        <f t="shared" si="562"/>
        <v>0</v>
      </c>
      <c r="AD106" s="44">
        <f t="shared" si="562"/>
        <v>0</v>
      </c>
      <c r="AE106" s="44">
        <f t="shared" si="562"/>
        <v>0</v>
      </c>
      <c r="AF106" s="44">
        <f t="shared" si="562"/>
        <v>5.0435325097272194</v>
      </c>
      <c r="AG106" s="44">
        <f t="shared" si="562"/>
        <v>18.052005304411161</v>
      </c>
      <c r="AH106" s="44">
        <f t="shared" si="562"/>
        <v>41.302335714285711</v>
      </c>
      <c r="AI106" s="44">
        <f t="shared" si="562"/>
        <v>0.49730864762402771</v>
      </c>
      <c r="AJ106" s="169">
        <f t="shared" si="562"/>
        <v>0</v>
      </c>
      <c r="AK106" s="540">
        <f>+AVERAGE(AH106:AJ106)</f>
        <v>13.933214787303248</v>
      </c>
      <c r="AL106" s="44">
        <f t="shared" ref="AL106:CA106" si="563">AK106</f>
        <v>13.933214787303248</v>
      </c>
      <c r="AM106" s="169">
        <f t="shared" si="563"/>
        <v>13.933214787303248</v>
      </c>
      <c r="AN106" s="44">
        <f t="shared" si="563"/>
        <v>13.933214787303248</v>
      </c>
      <c r="AO106" s="44">
        <f t="shared" si="563"/>
        <v>13.933214787303248</v>
      </c>
      <c r="AP106" s="44">
        <f t="shared" si="563"/>
        <v>13.933214787303248</v>
      </c>
      <c r="AQ106" s="44">
        <f t="shared" si="563"/>
        <v>13.933214787303248</v>
      </c>
      <c r="AR106" s="44">
        <f t="shared" si="563"/>
        <v>13.933214787303248</v>
      </c>
      <c r="AS106" s="44">
        <f t="shared" si="563"/>
        <v>13.933214787303248</v>
      </c>
      <c r="AT106" s="44">
        <f t="shared" si="563"/>
        <v>13.933214787303248</v>
      </c>
      <c r="AU106" s="44">
        <f t="shared" si="563"/>
        <v>13.933214787303248</v>
      </c>
      <c r="AV106" s="44">
        <f t="shared" si="563"/>
        <v>13.933214787303248</v>
      </c>
      <c r="AW106" s="44">
        <f t="shared" si="563"/>
        <v>13.933214787303248</v>
      </c>
      <c r="AX106" s="44">
        <f t="shared" si="563"/>
        <v>13.933214787303248</v>
      </c>
      <c r="AY106" s="169">
        <f t="shared" si="563"/>
        <v>13.933214787303248</v>
      </c>
      <c r="AZ106" s="44">
        <f t="shared" si="563"/>
        <v>13.933214787303248</v>
      </c>
      <c r="BA106" s="44">
        <f t="shared" si="563"/>
        <v>13.933214787303248</v>
      </c>
      <c r="BB106" s="44">
        <f t="shared" si="563"/>
        <v>13.933214787303248</v>
      </c>
      <c r="BC106" s="44">
        <f t="shared" si="563"/>
        <v>13.933214787303248</v>
      </c>
      <c r="BD106" s="44">
        <f t="shared" si="563"/>
        <v>13.933214787303248</v>
      </c>
      <c r="BE106" s="44">
        <f t="shared" si="563"/>
        <v>13.933214787303248</v>
      </c>
      <c r="BF106" s="44">
        <f t="shared" si="563"/>
        <v>13.933214787303248</v>
      </c>
      <c r="BG106" s="44">
        <f t="shared" si="563"/>
        <v>13.933214787303248</v>
      </c>
      <c r="BH106" s="44">
        <f t="shared" si="563"/>
        <v>13.933214787303248</v>
      </c>
      <c r="BI106" s="44">
        <f t="shared" si="563"/>
        <v>13.933214787303248</v>
      </c>
      <c r="BJ106" s="44">
        <f t="shared" si="563"/>
        <v>13.933214787303248</v>
      </c>
      <c r="BK106" s="169">
        <f t="shared" si="563"/>
        <v>13.933214787303248</v>
      </c>
      <c r="BL106" s="44">
        <f t="shared" si="563"/>
        <v>13.933214787303248</v>
      </c>
      <c r="BM106" s="44">
        <f t="shared" si="563"/>
        <v>13.933214787303248</v>
      </c>
      <c r="BN106" s="44">
        <f t="shared" si="563"/>
        <v>13.933214787303248</v>
      </c>
      <c r="BO106" s="44">
        <f t="shared" si="563"/>
        <v>13.933214787303248</v>
      </c>
      <c r="BP106" s="44">
        <f t="shared" si="563"/>
        <v>13.933214787303248</v>
      </c>
      <c r="BQ106" s="44">
        <f t="shared" si="563"/>
        <v>13.933214787303248</v>
      </c>
      <c r="BR106" s="44">
        <f t="shared" si="563"/>
        <v>13.933214787303248</v>
      </c>
      <c r="BS106" s="44">
        <f t="shared" si="563"/>
        <v>13.933214787303248</v>
      </c>
      <c r="BT106" s="44">
        <f t="shared" si="563"/>
        <v>13.933214787303248</v>
      </c>
      <c r="BU106" s="44">
        <f t="shared" si="563"/>
        <v>13.933214787303248</v>
      </c>
      <c r="BV106" s="44">
        <f t="shared" si="563"/>
        <v>13.933214787303248</v>
      </c>
      <c r="BW106" s="169">
        <f t="shared" si="563"/>
        <v>13.933214787303248</v>
      </c>
      <c r="BX106" s="44">
        <f t="shared" si="563"/>
        <v>13.933214787303248</v>
      </c>
      <c r="BY106" s="44">
        <f t="shared" si="563"/>
        <v>13.933214787303248</v>
      </c>
      <c r="BZ106" s="44">
        <f t="shared" si="563"/>
        <v>13.933214787303248</v>
      </c>
      <c r="CA106" s="44">
        <f t="shared" si="563"/>
        <v>13.933214787303248</v>
      </c>
      <c r="CB106" s="44">
        <f t="shared" ref="CB106:DG106" si="564">CA106</f>
        <v>13.933214787303248</v>
      </c>
      <c r="CC106" s="44">
        <f t="shared" si="564"/>
        <v>13.933214787303248</v>
      </c>
      <c r="CD106" s="44">
        <f t="shared" si="564"/>
        <v>13.933214787303248</v>
      </c>
      <c r="CE106" s="44">
        <f t="shared" si="564"/>
        <v>13.933214787303248</v>
      </c>
      <c r="CF106" s="44">
        <f t="shared" si="564"/>
        <v>13.933214787303248</v>
      </c>
      <c r="CG106" s="44">
        <f t="shared" si="564"/>
        <v>13.933214787303248</v>
      </c>
      <c r="CH106" s="44">
        <f t="shared" si="564"/>
        <v>13.933214787303248</v>
      </c>
      <c r="CI106" s="169">
        <f t="shared" si="564"/>
        <v>13.933214787303248</v>
      </c>
      <c r="CJ106" s="44">
        <f t="shared" si="564"/>
        <v>13.933214787303248</v>
      </c>
      <c r="CK106" s="44">
        <f t="shared" si="564"/>
        <v>13.933214787303248</v>
      </c>
      <c r="CL106" s="44">
        <f t="shared" si="564"/>
        <v>13.933214787303248</v>
      </c>
      <c r="CM106" s="44">
        <f t="shared" si="564"/>
        <v>13.933214787303248</v>
      </c>
      <c r="CN106" s="44">
        <f t="shared" si="564"/>
        <v>13.933214787303248</v>
      </c>
      <c r="CO106" s="44">
        <f t="shared" si="564"/>
        <v>13.933214787303248</v>
      </c>
      <c r="CP106" s="44">
        <f t="shared" si="564"/>
        <v>13.933214787303248</v>
      </c>
      <c r="CQ106" s="44">
        <f t="shared" si="564"/>
        <v>13.933214787303248</v>
      </c>
      <c r="CR106" s="44">
        <f t="shared" si="564"/>
        <v>13.933214787303248</v>
      </c>
      <c r="CS106" s="44">
        <f t="shared" si="564"/>
        <v>13.933214787303248</v>
      </c>
      <c r="CT106" s="44">
        <f t="shared" si="564"/>
        <v>13.933214787303248</v>
      </c>
      <c r="CU106" s="169">
        <f t="shared" si="564"/>
        <v>13.933214787303248</v>
      </c>
      <c r="CV106" s="44">
        <f t="shared" si="564"/>
        <v>13.933214787303248</v>
      </c>
      <c r="CW106" s="44">
        <f t="shared" si="564"/>
        <v>13.933214787303248</v>
      </c>
      <c r="CX106" s="44">
        <f t="shared" si="564"/>
        <v>13.933214787303248</v>
      </c>
      <c r="CY106" s="44">
        <f t="shared" si="564"/>
        <v>13.933214787303248</v>
      </c>
      <c r="CZ106" s="44">
        <f t="shared" si="564"/>
        <v>13.933214787303248</v>
      </c>
      <c r="DA106" s="44">
        <f t="shared" si="564"/>
        <v>13.933214787303248</v>
      </c>
      <c r="DB106" s="44">
        <f t="shared" si="564"/>
        <v>13.933214787303248</v>
      </c>
      <c r="DC106" s="44">
        <f t="shared" si="564"/>
        <v>13.933214787303248</v>
      </c>
      <c r="DD106" s="44">
        <f t="shared" si="564"/>
        <v>13.933214787303248</v>
      </c>
      <c r="DE106" s="44">
        <f t="shared" si="564"/>
        <v>13.933214787303248</v>
      </c>
      <c r="DF106" s="44">
        <f t="shared" si="564"/>
        <v>13.933214787303248</v>
      </c>
      <c r="DG106" s="44">
        <f t="shared" si="564"/>
        <v>13.933214787303248</v>
      </c>
    </row>
    <row r="107" spans="1:111" x14ac:dyDescent="0.3">
      <c r="B107" s="1" t="s">
        <v>203</v>
      </c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546"/>
      <c r="AK107" s="33"/>
      <c r="AM107" s="162"/>
      <c r="AY107" s="162"/>
      <c r="BK107" s="162"/>
      <c r="BW107" s="162"/>
      <c r="CI107" s="162"/>
      <c r="CU107" s="162"/>
    </row>
    <row r="108" spans="1:111" x14ac:dyDescent="0.3">
      <c r="B108" s="1" t="s">
        <v>475</v>
      </c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O108" s="33"/>
      <c r="P108" s="91">
        <v>0</v>
      </c>
      <c r="Q108" s="91">
        <v>0</v>
      </c>
      <c r="R108" s="91">
        <v>0</v>
      </c>
      <c r="S108" s="91">
        <v>0</v>
      </c>
      <c r="T108" s="91">
        <v>0</v>
      </c>
      <c r="U108" s="91">
        <v>0</v>
      </c>
      <c r="V108" s="91">
        <v>0</v>
      </c>
      <c r="W108" s="91">
        <v>0</v>
      </c>
      <c r="X108" s="91">
        <v>0</v>
      </c>
      <c r="Y108" s="91">
        <v>0</v>
      </c>
      <c r="Z108" s="91">
        <v>0</v>
      </c>
      <c r="AA108" s="91">
        <v>0</v>
      </c>
      <c r="AB108" s="91"/>
      <c r="AC108" s="91">
        <v>0</v>
      </c>
      <c r="AD108" s="91">
        <v>0</v>
      </c>
      <c r="AE108" s="91">
        <v>0</v>
      </c>
      <c r="AF108" s="91">
        <v>0</v>
      </c>
      <c r="AG108" s="91">
        <v>10570</v>
      </c>
      <c r="AH108" s="91">
        <v>0</v>
      </c>
      <c r="AI108" s="91">
        <v>0</v>
      </c>
      <c r="AJ108" s="163">
        <v>0</v>
      </c>
      <c r="AK108" s="206">
        <f t="shared" ref="AK108" si="565">AJ108</f>
        <v>0</v>
      </c>
      <c r="AL108" s="91">
        <f t="shared" ref="AL108:CI108" si="566">AK108</f>
        <v>0</v>
      </c>
      <c r="AM108" s="163">
        <f t="shared" si="566"/>
        <v>0</v>
      </c>
      <c r="AN108" s="91">
        <f t="shared" si="566"/>
        <v>0</v>
      </c>
      <c r="AO108" s="91">
        <f t="shared" si="566"/>
        <v>0</v>
      </c>
      <c r="AP108" s="91">
        <f t="shared" si="566"/>
        <v>0</v>
      </c>
      <c r="AQ108" s="91">
        <f t="shared" si="566"/>
        <v>0</v>
      </c>
      <c r="AR108" s="91">
        <f t="shared" si="566"/>
        <v>0</v>
      </c>
      <c r="AS108" s="91">
        <f t="shared" si="566"/>
        <v>0</v>
      </c>
      <c r="AT108" s="91">
        <f t="shared" si="566"/>
        <v>0</v>
      </c>
      <c r="AU108" s="91">
        <f t="shared" si="566"/>
        <v>0</v>
      </c>
      <c r="AV108" s="91">
        <f t="shared" si="566"/>
        <v>0</v>
      </c>
      <c r="AW108" s="91">
        <f t="shared" si="566"/>
        <v>0</v>
      </c>
      <c r="AX108" s="91">
        <f t="shared" si="566"/>
        <v>0</v>
      </c>
      <c r="AY108" s="163">
        <f t="shared" si="566"/>
        <v>0</v>
      </c>
      <c r="AZ108" s="91">
        <f t="shared" si="566"/>
        <v>0</v>
      </c>
      <c r="BA108" s="91">
        <f t="shared" si="566"/>
        <v>0</v>
      </c>
      <c r="BB108" s="91">
        <f t="shared" si="566"/>
        <v>0</v>
      </c>
      <c r="BC108" s="91">
        <f t="shared" si="566"/>
        <v>0</v>
      </c>
      <c r="BD108" s="91">
        <f t="shared" si="566"/>
        <v>0</v>
      </c>
      <c r="BE108" s="91">
        <f t="shared" si="566"/>
        <v>0</v>
      </c>
      <c r="BF108" s="91">
        <f t="shared" si="566"/>
        <v>0</v>
      </c>
      <c r="BG108" s="91">
        <f t="shared" si="566"/>
        <v>0</v>
      </c>
      <c r="BH108" s="91">
        <f t="shared" si="566"/>
        <v>0</v>
      </c>
      <c r="BI108" s="91">
        <f t="shared" si="566"/>
        <v>0</v>
      </c>
      <c r="BJ108" s="91">
        <f t="shared" si="566"/>
        <v>0</v>
      </c>
      <c r="BK108" s="163">
        <f t="shared" si="566"/>
        <v>0</v>
      </c>
      <c r="BL108" s="91">
        <f t="shared" si="566"/>
        <v>0</v>
      </c>
      <c r="BM108" s="91">
        <f t="shared" si="566"/>
        <v>0</v>
      </c>
      <c r="BN108" s="91">
        <f t="shared" si="566"/>
        <v>0</v>
      </c>
      <c r="BO108" s="91">
        <f t="shared" si="566"/>
        <v>0</v>
      </c>
      <c r="BP108" s="91">
        <f t="shared" si="566"/>
        <v>0</v>
      </c>
      <c r="BQ108" s="91">
        <f t="shared" si="566"/>
        <v>0</v>
      </c>
      <c r="BR108" s="91">
        <f t="shared" si="566"/>
        <v>0</v>
      </c>
      <c r="BS108" s="91">
        <f t="shared" si="566"/>
        <v>0</v>
      </c>
      <c r="BT108" s="91">
        <f t="shared" si="566"/>
        <v>0</v>
      </c>
      <c r="BU108" s="91">
        <f t="shared" si="566"/>
        <v>0</v>
      </c>
      <c r="BV108" s="91">
        <f t="shared" si="566"/>
        <v>0</v>
      </c>
      <c r="BW108" s="163">
        <f t="shared" si="566"/>
        <v>0</v>
      </c>
      <c r="BX108" s="91">
        <f t="shared" si="566"/>
        <v>0</v>
      </c>
      <c r="BY108" s="91">
        <f t="shared" si="566"/>
        <v>0</v>
      </c>
      <c r="BZ108" s="91">
        <f t="shared" si="566"/>
        <v>0</v>
      </c>
      <c r="CA108" s="91">
        <f t="shared" si="566"/>
        <v>0</v>
      </c>
      <c r="CB108" s="91">
        <f t="shared" si="566"/>
        <v>0</v>
      </c>
      <c r="CC108" s="91">
        <f t="shared" si="566"/>
        <v>0</v>
      </c>
      <c r="CD108" s="91">
        <f t="shared" si="566"/>
        <v>0</v>
      </c>
      <c r="CE108" s="91">
        <f t="shared" si="566"/>
        <v>0</v>
      </c>
      <c r="CF108" s="91">
        <f t="shared" si="566"/>
        <v>0</v>
      </c>
      <c r="CG108" s="91">
        <f t="shared" si="566"/>
        <v>0</v>
      </c>
      <c r="CH108" s="91">
        <f t="shared" si="566"/>
        <v>0</v>
      </c>
      <c r="CI108" s="163">
        <f t="shared" si="566"/>
        <v>0</v>
      </c>
      <c r="CJ108" s="91">
        <f t="shared" ref="CJ108:DG108" si="567">CI108</f>
        <v>0</v>
      </c>
      <c r="CK108" s="91">
        <f t="shared" si="567"/>
        <v>0</v>
      </c>
      <c r="CL108" s="91">
        <f t="shared" si="567"/>
        <v>0</v>
      </c>
      <c r="CM108" s="91">
        <f t="shared" si="567"/>
        <v>0</v>
      </c>
      <c r="CN108" s="91">
        <f t="shared" si="567"/>
        <v>0</v>
      </c>
      <c r="CO108" s="91">
        <f t="shared" si="567"/>
        <v>0</v>
      </c>
      <c r="CP108" s="91">
        <f t="shared" si="567"/>
        <v>0</v>
      </c>
      <c r="CQ108" s="91">
        <f t="shared" si="567"/>
        <v>0</v>
      </c>
      <c r="CR108" s="91">
        <f t="shared" si="567"/>
        <v>0</v>
      </c>
      <c r="CS108" s="91">
        <f t="shared" si="567"/>
        <v>0</v>
      </c>
      <c r="CT108" s="91">
        <f t="shared" si="567"/>
        <v>0</v>
      </c>
      <c r="CU108" s="163">
        <f t="shared" si="567"/>
        <v>0</v>
      </c>
      <c r="CV108" s="91">
        <f t="shared" si="567"/>
        <v>0</v>
      </c>
      <c r="CW108" s="91">
        <f t="shared" si="567"/>
        <v>0</v>
      </c>
      <c r="CX108" s="91">
        <f t="shared" si="567"/>
        <v>0</v>
      </c>
      <c r="CY108" s="91">
        <f t="shared" si="567"/>
        <v>0</v>
      </c>
      <c r="CZ108" s="91">
        <f t="shared" si="567"/>
        <v>0</v>
      </c>
      <c r="DA108" s="91">
        <f t="shared" si="567"/>
        <v>0</v>
      </c>
      <c r="DB108" s="91">
        <f t="shared" si="567"/>
        <v>0</v>
      </c>
      <c r="DC108" s="91">
        <f t="shared" si="567"/>
        <v>0</v>
      </c>
      <c r="DD108" s="91">
        <f t="shared" si="567"/>
        <v>0</v>
      </c>
      <c r="DE108" s="91">
        <f t="shared" si="567"/>
        <v>0</v>
      </c>
      <c r="DF108" s="91">
        <f t="shared" si="567"/>
        <v>0</v>
      </c>
      <c r="DG108" s="91">
        <f t="shared" si="567"/>
        <v>0</v>
      </c>
    </row>
    <row r="109" spans="1:111" x14ac:dyDescent="0.3">
      <c r="B109" s="1" t="s">
        <v>476</v>
      </c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O109" s="33"/>
      <c r="P109" s="91">
        <v>0</v>
      </c>
      <c r="Q109" s="91">
        <v>0</v>
      </c>
      <c r="R109" s="91">
        <v>0</v>
      </c>
      <c r="S109" s="91">
        <v>0</v>
      </c>
      <c r="T109" s="91">
        <v>0</v>
      </c>
      <c r="U109" s="91">
        <v>0</v>
      </c>
      <c r="V109" s="91">
        <v>0</v>
      </c>
      <c r="W109" s="91">
        <v>0</v>
      </c>
      <c r="X109" s="91">
        <v>0</v>
      </c>
      <c r="Y109" s="91">
        <v>0</v>
      </c>
      <c r="Z109" s="91">
        <v>0</v>
      </c>
      <c r="AA109" s="91">
        <v>0</v>
      </c>
      <c r="AB109" s="91"/>
      <c r="AC109" s="91">
        <v>0</v>
      </c>
      <c r="AD109" s="91">
        <v>0</v>
      </c>
      <c r="AE109" s="91">
        <v>0</v>
      </c>
      <c r="AF109" s="91">
        <v>14000</v>
      </c>
      <c r="AG109" s="91">
        <v>14000</v>
      </c>
      <c r="AH109" s="91">
        <v>14000</v>
      </c>
      <c r="AI109" s="91">
        <v>0</v>
      </c>
      <c r="AJ109" s="163">
        <v>0</v>
      </c>
      <c r="AK109" s="206">
        <v>0</v>
      </c>
      <c r="AL109" s="91">
        <v>0</v>
      </c>
      <c r="AM109" s="163">
        <v>0</v>
      </c>
      <c r="AN109" s="91">
        <v>0</v>
      </c>
      <c r="AO109" s="91">
        <v>0</v>
      </c>
      <c r="AP109" s="91">
        <v>0</v>
      </c>
      <c r="AQ109" s="91">
        <v>0</v>
      </c>
      <c r="AR109" s="91">
        <v>0</v>
      </c>
      <c r="AS109" s="91">
        <v>0</v>
      </c>
      <c r="AT109" s="91">
        <v>0</v>
      </c>
      <c r="AU109" s="91">
        <v>0</v>
      </c>
      <c r="AV109" s="91">
        <v>0</v>
      </c>
      <c r="AW109" s="91">
        <v>0</v>
      </c>
      <c r="AX109" s="91">
        <v>0</v>
      </c>
      <c r="AY109" s="163">
        <v>0</v>
      </c>
      <c r="AZ109" s="91">
        <v>0</v>
      </c>
      <c r="BA109" s="91">
        <v>0</v>
      </c>
      <c r="BB109" s="91">
        <v>0</v>
      </c>
      <c r="BC109" s="91">
        <v>0</v>
      </c>
      <c r="BD109" s="91">
        <v>0</v>
      </c>
      <c r="BE109" s="91">
        <v>0</v>
      </c>
      <c r="BF109" s="91">
        <v>0</v>
      </c>
      <c r="BG109" s="91">
        <v>0</v>
      </c>
      <c r="BH109" s="91">
        <v>0</v>
      </c>
      <c r="BI109" s="91">
        <v>0</v>
      </c>
      <c r="BJ109" s="91">
        <v>0</v>
      </c>
      <c r="BK109" s="163">
        <v>0</v>
      </c>
      <c r="BL109" s="91">
        <v>0</v>
      </c>
      <c r="BM109" s="91">
        <v>0</v>
      </c>
      <c r="BN109" s="91">
        <v>0</v>
      </c>
      <c r="BO109" s="91">
        <v>0</v>
      </c>
      <c r="BP109" s="91">
        <v>0</v>
      </c>
      <c r="BQ109" s="91">
        <v>0</v>
      </c>
      <c r="BR109" s="91">
        <v>0</v>
      </c>
      <c r="BS109" s="91">
        <v>0</v>
      </c>
      <c r="BT109" s="91">
        <v>0</v>
      </c>
      <c r="BU109" s="91">
        <v>0</v>
      </c>
      <c r="BV109" s="91">
        <v>0</v>
      </c>
      <c r="BW109" s="163">
        <v>0</v>
      </c>
      <c r="BX109" s="91">
        <v>0</v>
      </c>
      <c r="BY109" s="91">
        <v>0</v>
      </c>
      <c r="BZ109" s="91">
        <v>0</v>
      </c>
      <c r="CA109" s="91">
        <v>0</v>
      </c>
      <c r="CB109" s="91">
        <v>0</v>
      </c>
      <c r="CC109" s="91">
        <v>0</v>
      </c>
      <c r="CD109" s="91">
        <v>0</v>
      </c>
      <c r="CE109" s="91">
        <v>0</v>
      </c>
      <c r="CF109" s="91">
        <v>0</v>
      </c>
      <c r="CG109" s="91">
        <v>0</v>
      </c>
      <c r="CH109" s="91">
        <v>0</v>
      </c>
      <c r="CI109" s="163">
        <v>0</v>
      </c>
      <c r="CJ109" s="91">
        <v>0</v>
      </c>
      <c r="CK109" s="91">
        <v>0</v>
      </c>
      <c r="CL109" s="91">
        <v>0</v>
      </c>
      <c r="CM109" s="91">
        <v>0</v>
      </c>
      <c r="CN109" s="91">
        <v>0</v>
      </c>
      <c r="CO109" s="91">
        <v>0</v>
      </c>
      <c r="CP109" s="91">
        <v>0</v>
      </c>
      <c r="CQ109" s="91">
        <v>0</v>
      </c>
      <c r="CR109" s="91">
        <v>0</v>
      </c>
      <c r="CS109" s="91">
        <v>0</v>
      </c>
      <c r="CT109" s="91">
        <v>0</v>
      </c>
      <c r="CU109" s="163">
        <v>0</v>
      </c>
      <c r="CV109" s="91">
        <v>0</v>
      </c>
      <c r="CW109" s="91">
        <v>0</v>
      </c>
      <c r="CX109" s="91">
        <v>0</v>
      </c>
      <c r="CY109" s="91">
        <v>0</v>
      </c>
      <c r="CZ109" s="91">
        <v>0</v>
      </c>
      <c r="DA109" s="91">
        <v>0</v>
      </c>
      <c r="DB109" s="91">
        <v>0</v>
      </c>
      <c r="DC109" s="91">
        <v>0</v>
      </c>
      <c r="DD109" s="91">
        <v>0</v>
      </c>
      <c r="DE109" s="91">
        <v>0</v>
      </c>
      <c r="DF109" s="91">
        <v>0</v>
      </c>
      <c r="DG109" s="91">
        <v>0</v>
      </c>
    </row>
    <row r="110" spans="1:111" s="37" customFormat="1" x14ac:dyDescent="0.3">
      <c r="B110" s="37" t="s">
        <v>204</v>
      </c>
      <c r="P110" s="37">
        <f>+SUM(P108:P109)</f>
        <v>0</v>
      </c>
      <c r="Q110" s="37">
        <f t="shared" ref="Q110:CB110" si="568">+SUM(Q108:Q109)</f>
        <v>0</v>
      </c>
      <c r="R110" s="37">
        <f t="shared" si="568"/>
        <v>0</v>
      </c>
      <c r="S110" s="37">
        <f t="shared" si="568"/>
        <v>0</v>
      </c>
      <c r="T110" s="37">
        <f t="shared" si="568"/>
        <v>0</v>
      </c>
      <c r="U110" s="37">
        <f t="shared" si="568"/>
        <v>0</v>
      </c>
      <c r="V110" s="37">
        <f t="shared" si="568"/>
        <v>0</v>
      </c>
      <c r="W110" s="37">
        <f t="shared" ref="W110:AA110" si="569">+SUM(W108:W109)</f>
        <v>0</v>
      </c>
      <c r="X110" s="37">
        <f t="shared" si="569"/>
        <v>0</v>
      </c>
      <c r="Y110" s="37">
        <f t="shared" si="569"/>
        <v>0</v>
      </c>
      <c r="Z110" s="37">
        <f t="shared" si="569"/>
        <v>0</v>
      </c>
      <c r="AA110" s="37">
        <f t="shared" si="569"/>
        <v>0</v>
      </c>
      <c r="AB110" s="37">
        <f>+SUM(AB108:AB109)</f>
        <v>0</v>
      </c>
      <c r="AC110" s="37">
        <f t="shared" ref="AC110:AG110" si="570">+SUM(AC108:AC109)</f>
        <v>0</v>
      </c>
      <c r="AD110" s="37">
        <f t="shared" si="570"/>
        <v>0</v>
      </c>
      <c r="AE110" s="37">
        <f t="shared" si="570"/>
        <v>0</v>
      </c>
      <c r="AF110" s="37">
        <f t="shared" si="570"/>
        <v>14000</v>
      </c>
      <c r="AG110" s="37">
        <f t="shared" si="570"/>
        <v>24570</v>
      </c>
      <c r="AH110" s="37">
        <f t="shared" ref="AH110:AI110" si="571">+SUM(AH108:AH109)</f>
        <v>14000</v>
      </c>
      <c r="AI110" s="37">
        <f t="shared" si="571"/>
        <v>0</v>
      </c>
      <c r="AJ110" s="164">
        <f t="shared" ref="AJ110" si="572">+SUM(AJ108:AJ109)</f>
        <v>0</v>
      </c>
      <c r="AK110" s="37">
        <f t="shared" ref="AK110" si="573">+SUM(AK108:AK109)</f>
        <v>0</v>
      </c>
      <c r="AL110" s="37">
        <f t="shared" si="568"/>
        <v>0</v>
      </c>
      <c r="AM110" s="164">
        <f t="shared" si="568"/>
        <v>0</v>
      </c>
      <c r="AN110" s="37">
        <f t="shared" si="568"/>
        <v>0</v>
      </c>
      <c r="AO110" s="37">
        <f t="shared" si="568"/>
        <v>0</v>
      </c>
      <c r="AP110" s="37">
        <f t="shared" si="568"/>
        <v>0</v>
      </c>
      <c r="AQ110" s="37">
        <f t="shared" si="568"/>
        <v>0</v>
      </c>
      <c r="AR110" s="37">
        <f t="shared" si="568"/>
        <v>0</v>
      </c>
      <c r="AS110" s="37">
        <f t="shared" si="568"/>
        <v>0</v>
      </c>
      <c r="AT110" s="37">
        <f t="shared" si="568"/>
        <v>0</v>
      </c>
      <c r="AU110" s="37">
        <f t="shared" si="568"/>
        <v>0</v>
      </c>
      <c r="AV110" s="37">
        <f t="shared" si="568"/>
        <v>0</v>
      </c>
      <c r="AW110" s="37">
        <f t="shared" si="568"/>
        <v>0</v>
      </c>
      <c r="AX110" s="37">
        <f t="shared" si="568"/>
        <v>0</v>
      </c>
      <c r="AY110" s="164">
        <f t="shared" si="568"/>
        <v>0</v>
      </c>
      <c r="AZ110" s="37">
        <f t="shared" si="568"/>
        <v>0</v>
      </c>
      <c r="BA110" s="37">
        <f t="shared" si="568"/>
        <v>0</v>
      </c>
      <c r="BB110" s="37">
        <f t="shared" si="568"/>
        <v>0</v>
      </c>
      <c r="BC110" s="37">
        <f t="shared" si="568"/>
        <v>0</v>
      </c>
      <c r="BD110" s="37">
        <f t="shared" si="568"/>
        <v>0</v>
      </c>
      <c r="BE110" s="37">
        <f t="shared" si="568"/>
        <v>0</v>
      </c>
      <c r="BF110" s="37">
        <f t="shared" si="568"/>
        <v>0</v>
      </c>
      <c r="BG110" s="37">
        <f t="shared" si="568"/>
        <v>0</v>
      </c>
      <c r="BH110" s="37">
        <f t="shared" si="568"/>
        <v>0</v>
      </c>
      <c r="BI110" s="37">
        <f t="shared" si="568"/>
        <v>0</v>
      </c>
      <c r="BJ110" s="37">
        <f t="shared" si="568"/>
        <v>0</v>
      </c>
      <c r="BK110" s="164">
        <f t="shared" si="568"/>
        <v>0</v>
      </c>
      <c r="BL110" s="37">
        <f t="shared" si="568"/>
        <v>0</v>
      </c>
      <c r="BM110" s="37">
        <f t="shared" si="568"/>
        <v>0</v>
      </c>
      <c r="BN110" s="37">
        <f t="shared" si="568"/>
        <v>0</v>
      </c>
      <c r="BO110" s="37">
        <f t="shared" si="568"/>
        <v>0</v>
      </c>
      <c r="BP110" s="37">
        <f t="shared" si="568"/>
        <v>0</v>
      </c>
      <c r="BQ110" s="37">
        <f t="shared" si="568"/>
        <v>0</v>
      </c>
      <c r="BR110" s="37">
        <f t="shared" si="568"/>
        <v>0</v>
      </c>
      <c r="BS110" s="37">
        <f t="shared" si="568"/>
        <v>0</v>
      </c>
      <c r="BT110" s="37">
        <f t="shared" si="568"/>
        <v>0</v>
      </c>
      <c r="BU110" s="37">
        <f t="shared" si="568"/>
        <v>0</v>
      </c>
      <c r="BV110" s="37">
        <f t="shared" si="568"/>
        <v>0</v>
      </c>
      <c r="BW110" s="164">
        <f t="shared" si="568"/>
        <v>0</v>
      </c>
      <c r="BX110" s="37">
        <f t="shared" si="568"/>
        <v>0</v>
      </c>
      <c r="BY110" s="37">
        <f t="shared" si="568"/>
        <v>0</v>
      </c>
      <c r="BZ110" s="37">
        <f t="shared" si="568"/>
        <v>0</v>
      </c>
      <c r="CA110" s="37">
        <f t="shared" si="568"/>
        <v>0</v>
      </c>
      <c r="CB110" s="37">
        <f t="shared" si="568"/>
        <v>0</v>
      </c>
      <c r="CC110" s="37">
        <f t="shared" ref="CC110:DG110" si="574">+SUM(CC108:CC109)</f>
        <v>0</v>
      </c>
      <c r="CD110" s="37">
        <f t="shared" si="574"/>
        <v>0</v>
      </c>
      <c r="CE110" s="37">
        <f t="shared" si="574"/>
        <v>0</v>
      </c>
      <c r="CF110" s="37">
        <f t="shared" si="574"/>
        <v>0</v>
      </c>
      <c r="CG110" s="37">
        <f t="shared" si="574"/>
        <v>0</v>
      </c>
      <c r="CH110" s="37">
        <f t="shared" si="574"/>
        <v>0</v>
      </c>
      <c r="CI110" s="164">
        <f t="shared" si="574"/>
        <v>0</v>
      </c>
      <c r="CJ110" s="37">
        <f t="shared" si="574"/>
        <v>0</v>
      </c>
      <c r="CK110" s="37">
        <f t="shared" si="574"/>
        <v>0</v>
      </c>
      <c r="CL110" s="37">
        <f t="shared" si="574"/>
        <v>0</v>
      </c>
      <c r="CM110" s="37">
        <f t="shared" si="574"/>
        <v>0</v>
      </c>
      <c r="CN110" s="37">
        <f t="shared" si="574"/>
        <v>0</v>
      </c>
      <c r="CO110" s="37">
        <f t="shared" si="574"/>
        <v>0</v>
      </c>
      <c r="CP110" s="37">
        <f t="shared" si="574"/>
        <v>0</v>
      </c>
      <c r="CQ110" s="37">
        <f t="shared" si="574"/>
        <v>0</v>
      </c>
      <c r="CR110" s="37">
        <f t="shared" si="574"/>
        <v>0</v>
      </c>
      <c r="CS110" s="37">
        <f t="shared" si="574"/>
        <v>0</v>
      </c>
      <c r="CT110" s="37">
        <f t="shared" si="574"/>
        <v>0</v>
      </c>
      <c r="CU110" s="164">
        <f t="shared" si="574"/>
        <v>0</v>
      </c>
      <c r="CV110" s="37">
        <f t="shared" si="574"/>
        <v>0</v>
      </c>
      <c r="CW110" s="37">
        <f t="shared" si="574"/>
        <v>0</v>
      </c>
      <c r="CX110" s="37">
        <f t="shared" si="574"/>
        <v>0</v>
      </c>
      <c r="CY110" s="37">
        <f t="shared" si="574"/>
        <v>0</v>
      </c>
      <c r="CZ110" s="37">
        <f t="shared" si="574"/>
        <v>0</v>
      </c>
      <c r="DA110" s="37">
        <f t="shared" si="574"/>
        <v>0</v>
      </c>
      <c r="DB110" s="37">
        <f t="shared" si="574"/>
        <v>0</v>
      </c>
      <c r="DC110" s="37">
        <f t="shared" si="574"/>
        <v>0</v>
      </c>
      <c r="DD110" s="37">
        <f t="shared" si="574"/>
        <v>0</v>
      </c>
      <c r="DE110" s="37">
        <f t="shared" si="574"/>
        <v>0</v>
      </c>
      <c r="DF110" s="37">
        <f t="shared" si="574"/>
        <v>0</v>
      </c>
      <c r="DG110" s="37">
        <f t="shared" si="574"/>
        <v>0</v>
      </c>
    </row>
    <row r="111" spans="1:111" s="5" customFormat="1" x14ac:dyDescent="0.3">
      <c r="A111"/>
      <c r="B111" s="1" t="s">
        <v>20</v>
      </c>
      <c r="C111" s="1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9"/>
      <c r="O111" s="39"/>
      <c r="P111" s="39">
        <f>P105+P102+P110</f>
        <v>1685.41</v>
      </c>
      <c r="Q111" s="39">
        <f t="shared" ref="Q111:CB111" si="575">Q105+Q102+Q110</f>
        <v>1215.79</v>
      </c>
      <c r="R111" s="39">
        <f t="shared" si="575"/>
        <v>888.6</v>
      </c>
      <c r="S111" s="39">
        <f t="shared" si="575"/>
        <v>721.97</v>
      </c>
      <c r="T111" s="39">
        <f t="shared" si="575"/>
        <v>75385.05</v>
      </c>
      <c r="U111" s="39">
        <f t="shared" si="575"/>
        <v>71768.56</v>
      </c>
      <c r="V111" s="39">
        <f t="shared" si="575"/>
        <v>71854.92</v>
      </c>
      <c r="W111" s="39">
        <f t="shared" ref="W111:AA111" si="576">W105+W102+W110</f>
        <v>51317.03</v>
      </c>
      <c r="X111" s="39">
        <f t="shared" si="576"/>
        <v>48758.799999999996</v>
      </c>
      <c r="Y111" s="39">
        <f t="shared" si="576"/>
        <v>118050.05</v>
      </c>
      <c r="Z111" s="39">
        <f t="shared" si="576"/>
        <v>143860.1</v>
      </c>
      <c r="AA111" s="39">
        <f t="shared" si="576"/>
        <v>194649.22999999998</v>
      </c>
      <c r="AB111" s="39">
        <f t="shared" ref="AB111:AC111" si="577">AB105+AB102+AB110</f>
        <v>95197.94</v>
      </c>
      <c r="AC111" s="39">
        <f t="shared" si="577"/>
        <v>146721.93</v>
      </c>
      <c r="AD111" s="39">
        <f t="shared" ref="AD111:AE111" si="578">AD105+AD102+AD110</f>
        <v>152555.54</v>
      </c>
      <c r="AE111" s="39">
        <f t="shared" si="578"/>
        <v>97184.3</v>
      </c>
      <c r="AF111" s="39">
        <f t="shared" ref="AF111:AG111" si="579">AF105+AF102+AF110</f>
        <v>80293.64</v>
      </c>
      <c r="AG111" s="39">
        <f t="shared" si="579"/>
        <v>69509.600000000006</v>
      </c>
      <c r="AH111" s="39">
        <f t="shared" ref="AH111:AI111" si="580">AH105+AH102+AH110</f>
        <v>42799.97</v>
      </c>
      <c r="AI111" s="39">
        <f t="shared" si="580"/>
        <v>20509.54</v>
      </c>
      <c r="AJ111" s="165">
        <f t="shared" ref="AJ111" si="581">AJ105+AJ102+AJ110</f>
        <v>33227.020000000004</v>
      </c>
      <c r="AK111" s="39">
        <f t="shared" ref="AK111" si="582">AK105+AK102+AK110</f>
        <v>196263.65957006422</v>
      </c>
      <c r="AL111" s="39">
        <f t="shared" si="575"/>
        <v>201169.78984688819</v>
      </c>
      <c r="AM111" s="165">
        <f t="shared" si="575"/>
        <v>357367.21483698022</v>
      </c>
      <c r="AN111" s="39">
        <f t="shared" si="575"/>
        <v>349296.46651691041</v>
      </c>
      <c r="AO111" s="39">
        <f t="shared" si="575"/>
        <v>328567.06726021564</v>
      </c>
      <c r="AP111" s="39">
        <f t="shared" si="575"/>
        <v>256095.86130759321</v>
      </c>
      <c r="AQ111" s="39">
        <f t="shared" si="575"/>
        <v>560853.04833893036</v>
      </c>
      <c r="AR111" s="39">
        <f t="shared" si="575"/>
        <v>859413.71428526286</v>
      </c>
      <c r="AS111" s="39">
        <f t="shared" si="575"/>
        <v>1063153.1535586228</v>
      </c>
      <c r="AT111" s="39">
        <f t="shared" si="575"/>
        <v>705065.17007227975</v>
      </c>
      <c r="AU111" s="39">
        <f t="shared" si="575"/>
        <v>739720.06057103572</v>
      </c>
      <c r="AV111" s="39">
        <f t="shared" si="575"/>
        <v>552541.87085586786</v>
      </c>
      <c r="AW111" s="39">
        <f t="shared" si="575"/>
        <v>1178343.9123274896</v>
      </c>
      <c r="AX111" s="39">
        <f t="shared" si="575"/>
        <v>1536406.7295099422</v>
      </c>
      <c r="AY111" s="165">
        <f t="shared" si="575"/>
        <v>1361431.4717157704</v>
      </c>
      <c r="AZ111" s="39">
        <f t="shared" si="575"/>
        <v>870683.80197569681</v>
      </c>
      <c r="BA111" s="39">
        <f t="shared" si="575"/>
        <v>994758.63474619552</v>
      </c>
      <c r="BB111" s="39">
        <f t="shared" si="575"/>
        <v>828887.47770076664</v>
      </c>
      <c r="BC111" s="39">
        <f t="shared" si="575"/>
        <v>945057.17969699739</v>
      </c>
      <c r="BD111" s="39">
        <f t="shared" si="575"/>
        <v>1151442.4397525999</v>
      </c>
      <c r="BE111" s="39">
        <f t="shared" si="575"/>
        <v>1063549.207036597</v>
      </c>
      <c r="BF111" s="39">
        <f t="shared" si="575"/>
        <v>1033838.7436170309</v>
      </c>
      <c r="BG111" s="39">
        <f t="shared" si="575"/>
        <v>941650.26061147533</v>
      </c>
      <c r="BH111" s="39">
        <f t="shared" si="575"/>
        <v>1719499.7415635774</v>
      </c>
      <c r="BI111" s="39">
        <f t="shared" si="575"/>
        <v>2445547.7591144261</v>
      </c>
      <c r="BJ111" s="39">
        <f t="shared" si="575"/>
        <v>2388627.8153995555</v>
      </c>
      <c r="BK111" s="165">
        <f t="shared" si="575"/>
        <v>1572012.505853961</v>
      </c>
      <c r="BL111" s="39">
        <f t="shared" si="575"/>
        <v>1792723.8873617102</v>
      </c>
      <c r="BM111" s="39">
        <f t="shared" si="575"/>
        <v>1630446.4900171615</v>
      </c>
      <c r="BN111" s="39">
        <f t="shared" si="575"/>
        <v>1800834.8248770118</v>
      </c>
      <c r="BO111" s="39">
        <f t="shared" si="575"/>
        <v>1516417.6031667893</v>
      </c>
      <c r="BP111" s="39">
        <f t="shared" si="575"/>
        <v>2057455.6401686354</v>
      </c>
      <c r="BQ111" s="39">
        <f t="shared" si="575"/>
        <v>1988771.0901238066</v>
      </c>
      <c r="BR111" s="39">
        <f t="shared" si="575"/>
        <v>1947258.4839225607</v>
      </c>
      <c r="BS111" s="39">
        <f t="shared" si="575"/>
        <v>1828531.5397644087</v>
      </c>
      <c r="BT111" s="39">
        <f t="shared" si="575"/>
        <v>2913804.1561569199</v>
      </c>
      <c r="BU111" s="39">
        <f t="shared" si="575"/>
        <v>3920497.8960673749</v>
      </c>
      <c r="BV111" s="39">
        <f t="shared" si="575"/>
        <v>3878050.1675186036</v>
      </c>
      <c r="BW111" s="165">
        <f t="shared" si="575"/>
        <v>2785463.4094225294</v>
      </c>
      <c r="BX111" s="39">
        <f t="shared" si="575"/>
        <v>3126298.1054499336</v>
      </c>
      <c r="BY111" s="39">
        <f t="shared" si="575"/>
        <v>2926097.647351237</v>
      </c>
      <c r="BZ111" s="39">
        <f t="shared" si="575"/>
        <v>3172088.0247327569</v>
      </c>
      <c r="CA111" s="39">
        <f t="shared" si="575"/>
        <v>2821799.1888494161</v>
      </c>
      <c r="CB111" s="39">
        <f t="shared" si="575"/>
        <v>3443452.6665922995</v>
      </c>
      <c r="CC111" s="39">
        <f t="shared" ref="CC111:DG111" si="583">CC105+CC102+CC110</f>
        <v>3360173.839300605</v>
      </c>
      <c r="CD111" s="39">
        <f t="shared" si="583"/>
        <v>3308670.9736077986</v>
      </c>
      <c r="CE111" s="39">
        <f t="shared" si="583"/>
        <v>3169499.714795379</v>
      </c>
      <c r="CF111" s="39">
        <f t="shared" si="583"/>
        <v>4413524.5395741519</v>
      </c>
      <c r="CG111" s="39">
        <f t="shared" si="583"/>
        <v>5570124.6653072713</v>
      </c>
      <c r="CH111" s="39">
        <f t="shared" si="583"/>
        <v>5507689.7843360826</v>
      </c>
      <c r="CI111" s="165">
        <f t="shared" si="583"/>
        <v>4206338.0527691953</v>
      </c>
      <c r="CJ111" s="39">
        <f t="shared" si="583"/>
        <v>4582857.2615099233</v>
      </c>
      <c r="CK111" s="39">
        <f t="shared" si="583"/>
        <v>4342896.8467923244</v>
      </c>
      <c r="CL111" s="39">
        <f t="shared" si="583"/>
        <v>4623239.8666369263</v>
      </c>
      <c r="CM111" s="39">
        <f t="shared" si="583"/>
        <v>4204890.0827722037</v>
      </c>
      <c r="CN111" s="39">
        <f t="shared" si="583"/>
        <v>5034042.4729285287</v>
      </c>
      <c r="CO111" s="39">
        <f t="shared" si="583"/>
        <v>4933386.2535233553</v>
      </c>
      <c r="CP111" s="39">
        <f t="shared" si="583"/>
        <v>4881713.2662439933</v>
      </c>
      <c r="CQ111" s="39">
        <f t="shared" si="583"/>
        <v>4705915.9960690392</v>
      </c>
      <c r="CR111" s="39">
        <f t="shared" si="583"/>
        <v>6363293.1790074399</v>
      </c>
      <c r="CS111" s="39">
        <f t="shared" si="583"/>
        <v>7902521.1717134472</v>
      </c>
      <c r="CT111" s="39">
        <f t="shared" si="583"/>
        <v>7841121.372023101</v>
      </c>
      <c r="CU111" s="165">
        <f t="shared" si="583"/>
        <v>6152018.0586816249</v>
      </c>
      <c r="CV111" s="39">
        <f t="shared" si="583"/>
        <v>7638159.6052269684</v>
      </c>
      <c r="CW111" s="39">
        <f t="shared" si="583"/>
        <v>7297174.2949794177</v>
      </c>
      <c r="CX111" s="39">
        <f t="shared" si="583"/>
        <v>7661581.3615200808</v>
      </c>
      <c r="CY111" s="39">
        <f t="shared" si="583"/>
        <v>6948648.0711902604</v>
      </c>
      <c r="CZ111" s="39">
        <f t="shared" si="583"/>
        <v>8735712.4634698089</v>
      </c>
      <c r="DA111" s="39">
        <f t="shared" si="583"/>
        <v>10370165.746735953</v>
      </c>
      <c r="DB111" s="39">
        <f t="shared" si="583"/>
        <v>10239556.082376735</v>
      </c>
      <c r="DC111" s="39">
        <f t="shared" si="583"/>
        <v>8883984.6053625736</v>
      </c>
      <c r="DD111" s="39">
        <f t="shared" si="583"/>
        <v>9375148.6221981496</v>
      </c>
      <c r="DE111" s="39">
        <f t="shared" si="583"/>
        <v>8988134.5296543092</v>
      </c>
      <c r="DF111" s="39">
        <f t="shared" si="583"/>
        <v>9473427.6568964794</v>
      </c>
      <c r="DG111" s="39">
        <f t="shared" si="583"/>
        <v>8138937.0764871417</v>
      </c>
    </row>
    <row r="112" spans="1:111" s="37" customFormat="1" x14ac:dyDescent="0.3">
      <c r="B112" s="37" t="s">
        <v>21</v>
      </c>
      <c r="G112" s="37">
        <f>+SUM(G110,G105,G102)</f>
        <v>100</v>
      </c>
      <c r="H112" s="37">
        <f t="shared" ref="H112:N112" si="584">+SUM(H110,H105,H102)</f>
        <v>100</v>
      </c>
      <c r="I112" s="37">
        <f t="shared" si="584"/>
        <v>100</v>
      </c>
      <c r="J112" s="37">
        <f t="shared" si="584"/>
        <v>1600</v>
      </c>
      <c r="K112" s="37">
        <f t="shared" si="584"/>
        <v>1399</v>
      </c>
      <c r="L112" s="37">
        <f t="shared" si="584"/>
        <v>280.5</v>
      </c>
      <c r="M112" s="37">
        <f t="shared" si="584"/>
        <v>329.2</v>
      </c>
      <c r="N112" s="37">
        <f t="shared" si="584"/>
        <v>118.2</v>
      </c>
      <c r="O112" s="37">
        <f>O111+O102</f>
        <v>307.81</v>
      </c>
      <c r="P112" s="37">
        <f t="shared" ref="P112:W112" si="585">P111</f>
        <v>1685.41</v>
      </c>
      <c r="Q112" s="37">
        <f t="shared" si="585"/>
        <v>1215.79</v>
      </c>
      <c r="R112" s="37">
        <f t="shared" si="585"/>
        <v>888.6</v>
      </c>
      <c r="S112" s="37">
        <f t="shared" si="585"/>
        <v>721.97</v>
      </c>
      <c r="T112" s="37">
        <f t="shared" si="585"/>
        <v>75385.05</v>
      </c>
      <c r="U112" s="37">
        <f t="shared" si="585"/>
        <v>71768.56</v>
      </c>
      <c r="V112" s="37">
        <f t="shared" si="585"/>
        <v>71854.92</v>
      </c>
      <c r="W112" s="37">
        <f t="shared" si="585"/>
        <v>51317.03</v>
      </c>
      <c r="X112" s="37">
        <f t="shared" ref="X112:Y112" si="586">X111</f>
        <v>48758.799999999996</v>
      </c>
      <c r="Y112" s="37">
        <f t="shared" si="586"/>
        <v>118050.05</v>
      </c>
      <c r="Z112" s="37">
        <f t="shared" ref="Z112" si="587">Z111</f>
        <v>143860.1</v>
      </c>
      <c r="AA112" s="37">
        <f t="shared" ref="AA112:AB112" si="588">AA111</f>
        <v>194649.22999999998</v>
      </c>
      <c r="AB112" s="37">
        <f t="shared" si="588"/>
        <v>95197.94</v>
      </c>
      <c r="AC112" s="37">
        <f t="shared" ref="AC112" si="589">AC111</f>
        <v>146721.93</v>
      </c>
      <c r="AD112" s="37">
        <f t="shared" ref="AD112:AE112" si="590">AD111</f>
        <v>152555.54</v>
      </c>
      <c r="AE112" s="37">
        <f t="shared" si="590"/>
        <v>97184.3</v>
      </c>
      <c r="AF112" s="37">
        <f t="shared" ref="AF112:AG112" si="591">AF111</f>
        <v>80293.64</v>
      </c>
      <c r="AG112" s="37">
        <f t="shared" si="591"/>
        <v>69509.600000000006</v>
      </c>
      <c r="AH112" s="37">
        <f t="shared" ref="AH112:AI112" si="592">AH111</f>
        <v>42799.97</v>
      </c>
      <c r="AI112" s="37">
        <f t="shared" si="592"/>
        <v>20509.54</v>
      </c>
      <c r="AJ112" s="164">
        <f t="shared" ref="AJ112" si="593">AJ111</f>
        <v>33227.020000000004</v>
      </c>
      <c r="AK112" s="37">
        <f t="shared" ref="AK112" si="594">AK111</f>
        <v>196263.65957006422</v>
      </c>
      <c r="AL112" s="37">
        <f t="shared" ref="AL112:BZ112" si="595">AL111</f>
        <v>201169.78984688819</v>
      </c>
      <c r="AM112" s="164">
        <f t="shared" si="595"/>
        <v>357367.21483698022</v>
      </c>
      <c r="AN112" s="37">
        <f t="shared" si="595"/>
        <v>349296.46651691041</v>
      </c>
      <c r="AO112" s="37">
        <f t="shared" si="595"/>
        <v>328567.06726021564</v>
      </c>
      <c r="AP112" s="37">
        <f t="shared" si="595"/>
        <v>256095.86130759321</v>
      </c>
      <c r="AQ112" s="37">
        <f t="shared" si="595"/>
        <v>560853.04833893036</v>
      </c>
      <c r="AR112" s="37">
        <f t="shared" si="595"/>
        <v>859413.71428526286</v>
      </c>
      <c r="AS112" s="37">
        <f t="shared" si="595"/>
        <v>1063153.1535586228</v>
      </c>
      <c r="AT112" s="37">
        <f t="shared" si="595"/>
        <v>705065.17007227975</v>
      </c>
      <c r="AU112" s="37">
        <f t="shared" si="595"/>
        <v>739720.06057103572</v>
      </c>
      <c r="AV112" s="37">
        <f t="shared" si="595"/>
        <v>552541.87085586786</v>
      </c>
      <c r="AW112" s="37">
        <f t="shared" si="595"/>
        <v>1178343.9123274896</v>
      </c>
      <c r="AX112" s="37">
        <f t="shared" si="595"/>
        <v>1536406.7295099422</v>
      </c>
      <c r="AY112" s="164">
        <f t="shared" si="595"/>
        <v>1361431.4717157704</v>
      </c>
      <c r="AZ112" s="37">
        <f t="shared" si="595"/>
        <v>870683.80197569681</v>
      </c>
      <c r="BA112" s="37">
        <f t="shared" si="595"/>
        <v>994758.63474619552</v>
      </c>
      <c r="BB112" s="37">
        <f t="shared" si="595"/>
        <v>828887.47770076664</v>
      </c>
      <c r="BC112" s="37">
        <f t="shared" si="595"/>
        <v>945057.17969699739</v>
      </c>
      <c r="BD112" s="37">
        <f t="shared" si="595"/>
        <v>1151442.4397525999</v>
      </c>
      <c r="BE112" s="37">
        <f t="shared" si="595"/>
        <v>1063549.207036597</v>
      </c>
      <c r="BF112" s="37">
        <f t="shared" si="595"/>
        <v>1033838.7436170309</v>
      </c>
      <c r="BG112" s="37">
        <f t="shared" si="595"/>
        <v>941650.26061147533</v>
      </c>
      <c r="BH112" s="37">
        <f t="shared" si="595"/>
        <v>1719499.7415635774</v>
      </c>
      <c r="BI112" s="37">
        <f t="shared" si="595"/>
        <v>2445547.7591144261</v>
      </c>
      <c r="BJ112" s="37">
        <f t="shared" si="595"/>
        <v>2388627.8153995555</v>
      </c>
      <c r="BK112" s="164">
        <f t="shared" si="595"/>
        <v>1572012.505853961</v>
      </c>
      <c r="BL112" s="37">
        <f t="shared" si="595"/>
        <v>1792723.8873617102</v>
      </c>
      <c r="BM112" s="37">
        <f t="shared" si="595"/>
        <v>1630446.4900171615</v>
      </c>
      <c r="BN112" s="37">
        <f t="shared" si="595"/>
        <v>1800834.8248770118</v>
      </c>
      <c r="BO112" s="37">
        <f t="shared" si="595"/>
        <v>1516417.6031667893</v>
      </c>
      <c r="BP112" s="37">
        <f t="shared" si="595"/>
        <v>2057455.6401686354</v>
      </c>
      <c r="BQ112" s="37">
        <f t="shared" si="595"/>
        <v>1988771.0901238066</v>
      </c>
      <c r="BR112" s="37">
        <f t="shared" si="595"/>
        <v>1947258.4839225607</v>
      </c>
      <c r="BS112" s="37">
        <f t="shared" si="595"/>
        <v>1828531.5397644087</v>
      </c>
      <c r="BT112" s="37">
        <f t="shared" si="595"/>
        <v>2913804.1561569199</v>
      </c>
      <c r="BU112" s="37">
        <f t="shared" si="595"/>
        <v>3920497.8960673749</v>
      </c>
      <c r="BV112" s="37">
        <f t="shared" si="595"/>
        <v>3878050.1675186036</v>
      </c>
      <c r="BW112" s="164">
        <f t="shared" si="595"/>
        <v>2785463.4094225294</v>
      </c>
      <c r="BX112" s="37">
        <f t="shared" si="595"/>
        <v>3126298.1054499336</v>
      </c>
      <c r="BY112" s="37">
        <f t="shared" si="595"/>
        <v>2926097.647351237</v>
      </c>
      <c r="BZ112" s="37">
        <f t="shared" si="595"/>
        <v>3172088.0247327569</v>
      </c>
      <c r="CA112" s="37">
        <f t="shared" ref="CA112:DG112" si="596">CA111</f>
        <v>2821799.1888494161</v>
      </c>
      <c r="CB112" s="37">
        <f t="shared" si="596"/>
        <v>3443452.6665922995</v>
      </c>
      <c r="CC112" s="37">
        <f t="shared" si="596"/>
        <v>3360173.839300605</v>
      </c>
      <c r="CD112" s="37">
        <f t="shared" si="596"/>
        <v>3308670.9736077986</v>
      </c>
      <c r="CE112" s="37">
        <f t="shared" si="596"/>
        <v>3169499.714795379</v>
      </c>
      <c r="CF112" s="37">
        <f t="shared" si="596"/>
        <v>4413524.5395741519</v>
      </c>
      <c r="CG112" s="37">
        <f t="shared" si="596"/>
        <v>5570124.6653072713</v>
      </c>
      <c r="CH112" s="37">
        <f t="shared" si="596"/>
        <v>5507689.7843360826</v>
      </c>
      <c r="CI112" s="164">
        <f t="shared" si="596"/>
        <v>4206338.0527691953</v>
      </c>
      <c r="CJ112" s="37">
        <f t="shared" si="596"/>
        <v>4582857.2615099233</v>
      </c>
      <c r="CK112" s="37">
        <f t="shared" si="596"/>
        <v>4342896.8467923244</v>
      </c>
      <c r="CL112" s="37">
        <f t="shared" si="596"/>
        <v>4623239.8666369263</v>
      </c>
      <c r="CM112" s="37">
        <f t="shared" si="596"/>
        <v>4204890.0827722037</v>
      </c>
      <c r="CN112" s="37">
        <f t="shared" si="596"/>
        <v>5034042.4729285287</v>
      </c>
      <c r="CO112" s="37">
        <f t="shared" si="596"/>
        <v>4933386.2535233553</v>
      </c>
      <c r="CP112" s="37">
        <f t="shared" si="596"/>
        <v>4881713.2662439933</v>
      </c>
      <c r="CQ112" s="37">
        <f t="shared" si="596"/>
        <v>4705915.9960690392</v>
      </c>
      <c r="CR112" s="37">
        <f t="shared" si="596"/>
        <v>6363293.1790074399</v>
      </c>
      <c r="CS112" s="37">
        <f t="shared" si="596"/>
        <v>7902521.1717134472</v>
      </c>
      <c r="CT112" s="37">
        <f t="shared" si="596"/>
        <v>7841121.372023101</v>
      </c>
      <c r="CU112" s="164">
        <f t="shared" si="596"/>
        <v>6152018.0586816249</v>
      </c>
      <c r="CV112" s="37">
        <f t="shared" si="596"/>
        <v>7638159.6052269684</v>
      </c>
      <c r="CW112" s="37">
        <f t="shared" si="596"/>
        <v>7297174.2949794177</v>
      </c>
      <c r="CX112" s="37">
        <f t="shared" si="596"/>
        <v>7661581.3615200808</v>
      </c>
      <c r="CY112" s="37">
        <f t="shared" si="596"/>
        <v>6948648.0711902604</v>
      </c>
      <c r="CZ112" s="37">
        <f t="shared" si="596"/>
        <v>8735712.4634698089</v>
      </c>
      <c r="DA112" s="37">
        <f t="shared" si="596"/>
        <v>10370165.746735953</v>
      </c>
      <c r="DB112" s="37">
        <f t="shared" si="596"/>
        <v>10239556.082376735</v>
      </c>
      <c r="DC112" s="37">
        <f t="shared" si="596"/>
        <v>8883984.6053625736</v>
      </c>
      <c r="DD112" s="37">
        <f t="shared" si="596"/>
        <v>9375148.6221981496</v>
      </c>
      <c r="DE112" s="37">
        <f t="shared" si="596"/>
        <v>8988134.5296543092</v>
      </c>
      <c r="DF112" s="37">
        <f t="shared" si="596"/>
        <v>9473427.6568964794</v>
      </c>
      <c r="DG112" s="37">
        <f t="shared" si="596"/>
        <v>8138937.0764871417</v>
      </c>
    </row>
    <row r="113" spans="1:111" x14ac:dyDescent="0.3">
      <c r="B113" s="1" t="s">
        <v>22</v>
      </c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547"/>
      <c r="AK113" s="2"/>
      <c r="AM113" s="162"/>
      <c r="AY113" s="162"/>
      <c r="BK113" s="162"/>
      <c r="BW113" s="162"/>
      <c r="CI113" s="162"/>
      <c r="CU113" s="162"/>
    </row>
    <row r="114" spans="1:111" x14ac:dyDescent="0.3">
      <c r="B114" s="1" t="s">
        <v>23</v>
      </c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547"/>
      <c r="AK114" s="2"/>
      <c r="AM114" s="162"/>
      <c r="AY114" s="162"/>
      <c r="BK114" s="162"/>
      <c r="BW114" s="162"/>
      <c r="CI114" s="162"/>
      <c r="CU114" s="162"/>
    </row>
    <row r="115" spans="1:111" s="15" customFormat="1" x14ac:dyDescent="0.3">
      <c r="A115"/>
      <c r="B115" s="1" t="s">
        <v>191</v>
      </c>
      <c r="C115" s="1"/>
      <c r="D115" s="2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  <c r="R115" s="91">
        <v>1088</v>
      </c>
      <c r="S115" s="91">
        <v>1088</v>
      </c>
      <c r="T115" s="91">
        <v>1088</v>
      </c>
      <c r="U115" s="91">
        <v>1088</v>
      </c>
      <c r="V115" s="91">
        <v>1088</v>
      </c>
      <c r="W115" s="91">
        <v>1088</v>
      </c>
      <c r="X115" s="91">
        <v>998.96</v>
      </c>
      <c r="Y115" s="91">
        <v>0</v>
      </c>
      <c r="Z115" s="91">
        <v>638.04</v>
      </c>
      <c r="AA115" s="91">
        <v>53435</v>
      </c>
      <c r="AB115" s="91">
        <v>20000</v>
      </c>
      <c r="AC115" s="91">
        <v>0</v>
      </c>
      <c r="AD115" s="91">
        <v>0</v>
      </c>
      <c r="AE115" s="91">
        <v>9430.08</v>
      </c>
      <c r="AF115" s="91">
        <v>2238.34</v>
      </c>
      <c r="AG115" s="91">
        <v>34218.82</v>
      </c>
      <c r="AH115" s="91">
        <v>10210.700000000001</v>
      </c>
      <c r="AI115" s="91">
        <v>779.58</v>
      </c>
      <c r="AJ115" s="163">
        <v>584.1</v>
      </c>
      <c r="AK115" s="206">
        <f t="shared" ref="AK115" si="597">+(AK26/30.4333)*AK117</f>
        <v>49795.141226879765</v>
      </c>
      <c r="AL115" s="9">
        <f t="shared" ref="AL115:BM115" si="598">+(AL26/30.4333)*AL117</f>
        <v>19146.21483703706</v>
      </c>
      <c r="AM115" s="172">
        <f t="shared" si="598"/>
        <v>8428.2677198989259</v>
      </c>
      <c r="AN115" s="9">
        <f t="shared" si="598"/>
        <v>28820.459857084908</v>
      </c>
      <c r="AO115" s="9">
        <f t="shared" si="598"/>
        <v>25663.77554918647</v>
      </c>
      <c r="AP115" s="9">
        <f t="shared" si="598"/>
        <v>46970.538246799275</v>
      </c>
      <c r="AQ115" s="9">
        <f t="shared" si="598"/>
        <v>27107.828536905454</v>
      </c>
      <c r="AR115" s="9">
        <f t="shared" si="598"/>
        <v>114297.79061766237</v>
      </c>
      <c r="AS115" s="9">
        <f t="shared" si="598"/>
        <v>185032.54927965245</v>
      </c>
      <c r="AT115" s="9">
        <f t="shared" si="598"/>
        <v>137333.24325977577</v>
      </c>
      <c r="AU115" s="9">
        <f t="shared" si="598"/>
        <v>96869.427851066881</v>
      </c>
      <c r="AV115" s="9">
        <f t="shared" si="598"/>
        <v>66433.033000187948</v>
      </c>
      <c r="AW115" s="9">
        <f t="shared" si="598"/>
        <v>141506.53258766941</v>
      </c>
      <c r="AX115" s="9">
        <f t="shared" si="598"/>
        <v>159388.57500771148</v>
      </c>
      <c r="AY115" s="172">
        <f t="shared" si="598"/>
        <v>218559.04824831287</v>
      </c>
      <c r="AZ115" s="9">
        <f t="shared" si="598"/>
        <v>155468.10681717927</v>
      </c>
      <c r="BA115" s="9">
        <f t="shared" si="598"/>
        <v>111139.18058966428</v>
      </c>
      <c r="BB115" s="9">
        <f t="shared" si="598"/>
        <v>43142.360550470985</v>
      </c>
      <c r="BC115" s="9">
        <f t="shared" si="598"/>
        <v>163022.5674183018</v>
      </c>
      <c r="BD115" s="9">
        <f t="shared" si="598"/>
        <v>57067.302212510411</v>
      </c>
      <c r="BE115" s="9">
        <f t="shared" si="598"/>
        <v>30186.927340908769</v>
      </c>
      <c r="BF115" s="9">
        <f t="shared" si="598"/>
        <v>34238.194587883947</v>
      </c>
      <c r="BG115" s="9">
        <f t="shared" si="598"/>
        <v>63449.078931385382</v>
      </c>
      <c r="BH115" s="9">
        <f t="shared" si="598"/>
        <v>36217.944651692233</v>
      </c>
      <c r="BI115" s="9">
        <f t="shared" si="598"/>
        <v>155752.57008498799</v>
      </c>
      <c r="BJ115" s="9">
        <f t="shared" si="598"/>
        <v>252727.64244416801</v>
      </c>
      <c r="BK115" s="172">
        <f t="shared" si="598"/>
        <v>181224.57548888322</v>
      </c>
      <c r="BL115" s="9">
        <f t="shared" si="598"/>
        <v>136899.69960289181</v>
      </c>
      <c r="BM115" s="9">
        <f t="shared" si="598"/>
        <v>59836.636891806069</v>
      </c>
      <c r="BN115" s="9">
        <f t="shared" ref="BN115:CS115" si="599">+(BN26/30.4333)*BN117</f>
        <v>195700.87134201432</v>
      </c>
      <c r="BO115" s="9">
        <f t="shared" si="599"/>
        <v>75618.237442117417</v>
      </c>
      <c r="BP115" s="9">
        <f t="shared" si="599"/>
        <v>39430.492256837082</v>
      </c>
      <c r="BQ115" s="9">
        <f t="shared" si="599"/>
        <v>45223.126155655613</v>
      </c>
      <c r="BR115" s="9">
        <f t="shared" si="599"/>
        <v>40258.985510170161</v>
      </c>
      <c r="BS115" s="9">
        <f t="shared" si="599"/>
        <v>73765.58813948062</v>
      </c>
      <c r="BT115" s="9">
        <f t="shared" si="599"/>
        <v>42529.875289244366</v>
      </c>
      <c r="BU115" s="9">
        <f t="shared" si="599"/>
        <v>179643.12210978952</v>
      </c>
      <c r="BV115" s="9">
        <f t="shared" si="599"/>
        <v>290879.23452179006</v>
      </c>
      <c r="BW115" s="172">
        <f t="shared" si="599"/>
        <v>208861.0106613164</v>
      </c>
      <c r="BX115" s="9">
        <f t="shared" si="599"/>
        <v>159119.50501691431</v>
      </c>
      <c r="BY115" s="9">
        <f t="shared" si="599"/>
        <v>70723.638965963066</v>
      </c>
      <c r="BZ115" s="9">
        <f t="shared" si="599"/>
        <v>226567.90789414308</v>
      </c>
      <c r="CA115" s="9">
        <f t="shared" si="599"/>
        <v>88826.063126614303</v>
      </c>
      <c r="CB115" s="9">
        <f t="shared" si="599"/>
        <v>47316.590708204501</v>
      </c>
      <c r="CC115" s="9">
        <f t="shared" si="599"/>
        <v>54445.986275981151</v>
      </c>
      <c r="CD115" s="9">
        <f t="shared" si="599"/>
        <v>48336.274712306753</v>
      </c>
      <c r="CE115" s="9">
        <f t="shared" si="599"/>
        <v>89575.17025607347</v>
      </c>
      <c r="CF115" s="9">
        <f t="shared" si="599"/>
        <v>51131.215978859611</v>
      </c>
      <c r="CG115" s="9">
        <f t="shared" si="599"/>
        <v>219885.98129645362</v>
      </c>
      <c r="CH115" s="9">
        <f t="shared" si="599"/>
        <v>356791.96580353129</v>
      </c>
      <c r="CI115" s="172">
        <f t="shared" si="599"/>
        <v>255846.45951371745</v>
      </c>
      <c r="CJ115" s="9">
        <f t="shared" si="599"/>
        <v>192806.27600106093</v>
      </c>
      <c r="CK115" s="9">
        <f t="shared" si="599"/>
        <v>84011.363938351657</v>
      </c>
      <c r="CL115" s="9">
        <f t="shared" si="599"/>
        <v>275819.69492688094</v>
      </c>
      <c r="CM115" s="9">
        <f t="shared" si="599"/>
        <v>106291.27059761476</v>
      </c>
      <c r="CN115" s="9">
        <f t="shared" si="599"/>
        <v>55202.689159571921</v>
      </c>
      <c r="CO115" s="9">
        <f t="shared" si="599"/>
        <v>64114.433619292737</v>
      </c>
      <c r="CP115" s="9">
        <f t="shared" si="599"/>
        <v>64363.392616067147</v>
      </c>
      <c r="CQ115" s="9">
        <f t="shared" si="599"/>
        <v>115912.01204577555</v>
      </c>
      <c r="CR115" s="9">
        <f t="shared" si="599"/>
        <v>67857.069199258229</v>
      </c>
      <c r="CS115" s="9">
        <f t="shared" si="599"/>
        <v>278800.5258462507</v>
      </c>
      <c r="CT115" s="9">
        <f t="shared" ref="CT115:DG115" si="600">+(CT26/30.4333)*CT117</f>
        <v>449933.00648009777</v>
      </c>
      <c r="CU115" s="172">
        <f t="shared" si="600"/>
        <v>323751.12361783057</v>
      </c>
      <c r="CV115" s="9">
        <f t="shared" si="600"/>
        <v>235093.27116280061</v>
      </c>
      <c r="CW115" s="9">
        <f t="shared" si="600"/>
        <v>109793.72443607901</v>
      </c>
      <c r="CX115" s="9">
        <f t="shared" si="600"/>
        <v>340389.570826229</v>
      </c>
      <c r="CY115" s="9">
        <f t="shared" si="600"/>
        <v>190337.38373029634</v>
      </c>
      <c r="CZ115" s="9">
        <f t="shared" si="600"/>
        <v>68810.725516922001</v>
      </c>
      <c r="DA115" s="9">
        <f t="shared" si="600"/>
        <v>321942.87349331303</v>
      </c>
      <c r="DB115" s="9">
        <f t="shared" si="600"/>
        <v>535187.94870529696</v>
      </c>
      <c r="DC115" s="9">
        <f t="shared" si="600"/>
        <v>383769.68927057623</v>
      </c>
      <c r="DD115" s="9">
        <f t="shared" si="600"/>
        <v>277380.26632454031</v>
      </c>
      <c r="DE115" s="9">
        <f t="shared" si="600"/>
        <v>114187.89823047638</v>
      </c>
      <c r="DF115" s="9">
        <f t="shared" si="600"/>
        <v>401900.3947132703</v>
      </c>
      <c r="DG115" s="9">
        <f t="shared" si="600"/>
        <v>147607.758219371</v>
      </c>
    </row>
    <row r="116" spans="1:111" s="37" customFormat="1" x14ac:dyDescent="0.3">
      <c r="B116" s="37" t="s">
        <v>276</v>
      </c>
      <c r="E116" s="37">
        <f t="shared" ref="E116:AA116" si="601">SUM(E115)</f>
        <v>0</v>
      </c>
      <c r="F116" s="37">
        <f t="shared" si="601"/>
        <v>0</v>
      </c>
      <c r="G116" s="37">
        <f t="shared" si="601"/>
        <v>0</v>
      </c>
      <c r="H116" s="37">
        <f t="shared" si="601"/>
        <v>0</v>
      </c>
      <c r="I116" s="37">
        <f t="shared" si="601"/>
        <v>0</v>
      </c>
      <c r="J116" s="37">
        <f t="shared" si="601"/>
        <v>0</v>
      </c>
      <c r="K116" s="37">
        <f t="shared" si="601"/>
        <v>0</v>
      </c>
      <c r="L116" s="37">
        <f t="shared" si="601"/>
        <v>0</v>
      </c>
      <c r="M116" s="37">
        <f t="shared" si="601"/>
        <v>0</v>
      </c>
      <c r="N116" s="37">
        <f t="shared" si="601"/>
        <v>0</v>
      </c>
      <c r="O116" s="37">
        <f t="shared" si="601"/>
        <v>0</v>
      </c>
      <c r="P116" s="37">
        <f t="shared" si="601"/>
        <v>0</v>
      </c>
      <c r="Q116" s="37">
        <f t="shared" si="601"/>
        <v>0</v>
      </c>
      <c r="R116" s="37">
        <f t="shared" si="601"/>
        <v>1088</v>
      </c>
      <c r="S116" s="37">
        <f t="shared" si="601"/>
        <v>1088</v>
      </c>
      <c r="T116" s="37">
        <f t="shared" si="601"/>
        <v>1088</v>
      </c>
      <c r="U116" s="37">
        <f t="shared" si="601"/>
        <v>1088</v>
      </c>
      <c r="V116" s="37">
        <f t="shared" si="601"/>
        <v>1088</v>
      </c>
      <c r="W116" s="37">
        <f t="shared" si="601"/>
        <v>1088</v>
      </c>
      <c r="X116" s="37">
        <f t="shared" si="601"/>
        <v>998.96</v>
      </c>
      <c r="Y116" s="37">
        <f t="shared" si="601"/>
        <v>0</v>
      </c>
      <c r="Z116" s="37">
        <f t="shared" si="601"/>
        <v>638.04</v>
      </c>
      <c r="AA116" s="37">
        <f t="shared" si="601"/>
        <v>53435</v>
      </c>
      <c r="AB116" s="37">
        <f>SUM(AB115)</f>
        <v>20000</v>
      </c>
      <c r="AC116" s="37">
        <f>SUM(AC115)</f>
        <v>0</v>
      </c>
      <c r="AD116" s="37">
        <f t="shared" ref="AD116:AE116" si="602">SUM(AD115)</f>
        <v>0</v>
      </c>
      <c r="AE116" s="37">
        <f t="shared" si="602"/>
        <v>9430.08</v>
      </c>
      <c r="AF116" s="37">
        <f t="shared" ref="AF116:AG116" si="603">SUM(AF115)</f>
        <v>2238.34</v>
      </c>
      <c r="AG116" s="37">
        <f t="shared" si="603"/>
        <v>34218.82</v>
      </c>
      <c r="AH116" s="37">
        <f t="shared" ref="AH116:AI116" si="604">SUM(AH115)</f>
        <v>10210.700000000001</v>
      </c>
      <c r="AI116" s="37">
        <f t="shared" si="604"/>
        <v>779.58</v>
      </c>
      <c r="AJ116" s="164">
        <f t="shared" ref="AJ116" si="605">SUM(AJ115)</f>
        <v>584.1</v>
      </c>
      <c r="AK116" s="37">
        <f t="shared" ref="AK116" si="606">SUM(AK115)</f>
        <v>49795.141226879765</v>
      </c>
      <c r="AL116" s="37">
        <f t="shared" ref="AL116" si="607">SUM(AL115)</f>
        <v>19146.21483703706</v>
      </c>
      <c r="AM116" s="164">
        <f t="shared" ref="AM116" si="608">SUM(AM115)</f>
        <v>8428.2677198989259</v>
      </c>
      <c r="AN116" s="37">
        <f t="shared" ref="AN116" si="609">SUM(AN115)</f>
        <v>28820.459857084908</v>
      </c>
      <c r="AO116" s="37">
        <f t="shared" ref="AO116" si="610">SUM(AO115)</f>
        <v>25663.77554918647</v>
      </c>
      <c r="AP116" s="37">
        <f t="shared" ref="AP116" si="611">SUM(AP115)</f>
        <v>46970.538246799275</v>
      </c>
      <c r="AQ116" s="37">
        <f t="shared" ref="AQ116" si="612">SUM(AQ115)</f>
        <v>27107.828536905454</v>
      </c>
      <c r="AR116" s="37">
        <f t="shared" ref="AR116" si="613">SUM(AR115)</f>
        <v>114297.79061766237</v>
      </c>
      <c r="AS116" s="37">
        <f t="shared" ref="AS116" si="614">SUM(AS115)</f>
        <v>185032.54927965245</v>
      </c>
      <c r="AT116" s="37">
        <f t="shared" ref="AT116" si="615">SUM(AT115)</f>
        <v>137333.24325977577</v>
      </c>
      <c r="AU116" s="37">
        <f t="shared" ref="AU116" si="616">SUM(AU115)</f>
        <v>96869.427851066881</v>
      </c>
      <c r="AV116" s="37">
        <f t="shared" ref="AV116" si="617">SUM(AV115)</f>
        <v>66433.033000187948</v>
      </c>
      <c r="AW116" s="37">
        <f t="shared" ref="AW116" si="618">SUM(AW115)</f>
        <v>141506.53258766941</v>
      </c>
      <c r="AX116" s="37">
        <f t="shared" ref="AX116" si="619">SUM(AX115)</f>
        <v>159388.57500771148</v>
      </c>
      <c r="AY116" s="164">
        <f t="shared" ref="AY116" si="620">SUM(AY115)</f>
        <v>218559.04824831287</v>
      </c>
      <c r="AZ116" s="37">
        <f t="shared" ref="AZ116" si="621">SUM(AZ115)</f>
        <v>155468.10681717927</v>
      </c>
      <c r="BA116" s="37">
        <f t="shared" ref="BA116" si="622">SUM(BA115)</f>
        <v>111139.18058966428</v>
      </c>
      <c r="BB116" s="37">
        <f t="shared" ref="BB116" si="623">SUM(BB115)</f>
        <v>43142.360550470985</v>
      </c>
      <c r="BC116" s="37">
        <f t="shared" ref="BC116" si="624">SUM(BC115)</f>
        <v>163022.5674183018</v>
      </c>
      <c r="BD116" s="37">
        <f t="shared" ref="BD116" si="625">SUM(BD115)</f>
        <v>57067.302212510411</v>
      </c>
      <c r="BE116" s="37">
        <f t="shared" ref="BE116" si="626">SUM(BE115)</f>
        <v>30186.927340908769</v>
      </c>
      <c r="BF116" s="37">
        <f t="shared" ref="BF116" si="627">SUM(BF115)</f>
        <v>34238.194587883947</v>
      </c>
      <c r="BG116" s="37">
        <f t="shared" ref="BG116" si="628">SUM(BG115)</f>
        <v>63449.078931385382</v>
      </c>
      <c r="BH116" s="37">
        <f t="shared" ref="BH116" si="629">SUM(BH115)</f>
        <v>36217.944651692233</v>
      </c>
      <c r="BI116" s="37">
        <f t="shared" ref="BI116" si="630">SUM(BI115)</f>
        <v>155752.57008498799</v>
      </c>
      <c r="BJ116" s="37">
        <f t="shared" ref="BJ116" si="631">SUM(BJ115)</f>
        <v>252727.64244416801</v>
      </c>
      <c r="BK116" s="164">
        <f t="shared" ref="BK116" si="632">SUM(BK115)</f>
        <v>181224.57548888322</v>
      </c>
      <c r="BL116" s="37">
        <f t="shared" ref="BL116" si="633">SUM(BL115)</f>
        <v>136899.69960289181</v>
      </c>
      <c r="BM116" s="37">
        <f t="shared" ref="BM116" si="634">SUM(BM115)</f>
        <v>59836.636891806069</v>
      </c>
      <c r="BN116" s="37">
        <f t="shared" ref="BN116" si="635">SUM(BN115)</f>
        <v>195700.87134201432</v>
      </c>
      <c r="BO116" s="37">
        <f t="shared" ref="BO116" si="636">SUM(BO115)</f>
        <v>75618.237442117417</v>
      </c>
      <c r="BP116" s="37">
        <f t="shared" ref="BP116" si="637">SUM(BP115)</f>
        <v>39430.492256837082</v>
      </c>
      <c r="BQ116" s="37">
        <f t="shared" ref="BQ116" si="638">SUM(BQ115)</f>
        <v>45223.126155655613</v>
      </c>
      <c r="BR116" s="37">
        <f t="shared" ref="BR116" si="639">SUM(BR115)</f>
        <v>40258.985510170161</v>
      </c>
      <c r="BS116" s="37">
        <f t="shared" ref="BS116" si="640">SUM(BS115)</f>
        <v>73765.58813948062</v>
      </c>
      <c r="BT116" s="37">
        <f t="shared" ref="BT116" si="641">SUM(BT115)</f>
        <v>42529.875289244366</v>
      </c>
      <c r="BU116" s="37">
        <f t="shared" ref="BU116" si="642">SUM(BU115)</f>
        <v>179643.12210978952</v>
      </c>
      <c r="BV116" s="37">
        <f t="shared" ref="BV116" si="643">SUM(BV115)</f>
        <v>290879.23452179006</v>
      </c>
      <c r="BW116" s="164">
        <f t="shared" ref="BW116" si="644">SUM(BW115)</f>
        <v>208861.0106613164</v>
      </c>
      <c r="BX116" s="37">
        <f t="shared" ref="BX116" si="645">SUM(BX115)</f>
        <v>159119.50501691431</v>
      </c>
      <c r="BY116" s="37">
        <f t="shared" ref="BY116" si="646">SUM(BY115)</f>
        <v>70723.638965963066</v>
      </c>
      <c r="BZ116" s="37">
        <f t="shared" ref="BZ116" si="647">SUM(BZ115)</f>
        <v>226567.90789414308</v>
      </c>
      <c r="CA116" s="37">
        <f t="shared" ref="CA116" si="648">SUM(CA115)</f>
        <v>88826.063126614303</v>
      </c>
      <c r="CB116" s="37">
        <f t="shared" ref="CB116" si="649">SUM(CB115)</f>
        <v>47316.590708204501</v>
      </c>
      <c r="CC116" s="37">
        <f t="shared" ref="CC116" si="650">SUM(CC115)</f>
        <v>54445.986275981151</v>
      </c>
      <c r="CD116" s="37">
        <f t="shared" ref="CD116" si="651">SUM(CD115)</f>
        <v>48336.274712306753</v>
      </c>
      <c r="CE116" s="37">
        <f t="shared" ref="CE116" si="652">SUM(CE115)</f>
        <v>89575.17025607347</v>
      </c>
      <c r="CF116" s="37">
        <f t="shared" ref="CF116" si="653">SUM(CF115)</f>
        <v>51131.215978859611</v>
      </c>
      <c r="CG116" s="37">
        <f t="shared" ref="CG116" si="654">SUM(CG115)</f>
        <v>219885.98129645362</v>
      </c>
      <c r="CH116" s="37">
        <f t="shared" ref="CH116" si="655">SUM(CH115)</f>
        <v>356791.96580353129</v>
      </c>
      <c r="CI116" s="164">
        <f t="shared" ref="CI116" si="656">SUM(CI115)</f>
        <v>255846.45951371745</v>
      </c>
      <c r="CJ116" s="37">
        <f t="shared" ref="CJ116" si="657">SUM(CJ115)</f>
        <v>192806.27600106093</v>
      </c>
      <c r="CK116" s="37">
        <f t="shared" ref="CK116" si="658">SUM(CK115)</f>
        <v>84011.363938351657</v>
      </c>
      <c r="CL116" s="37">
        <f t="shared" ref="CL116" si="659">SUM(CL115)</f>
        <v>275819.69492688094</v>
      </c>
      <c r="CM116" s="37">
        <f t="shared" ref="CM116" si="660">SUM(CM115)</f>
        <v>106291.27059761476</v>
      </c>
      <c r="CN116" s="37">
        <f t="shared" ref="CN116" si="661">SUM(CN115)</f>
        <v>55202.689159571921</v>
      </c>
      <c r="CO116" s="37">
        <f t="shared" ref="CO116" si="662">SUM(CO115)</f>
        <v>64114.433619292737</v>
      </c>
      <c r="CP116" s="37">
        <f t="shared" ref="CP116" si="663">SUM(CP115)</f>
        <v>64363.392616067147</v>
      </c>
      <c r="CQ116" s="37">
        <f t="shared" ref="CQ116" si="664">SUM(CQ115)</f>
        <v>115912.01204577555</v>
      </c>
      <c r="CR116" s="37">
        <f t="shared" ref="CR116" si="665">SUM(CR115)</f>
        <v>67857.069199258229</v>
      </c>
      <c r="CS116" s="37">
        <f t="shared" ref="CS116" si="666">SUM(CS115)</f>
        <v>278800.5258462507</v>
      </c>
      <c r="CT116" s="37">
        <f t="shared" ref="CT116" si="667">SUM(CT115)</f>
        <v>449933.00648009777</v>
      </c>
      <c r="CU116" s="164">
        <f t="shared" ref="CU116" si="668">SUM(CU115)</f>
        <v>323751.12361783057</v>
      </c>
      <c r="CV116" s="37">
        <f t="shared" ref="CV116" si="669">SUM(CV115)</f>
        <v>235093.27116280061</v>
      </c>
      <c r="CW116" s="37">
        <f t="shared" ref="CW116" si="670">SUM(CW115)</f>
        <v>109793.72443607901</v>
      </c>
      <c r="CX116" s="37">
        <f t="shared" ref="CX116" si="671">SUM(CX115)</f>
        <v>340389.570826229</v>
      </c>
      <c r="CY116" s="37">
        <f t="shared" ref="CY116" si="672">SUM(CY115)</f>
        <v>190337.38373029634</v>
      </c>
      <c r="CZ116" s="37">
        <f t="shared" ref="CZ116" si="673">SUM(CZ115)</f>
        <v>68810.725516922001</v>
      </c>
      <c r="DA116" s="37">
        <f t="shared" ref="DA116" si="674">SUM(DA115)</f>
        <v>321942.87349331303</v>
      </c>
      <c r="DB116" s="37">
        <f t="shared" ref="DB116" si="675">SUM(DB115)</f>
        <v>535187.94870529696</v>
      </c>
      <c r="DC116" s="37">
        <f t="shared" ref="DC116" si="676">SUM(DC115)</f>
        <v>383769.68927057623</v>
      </c>
      <c r="DD116" s="37">
        <f t="shared" ref="DD116" si="677">SUM(DD115)</f>
        <v>277380.26632454031</v>
      </c>
      <c r="DE116" s="37">
        <f t="shared" ref="DE116" si="678">SUM(DE115)</f>
        <v>114187.89823047638</v>
      </c>
      <c r="DF116" s="37">
        <f t="shared" ref="DF116" si="679">SUM(DF115)</f>
        <v>401900.3947132703</v>
      </c>
      <c r="DG116" s="37">
        <f t="shared" ref="DG116" si="680">SUM(DG115)</f>
        <v>147607.758219371</v>
      </c>
    </row>
    <row r="117" spans="1:111" x14ac:dyDescent="0.3">
      <c r="A117" s="45"/>
      <c r="B117" s="42"/>
      <c r="C117" s="43" t="s">
        <v>479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99">
        <f>IFERROR((AVERAGE(K116:P116)/AVERAGE(K33:P33))*30.433, 0)</f>
        <v>0</v>
      </c>
      <c r="Q117" s="499">
        <f t="shared" ref="Q117:AJ117" si="681">IFERROR((AVERAGE(L116:Q116)/AVERAGE(L33:Q33))*30.433, 0)</f>
        <v>0</v>
      </c>
      <c r="R117" s="499">
        <f t="shared" si="681"/>
        <v>0</v>
      </c>
      <c r="S117" s="499">
        <f t="shared" si="681"/>
        <v>0</v>
      </c>
      <c r="T117" s="499">
        <f t="shared" si="681"/>
        <v>0</v>
      </c>
      <c r="U117" s="499">
        <f t="shared" si="681"/>
        <v>-38.977167745732778</v>
      </c>
      <c r="V117" s="499">
        <f t="shared" si="681"/>
        <v>-42.625005149330583</v>
      </c>
      <c r="W117" s="499">
        <f t="shared" si="681"/>
        <v>-8.269090010035292</v>
      </c>
      <c r="X117" s="499">
        <f t="shared" si="681"/>
        <v>-7.5824930332120521</v>
      </c>
      <c r="Y117" s="499">
        <f t="shared" si="681"/>
        <v>3.8858892303066686</v>
      </c>
      <c r="Z117" s="499">
        <f t="shared" si="681"/>
        <v>1.7499817319303337</v>
      </c>
      <c r="AA117" s="499">
        <f t="shared" si="681"/>
        <v>17.074754531126182</v>
      </c>
      <c r="AB117" s="499">
        <f t="shared" si="681"/>
        <v>62.74954083931113</v>
      </c>
      <c r="AC117" s="499">
        <f t="shared" si="681"/>
        <v>14.659633309320531</v>
      </c>
      <c r="AD117" s="499">
        <f t="shared" si="681"/>
        <v>13.660931080760557</v>
      </c>
      <c r="AE117" s="499">
        <f t="shared" si="681"/>
        <v>34.852025846381224</v>
      </c>
      <c r="AF117" s="499">
        <f t="shared" si="681"/>
        <v>29.456763850677167</v>
      </c>
      <c r="AG117" s="499">
        <f t="shared" si="681"/>
        <v>40.236835687568231</v>
      </c>
      <c r="AH117" s="499">
        <f t="shared" si="681"/>
        <v>15.078996542982459</v>
      </c>
      <c r="AI117" s="499">
        <f t="shared" si="681"/>
        <v>82.145812784148589</v>
      </c>
      <c r="AJ117" s="500">
        <f t="shared" si="681"/>
        <v>65.971270007967547</v>
      </c>
      <c r="AK117" s="541">
        <v>30</v>
      </c>
      <c r="AL117" s="499">
        <f t="shared" ref="AL117" si="682">AK117</f>
        <v>30</v>
      </c>
      <c r="AM117" s="500">
        <f t="shared" ref="AM117" si="683">AL117</f>
        <v>30</v>
      </c>
      <c r="AN117" s="499">
        <f t="shared" ref="AN117" si="684">AM117</f>
        <v>30</v>
      </c>
      <c r="AO117" s="499">
        <f t="shared" ref="AO117" si="685">AN117</f>
        <v>30</v>
      </c>
      <c r="AP117" s="499">
        <f t="shared" ref="AP117" si="686">AO117</f>
        <v>30</v>
      </c>
      <c r="AQ117" s="499">
        <f t="shared" ref="AQ117" si="687">AP117</f>
        <v>30</v>
      </c>
      <c r="AR117" s="499">
        <f t="shared" ref="AR117" si="688">AQ117</f>
        <v>30</v>
      </c>
      <c r="AS117" s="499">
        <f t="shared" ref="AS117" si="689">AR117</f>
        <v>30</v>
      </c>
      <c r="AT117" s="499">
        <f t="shared" ref="AT117" si="690">AS117</f>
        <v>30</v>
      </c>
      <c r="AU117" s="499">
        <f t="shared" ref="AU117" si="691">AT117</f>
        <v>30</v>
      </c>
      <c r="AV117" s="499">
        <f t="shared" ref="AV117" si="692">AU117</f>
        <v>30</v>
      </c>
      <c r="AW117" s="499">
        <f t="shared" ref="AW117" si="693">AV117</f>
        <v>30</v>
      </c>
      <c r="AX117" s="499">
        <f t="shared" ref="AX117" si="694">AW117</f>
        <v>30</v>
      </c>
      <c r="AY117" s="500">
        <f t="shared" ref="AY117" si="695">AX117</f>
        <v>30</v>
      </c>
      <c r="AZ117" s="499">
        <f t="shared" ref="AZ117" si="696">AY117</f>
        <v>30</v>
      </c>
      <c r="BA117" s="499">
        <f t="shared" ref="BA117" si="697">AZ117</f>
        <v>30</v>
      </c>
      <c r="BB117" s="499">
        <f t="shared" ref="BB117" si="698">BA117</f>
        <v>30</v>
      </c>
      <c r="BC117" s="499">
        <f t="shared" ref="BC117" si="699">BB117</f>
        <v>30</v>
      </c>
      <c r="BD117" s="499">
        <f t="shared" ref="BD117" si="700">BC117</f>
        <v>30</v>
      </c>
      <c r="BE117" s="499">
        <f t="shared" ref="BE117" si="701">BD117</f>
        <v>30</v>
      </c>
      <c r="BF117" s="499">
        <f t="shared" ref="BF117" si="702">BE117</f>
        <v>30</v>
      </c>
      <c r="BG117" s="499">
        <f t="shared" ref="BG117" si="703">BF117</f>
        <v>30</v>
      </c>
      <c r="BH117" s="499">
        <f t="shared" ref="BH117" si="704">BG117</f>
        <v>30</v>
      </c>
      <c r="BI117" s="499">
        <f t="shared" ref="BI117" si="705">BH117</f>
        <v>30</v>
      </c>
      <c r="BJ117" s="499">
        <f t="shared" ref="BJ117" si="706">BI117</f>
        <v>30</v>
      </c>
      <c r="BK117" s="500">
        <f t="shared" ref="BK117" si="707">BJ117</f>
        <v>30</v>
      </c>
      <c r="BL117" s="499">
        <f t="shared" ref="BL117" si="708">BK117</f>
        <v>30</v>
      </c>
      <c r="BM117" s="499">
        <f t="shared" ref="BM117" si="709">BL117</f>
        <v>30</v>
      </c>
      <c r="BN117" s="499">
        <f t="shared" ref="BN117" si="710">BM117</f>
        <v>30</v>
      </c>
      <c r="BO117" s="499">
        <f t="shared" ref="BO117" si="711">BN117</f>
        <v>30</v>
      </c>
      <c r="BP117" s="499">
        <f t="shared" ref="BP117" si="712">BO117</f>
        <v>30</v>
      </c>
      <c r="BQ117" s="499">
        <f t="shared" ref="BQ117" si="713">BP117</f>
        <v>30</v>
      </c>
      <c r="BR117" s="499">
        <f t="shared" ref="BR117" si="714">BQ117</f>
        <v>30</v>
      </c>
      <c r="BS117" s="499">
        <f t="shared" ref="BS117" si="715">BR117</f>
        <v>30</v>
      </c>
      <c r="BT117" s="499">
        <f t="shared" ref="BT117" si="716">BS117</f>
        <v>30</v>
      </c>
      <c r="BU117" s="499">
        <f t="shared" ref="BU117" si="717">BT117</f>
        <v>30</v>
      </c>
      <c r="BV117" s="499">
        <f t="shared" ref="BV117" si="718">BU117</f>
        <v>30</v>
      </c>
      <c r="BW117" s="500">
        <f t="shared" ref="BW117" si="719">BV117</f>
        <v>30</v>
      </c>
      <c r="BX117" s="499">
        <f t="shared" ref="BX117" si="720">BW117</f>
        <v>30</v>
      </c>
      <c r="BY117" s="499">
        <f t="shared" ref="BY117" si="721">BX117</f>
        <v>30</v>
      </c>
      <c r="BZ117" s="499">
        <f t="shared" ref="BZ117" si="722">BY117</f>
        <v>30</v>
      </c>
      <c r="CA117" s="499">
        <f t="shared" ref="CA117" si="723">BZ117</f>
        <v>30</v>
      </c>
      <c r="CB117" s="499">
        <f t="shared" ref="CB117" si="724">CA117</f>
        <v>30</v>
      </c>
      <c r="CC117" s="499">
        <f t="shared" ref="CC117" si="725">CB117</f>
        <v>30</v>
      </c>
      <c r="CD117" s="499">
        <f t="shared" ref="CD117" si="726">CC117</f>
        <v>30</v>
      </c>
      <c r="CE117" s="499">
        <f t="shared" ref="CE117" si="727">CD117</f>
        <v>30</v>
      </c>
      <c r="CF117" s="499">
        <f t="shared" ref="CF117" si="728">CE117</f>
        <v>30</v>
      </c>
      <c r="CG117" s="499">
        <f t="shared" ref="CG117" si="729">CF117</f>
        <v>30</v>
      </c>
      <c r="CH117" s="499">
        <f t="shared" ref="CH117" si="730">CG117</f>
        <v>30</v>
      </c>
      <c r="CI117" s="500">
        <f t="shared" ref="CI117" si="731">CH117</f>
        <v>30</v>
      </c>
      <c r="CJ117" s="499">
        <f t="shared" ref="CJ117" si="732">CI117</f>
        <v>30</v>
      </c>
      <c r="CK117" s="499">
        <f t="shared" ref="CK117" si="733">CJ117</f>
        <v>30</v>
      </c>
      <c r="CL117" s="499">
        <f t="shared" ref="CL117" si="734">CK117</f>
        <v>30</v>
      </c>
      <c r="CM117" s="499">
        <f t="shared" ref="CM117" si="735">CL117</f>
        <v>30</v>
      </c>
      <c r="CN117" s="499">
        <f t="shared" ref="CN117" si="736">CM117</f>
        <v>30</v>
      </c>
      <c r="CO117" s="499">
        <f t="shared" ref="CO117" si="737">CN117</f>
        <v>30</v>
      </c>
      <c r="CP117" s="499">
        <f t="shared" ref="CP117" si="738">CO117</f>
        <v>30</v>
      </c>
      <c r="CQ117" s="499">
        <f t="shared" ref="CQ117" si="739">CP117</f>
        <v>30</v>
      </c>
      <c r="CR117" s="499">
        <f t="shared" ref="CR117" si="740">CQ117</f>
        <v>30</v>
      </c>
      <c r="CS117" s="499">
        <f t="shared" ref="CS117" si="741">CR117</f>
        <v>30</v>
      </c>
      <c r="CT117" s="499">
        <f t="shared" ref="CT117" si="742">CS117</f>
        <v>30</v>
      </c>
      <c r="CU117" s="500">
        <f t="shared" ref="CU117" si="743">CT117</f>
        <v>30</v>
      </c>
      <c r="CV117" s="499">
        <f t="shared" ref="CV117" si="744">CU117</f>
        <v>30</v>
      </c>
      <c r="CW117" s="499">
        <f t="shared" ref="CW117" si="745">CV117</f>
        <v>30</v>
      </c>
      <c r="CX117" s="499">
        <f t="shared" ref="CX117" si="746">CW117</f>
        <v>30</v>
      </c>
      <c r="CY117" s="499">
        <f t="shared" ref="CY117" si="747">CX117</f>
        <v>30</v>
      </c>
      <c r="CZ117" s="499">
        <f t="shared" ref="CZ117" si="748">CY117</f>
        <v>30</v>
      </c>
      <c r="DA117" s="499">
        <f t="shared" ref="DA117" si="749">CZ117</f>
        <v>30</v>
      </c>
      <c r="DB117" s="499">
        <f t="shared" ref="DB117" si="750">DA117</f>
        <v>30</v>
      </c>
      <c r="DC117" s="499">
        <f t="shared" ref="DC117" si="751">DB117</f>
        <v>30</v>
      </c>
      <c r="DD117" s="499">
        <f t="shared" ref="DD117" si="752">DC117</f>
        <v>30</v>
      </c>
      <c r="DE117" s="499">
        <f t="shared" ref="DE117" si="753">DD117</f>
        <v>30</v>
      </c>
      <c r="DF117" s="499">
        <f t="shared" ref="DF117" si="754">DE117</f>
        <v>30</v>
      </c>
      <c r="DG117" s="499">
        <f t="shared" ref="DG117" si="755">DF117</f>
        <v>30</v>
      </c>
    </row>
    <row r="118" spans="1:111" s="39" customFormat="1" x14ac:dyDescent="0.3">
      <c r="AJ118" s="165"/>
      <c r="AM118" s="165"/>
      <c r="AY118" s="165"/>
      <c r="BK118" s="165"/>
      <c r="BW118" s="165"/>
      <c r="CI118" s="165"/>
      <c r="CU118" s="165"/>
    </row>
    <row r="119" spans="1:111" s="39" customFormat="1" x14ac:dyDescent="0.3">
      <c r="B119" s="39" t="s">
        <v>267</v>
      </c>
      <c r="AJ119" s="165"/>
      <c r="AM119" s="165"/>
      <c r="AY119" s="165"/>
      <c r="BK119" s="165"/>
      <c r="BW119" s="165"/>
      <c r="CI119" s="165"/>
      <c r="CU119" s="165"/>
    </row>
    <row r="120" spans="1:111" s="15" customFormat="1" hidden="1" x14ac:dyDescent="0.3">
      <c r="A120"/>
      <c r="B120" s="1" t="s">
        <v>333</v>
      </c>
      <c r="C120" s="1"/>
      <c r="D120" s="2"/>
      <c r="E120" s="2"/>
      <c r="F120" s="2"/>
      <c r="G120" s="2"/>
      <c r="H120" s="2"/>
      <c r="I120" s="2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>
        <v>0</v>
      </c>
      <c r="AC120" s="91">
        <v>0</v>
      </c>
      <c r="AD120" s="91">
        <v>0</v>
      </c>
      <c r="AE120" s="91">
        <v>0</v>
      </c>
      <c r="AF120" s="91">
        <v>0</v>
      </c>
      <c r="AG120" s="91">
        <v>0</v>
      </c>
      <c r="AH120" s="91">
        <v>0</v>
      </c>
      <c r="AI120" s="91">
        <v>0</v>
      </c>
      <c r="AJ120" s="163">
        <v>0</v>
      </c>
      <c r="AK120" s="206"/>
      <c r="AL120" s="9"/>
      <c r="AM120" s="172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72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172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172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172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172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</row>
    <row r="121" spans="1:111" s="15" customFormat="1" x14ac:dyDescent="0.3">
      <c r="A121"/>
      <c r="B121" s="1" t="s">
        <v>508</v>
      </c>
      <c r="C121" s="1"/>
      <c r="D121" s="2"/>
      <c r="E121" s="2"/>
      <c r="F121" s="2"/>
      <c r="G121" s="2"/>
      <c r="H121" s="2"/>
      <c r="I121" s="2"/>
      <c r="J121" s="91"/>
      <c r="K121" s="91"/>
      <c r="L121" s="91"/>
      <c r="M121" s="91"/>
      <c r="N121" s="91"/>
      <c r="O121" s="91"/>
      <c r="P121" s="91">
        <v>32.49</v>
      </c>
      <c r="Q121" s="91">
        <v>30.05</v>
      </c>
      <c r="R121" s="91">
        <v>140.63999999999999</v>
      </c>
      <c r="S121" s="91">
        <v>73</v>
      </c>
      <c r="T121" s="91">
        <v>1796.97</v>
      </c>
      <c r="U121" s="91">
        <v>2060.5500000000002</v>
      </c>
      <c r="V121" s="91">
        <v>2984.17</v>
      </c>
      <c r="W121" s="91">
        <v>4074.71</v>
      </c>
      <c r="X121" s="91">
        <v>4462.3900000000003</v>
      </c>
      <c r="Y121" s="91">
        <v>4738</v>
      </c>
      <c r="Z121" s="91">
        <v>2380.16</v>
      </c>
      <c r="AA121" s="91">
        <v>0</v>
      </c>
      <c r="AB121" s="91"/>
      <c r="AC121" s="91">
        <v>0</v>
      </c>
      <c r="AD121" s="91">
        <v>0</v>
      </c>
      <c r="AE121" s="91">
        <v>0</v>
      </c>
      <c r="AF121" s="91">
        <v>0</v>
      </c>
      <c r="AG121" s="91">
        <v>0</v>
      </c>
      <c r="AH121" s="91">
        <v>0</v>
      </c>
      <c r="AI121" s="91">
        <v>0</v>
      </c>
      <c r="AJ121" s="163">
        <v>468.73</v>
      </c>
      <c r="AK121" s="206">
        <v>0</v>
      </c>
      <c r="AL121" s="9"/>
      <c r="AM121" s="172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72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172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172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172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172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</row>
    <row r="122" spans="1:111" s="15" customFormat="1" x14ac:dyDescent="0.3">
      <c r="A122"/>
      <c r="B122" s="1" t="s">
        <v>509</v>
      </c>
      <c r="C122" s="1"/>
      <c r="D122" s="2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91">
        <v>0</v>
      </c>
      <c r="K122" s="91">
        <v>0</v>
      </c>
      <c r="L122" s="91">
        <v>0</v>
      </c>
      <c r="M122" s="91">
        <v>0</v>
      </c>
      <c r="N122" s="91">
        <v>0</v>
      </c>
      <c r="O122" s="91">
        <v>0</v>
      </c>
      <c r="P122" s="91"/>
      <c r="Q122" s="91">
        <v>0</v>
      </c>
      <c r="R122" s="91">
        <v>0</v>
      </c>
      <c r="S122" s="91">
        <v>0</v>
      </c>
      <c r="T122" s="91">
        <v>0</v>
      </c>
      <c r="U122" s="91"/>
      <c r="V122" s="91">
        <v>0</v>
      </c>
      <c r="W122" s="91">
        <v>0</v>
      </c>
      <c r="X122" s="91">
        <v>0</v>
      </c>
      <c r="Y122" s="91">
        <v>0</v>
      </c>
      <c r="Z122" s="91">
        <v>0</v>
      </c>
      <c r="AA122" s="91">
        <v>249.98</v>
      </c>
      <c r="AB122" s="91">
        <v>1453.95</v>
      </c>
      <c r="AC122" s="91">
        <v>799.57</v>
      </c>
      <c r="AD122" s="91">
        <v>825.46</v>
      </c>
      <c r="AE122" s="91">
        <v>187.25</v>
      </c>
      <c r="AF122" s="91">
        <v>161.15</v>
      </c>
      <c r="AG122" s="91">
        <v>191.15</v>
      </c>
      <c r="AH122" s="91">
        <v>740.15</v>
      </c>
      <c r="AI122" s="91">
        <v>170.15</v>
      </c>
      <c r="AJ122" s="163">
        <v>489.04</v>
      </c>
      <c r="AK122" s="206">
        <f>+(AK76/30.4333)*AK125</f>
        <v>1359.9773931844397</v>
      </c>
      <c r="AL122" s="9">
        <f t="shared" ref="AL122:CS122" si="756">+(AL76/30.4333)*AL125</f>
        <v>1359.9773931844397</v>
      </c>
      <c r="AM122" s="172">
        <f t="shared" si="756"/>
        <v>1359.9773931844397</v>
      </c>
      <c r="AN122" s="9">
        <f t="shared" si="756"/>
        <v>10689.39615486983</v>
      </c>
      <c r="AO122" s="9">
        <f t="shared" si="756"/>
        <v>10802.495950159857</v>
      </c>
      <c r="AP122" s="9">
        <f t="shared" si="756"/>
        <v>10656.537411322464</v>
      </c>
      <c r="AQ122" s="9">
        <f t="shared" si="756"/>
        <v>11609.44097419603</v>
      </c>
      <c r="AR122" s="9">
        <f t="shared" si="756"/>
        <v>10656.537411322464</v>
      </c>
      <c r="AS122" s="9">
        <f t="shared" si="756"/>
        <v>10656.537411322464</v>
      </c>
      <c r="AT122" s="9">
        <f t="shared" si="756"/>
        <v>10824.774178284972</v>
      </c>
      <c r="AU122" s="9">
        <f t="shared" si="756"/>
        <v>10669.680908741411</v>
      </c>
      <c r="AV122" s="9">
        <f t="shared" si="756"/>
        <v>10656.537411322464</v>
      </c>
      <c r="AW122" s="9">
        <f t="shared" si="756"/>
        <v>10656.537411322464</v>
      </c>
      <c r="AX122" s="9">
        <f t="shared" si="756"/>
        <v>10656.537411322464</v>
      </c>
      <c r="AY122" s="172">
        <f t="shared" si="756"/>
        <v>10656.537411322464</v>
      </c>
      <c r="AZ122" s="9">
        <f t="shared" si="756"/>
        <v>11872.500955641792</v>
      </c>
      <c r="BA122" s="9">
        <f t="shared" si="756"/>
        <v>11985.600750931817</v>
      </c>
      <c r="BB122" s="9">
        <f t="shared" si="756"/>
        <v>11839.642212094426</v>
      </c>
      <c r="BC122" s="9">
        <f t="shared" si="756"/>
        <v>12792.545774967988</v>
      </c>
      <c r="BD122" s="9">
        <f t="shared" si="756"/>
        <v>11839.642212094426</v>
      </c>
      <c r="BE122" s="9">
        <f t="shared" si="756"/>
        <v>11839.642212094426</v>
      </c>
      <c r="BF122" s="9">
        <f t="shared" si="756"/>
        <v>12007.878979056932</v>
      </c>
      <c r="BG122" s="9">
        <f t="shared" si="756"/>
        <v>11852.785709513373</v>
      </c>
      <c r="BH122" s="9">
        <f t="shared" si="756"/>
        <v>11839.642212094426</v>
      </c>
      <c r="BI122" s="9">
        <f t="shared" si="756"/>
        <v>11839.642212094426</v>
      </c>
      <c r="BJ122" s="9">
        <f t="shared" si="756"/>
        <v>11839.642212094426</v>
      </c>
      <c r="BK122" s="172">
        <f t="shared" si="756"/>
        <v>11839.642212094426</v>
      </c>
      <c r="BL122" s="9">
        <f t="shared" si="756"/>
        <v>13774.81714109216</v>
      </c>
      <c r="BM122" s="9">
        <f t="shared" si="756"/>
        <v>13887.916936382187</v>
      </c>
      <c r="BN122" s="9">
        <f t="shared" si="756"/>
        <v>13741.958397544797</v>
      </c>
      <c r="BO122" s="9">
        <f t="shared" si="756"/>
        <v>14694.861960418359</v>
      </c>
      <c r="BP122" s="9">
        <f t="shared" si="756"/>
        <v>13741.958397544797</v>
      </c>
      <c r="BQ122" s="9">
        <f t="shared" si="756"/>
        <v>13741.958397544797</v>
      </c>
      <c r="BR122" s="9">
        <f t="shared" si="756"/>
        <v>13910.195164507302</v>
      </c>
      <c r="BS122" s="9">
        <f t="shared" si="756"/>
        <v>13755.10189496374</v>
      </c>
      <c r="BT122" s="9">
        <f t="shared" si="756"/>
        <v>13741.958397544797</v>
      </c>
      <c r="BU122" s="9">
        <f t="shared" si="756"/>
        <v>13741.958397544797</v>
      </c>
      <c r="BV122" s="9">
        <f t="shared" si="756"/>
        <v>13741.958397544797</v>
      </c>
      <c r="BW122" s="172">
        <f t="shared" si="756"/>
        <v>13741.958397544797</v>
      </c>
      <c r="BX122" s="9">
        <f t="shared" si="756"/>
        <v>17081.337310062772</v>
      </c>
      <c r="BY122" s="9">
        <f t="shared" si="756"/>
        <v>17194.437105352801</v>
      </c>
      <c r="BZ122" s="9">
        <f t="shared" si="756"/>
        <v>17048.478566515409</v>
      </c>
      <c r="CA122" s="9">
        <f t="shared" si="756"/>
        <v>18001.38212938897</v>
      </c>
      <c r="CB122" s="9">
        <f t="shared" si="756"/>
        <v>17048.478566515409</v>
      </c>
      <c r="CC122" s="9">
        <f t="shared" si="756"/>
        <v>17048.478566515409</v>
      </c>
      <c r="CD122" s="9">
        <f t="shared" si="756"/>
        <v>17216.715333477914</v>
      </c>
      <c r="CE122" s="9">
        <f t="shared" si="756"/>
        <v>17061.622063934352</v>
      </c>
      <c r="CF122" s="9">
        <f t="shared" si="756"/>
        <v>17048.478566515409</v>
      </c>
      <c r="CG122" s="9">
        <f t="shared" si="756"/>
        <v>17048.478566515409</v>
      </c>
      <c r="CH122" s="9">
        <f t="shared" si="756"/>
        <v>17048.478566515409</v>
      </c>
      <c r="CI122" s="172">
        <f t="shared" si="756"/>
        <v>17048.478566515409</v>
      </c>
      <c r="CJ122" s="9">
        <f t="shared" si="756"/>
        <v>20012.987366719459</v>
      </c>
      <c r="CK122" s="9">
        <f t="shared" si="756"/>
        <v>20126.087162009484</v>
      </c>
      <c r="CL122" s="9">
        <f t="shared" si="756"/>
        <v>19980.128623172091</v>
      </c>
      <c r="CM122" s="9">
        <f t="shared" si="756"/>
        <v>20933.032186045657</v>
      </c>
      <c r="CN122" s="9">
        <f t="shared" si="756"/>
        <v>19980.128623172091</v>
      </c>
      <c r="CO122" s="9">
        <f t="shared" si="756"/>
        <v>19980.128623172091</v>
      </c>
      <c r="CP122" s="9">
        <f t="shared" si="756"/>
        <v>20148.365390134601</v>
      </c>
      <c r="CQ122" s="9">
        <f t="shared" si="756"/>
        <v>19993.272120591038</v>
      </c>
      <c r="CR122" s="9">
        <f t="shared" si="756"/>
        <v>19980.128623172091</v>
      </c>
      <c r="CS122" s="9">
        <f t="shared" si="756"/>
        <v>19980.128623172091</v>
      </c>
      <c r="CT122" s="9">
        <f t="shared" ref="CT122:DG122" si="757">+(CT76/30.4333)*CT125</f>
        <v>19980.128623172091</v>
      </c>
      <c r="CU122" s="172">
        <f t="shared" si="757"/>
        <v>19980.128623172091</v>
      </c>
      <c r="CV122" s="9">
        <f t="shared" si="757"/>
        <v>25284.83691128717</v>
      </c>
      <c r="CW122" s="9">
        <f t="shared" si="757"/>
        <v>25397.936706577198</v>
      </c>
      <c r="CX122" s="9">
        <f t="shared" si="757"/>
        <v>25251.978167739802</v>
      </c>
      <c r="CY122" s="9">
        <f t="shared" si="757"/>
        <v>26204.881730613371</v>
      </c>
      <c r="CZ122" s="9">
        <f t="shared" si="757"/>
        <v>25251.978167739802</v>
      </c>
      <c r="DA122" s="9">
        <f t="shared" si="757"/>
        <v>25251.978167739802</v>
      </c>
      <c r="DB122" s="9">
        <f t="shared" si="757"/>
        <v>25420.214934702308</v>
      </c>
      <c r="DC122" s="9">
        <f t="shared" si="757"/>
        <v>25265.121665158749</v>
      </c>
      <c r="DD122" s="9">
        <f t="shared" si="757"/>
        <v>25251.978167739802</v>
      </c>
      <c r="DE122" s="9">
        <f t="shared" si="757"/>
        <v>25251.978167739802</v>
      </c>
      <c r="DF122" s="9">
        <f t="shared" si="757"/>
        <v>25251.978167739802</v>
      </c>
      <c r="DG122" s="9">
        <f t="shared" si="757"/>
        <v>25251.978167739802</v>
      </c>
    </row>
    <row r="123" spans="1:111" s="15" customFormat="1" x14ac:dyDescent="0.3">
      <c r="A123"/>
      <c r="B123" s="1" t="s">
        <v>510</v>
      </c>
      <c r="C123" s="1"/>
      <c r="D123" s="2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91">
        <v>0</v>
      </c>
      <c r="K123" s="91">
        <v>0</v>
      </c>
      <c r="L123" s="91">
        <v>0</v>
      </c>
      <c r="M123" s="91">
        <v>0</v>
      </c>
      <c r="N123" s="91">
        <v>0</v>
      </c>
      <c r="O123" s="91">
        <v>0</v>
      </c>
      <c r="P123" s="91"/>
      <c r="Q123" s="91">
        <v>0</v>
      </c>
      <c r="R123" s="91">
        <v>0</v>
      </c>
      <c r="S123" s="91">
        <v>0</v>
      </c>
      <c r="T123" s="91">
        <v>0</v>
      </c>
      <c r="U123" s="91"/>
      <c r="V123" s="91">
        <v>0</v>
      </c>
      <c r="W123" s="91">
        <v>0</v>
      </c>
      <c r="X123" s="91">
        <v>991</v>
      </c>
      <c r="Y123" s="91">
        <v>3885.59</v>
      </c>
      <c r="Z123" s="91">
        <v>1518.43</v>
      </c>
      <c r="AA123" s="91">
        <v>-31.65</v>
      </c>
      <c r="AB123" s="91">
        <v>68.349999999999994</v>
      </c>
      <c r="AC123" s="91">
        <v>0</v>
      </c>
      <c r="AD123" s="91">
        <v>72</v>
      </c>
      <c r="AE123" s="91">
        <v>0</v>
      </c>
      <c r="AF123" s="91">
        <v>1366.33</v>
      </c>
      <c r="AG123" s="91">
        <v>0</v>
      </c>
      <c r="AH123" s="91">
        <v>249.37</v>
      </c>
      <c r="AI123" s="91">
        <v>2345.91</v>
      </c>
      <c r="AJ123" s="163">
        <v>3604.51</v>
      </c>
      <c r="AK123" s="206">
        <f>+(AK77/30.4333)*AK126</f>
        <v>0</v>
      </c>
      <c r="AL123" s="9">
        <f t="shared" ref="AL123:CP123" si="758">+AK123</f>
        <v>0</v>
      </c>
      <c r="AM123" s="172">
        <f t="shared" si="758"/>
        <v>0</v>
      </c>
      <c r="AN123" s="9">
        <f t="shared" si="758"/>
        <v>0</v>
      </c>
      <c r="AO123" s="9">
        <f t="shared" si="758"/>
        <v>0</v>
      </c>
      <c r="AP123" s="9">
        <f t="shared" si="758"/>
        <v>0</v>
      </c>
      <c r="AQ123" s="9">
        <f t="shared" si="758"/>
        <v>0</v>
      </c>
      <c r="AR123" s="9">
        <f t="shared" si="758"/>
        <v>0</v>
      </c>
      <c r="AS123" s="9">
        <f t="shared" si="758"/>
        <v>0</v>
      </c>
      <c r="AT123" s="9">
        <f t="shared" si="758"/>
        <v>0</v>
      </c>
      <c r="AU123" s="9">
        <f t="shared" si="758"/>
        <v>0</v>
      </c>
      <c r="AV123" s="9">
        <f t="shared" si="758"/>
        <v>0</v>
      </c>
      <c r="AW123" s="9">
        <f t="shared" si="758"/>
        <v>0</v>
      </c>
      <c r="AX123" s="9">
        <f t="shared" si="758"/>
        <v>0</v>
      </c>
      <c r="AY123" s="172">
        <f t="shared" si="758"/>
        <v>0</v>
      </c>
      <c r="AZ123" s="9">
        <f t="shared" si="758"/>
        <v>0</v>
      </c>
      <c r="BA123" s="9">
        <f t="shared" si="758"/>
        <v>0</v>
      </c>
      <c r="BB123" s="9">
        <f t="shared" si="758"/>
        <v>0</v>
      </c>
      <c r="BC123" s="9">
        <f t="shared" si="758"/>
        <v>0</v>
      </c>
      <c r="BD123" s="9">
        <f t="shared" si="758"/>
        <v>0</v>
      </c>
      <c r="BE123" s="9">
        <f t="shared" si="758"/>
        <v>0</v>
      </c>
      <c r="BF123" s="9">
        <f t="shared" si="758"/>
        <v>0</v>
      </c>
      <c r="BG123" s="9">
        <f t="shared" si="758"/>
        <v>0</v>
      </c>
      <c r="BH123" s="9">
        <f t="shared" si="758"/>
        <v>0</v>
      </c>
      <c r="BI123" s="9">
        <f t="shared" si="758"/>
        <v>0</v>
      </c>
      <c r="BJ123" s="9">
        <f t="shared" si="758"/>
        <v>0</v>
      </c>
      <c r="BK123" s="172">
        <f t="shared" si="758"/>
        <v>0</v>
      </c>
      <c r="BL123" s="9">
        <f t="shared" si="758"/>
        <v>0</v>
      </c>
      <c r="BM123" s="9">
        <f t="shared" si="758"/>
        <v>0</v>
      </c>
      <c r="BN123" s="9">
        <f t="shared" si="758"/>
        <v>0</v>
      </c>
      <c r="BO123" s="9">
        <f t="shared" si="758"/>
        <v>0</v>
      </c>
      <c r="BP123" s="9">
        <f t="shared" si="758"/>
        <v>0</v>
      </c>
      <c r="BQ123" s="9">
        <f t="shared" si="758"/>
        <v>0</v>
      </c>
      <c r="BR123" s="9">
        <f t="shared" si="758"/>
        <v>0</v>
      </c>
      <c r="BS123" s="9">
        <f t="shared" si="758"/>
        <v>0</v>
      </c>
      <c r="BT123" s="9">
        <f t="shared" si="758"/>
        <v>0</v>
      </c>
      <c r="BU123" s="9">
        <f t="shared" si="758"/>
        <v>0</v>
      </c>
      <c r="BV123" s="9">
        <f t="shared" si="758"/>
        <v>0</v>
      </c>
      <c r="BW123" s="172">
        <f t="shared" si="758"/>
        <v>0</v>
      </c>
      <c r="BX123" s="9">
        <f t="shared" si="758"/>
        <v>0</v>
      </c>
      <c r="BY123" s="9">
        <f t="shared" si="758"/>
        <v>0</v>
      </c>
      <c r="BZ123" s="9">
        <f t="shared" si="758"/>
        <v>0</v>
      </c>
      <c r="CA123" s="9">
        <f t="shared" si="758"/>
        <v>0</v>
      </c>
      <c r="CB123" s="9">
        <f t="shared" si="758"/>
        <v>0</v>
      </c>
      <c r="CC123" s="9">
        <f t="shared" si="758"/>
        <v>0</v>
      </c>
      <c r="CD123" s="9">
        <f t="shared" si="758"/>
        <v>0</v>
      </c>
      <c r="CE123" s="9">
        <f t="shared" si="758"/>
        <v>0</v>
      </c>
      <c r="CF123" s="9">
        <f t="shared" si="758"/>
        <v>0</v>
      </c>
      <c r="CG123" s="9">
        <f t="shared" si="758"/>
        <v>0</v>
      </c>
      <c r="CH123" s="9">
        <f t="shared" si="758"/>
        <v>0</v>
      </c>
      <c r="CI123" s="172">
        <f t="shared" si="758"/>
        <v>0</v>
      </c>
      <c r="CJ123" s="9">
        <f t="shared" si="758"/>
        <v>0</v>
      </c>
      <c r="CK123" s="9">
        <f t="shared" si="758"/>
        <v>0</v>
      </c>
      <c r="CL123" s="9">
        <f t="shared" si="758"/>
        <v>0</v>
      </c>
      <c r="CM123" s="9">
        <f t="shared" si="758"/>
        <v>0</v>
      </c>
      <c r="CN123" s="9">
        <f t="shared" si="758"/>
        <v>0</v>
      </c>
      <c r="CO123" s="9">
        <f t="shared" si="758"/>
        <v>0</v>
      </c>
      <c r="CP123" s="9">
        <f t="shared" si="758"/>
        <v>0</v>
      </c>
      <c r="CQ123" s="9">
        <f t="shared" ref="CQ123:DG123" si="759">+CP123</f>
        <v>0</v>
      </c>
      <c r="CR123" s="9">
        <f t="shared" si="759"/>
        <v>0</v>
      </c>
      <c r="CS123" s="9">
        <f t="shared" si="759"/>
        <v>0</v>
      </c>
      <c r="CT123" s="9">
        <f t="shared" si="759"/>
        <v>0</v>
      </c>
      <c r="CU123" s="172">
        <f t="shared" si="759"/>
        <v>0</v>
      </c>
      <c r="CV123" s="9">
        <f t="shared" si="759"/>
        <v>0</v>
      </c>
      <c r="CW123" s="9">
        <f t="shared" si="759"/>
        <v>0</v>
      </c>
      <c r="CX123" s="9">
        <f t="shared" si="759"/>
        <v>0</v>
      </c>
      <c r="CY123" s="9">
        <f t="shared" si="759"/>
        <v>0</v>
      </c>
      <c r="CZ123" s="9">
        <f t="shared" si="759"/>
        <v>0</v>
      </c>
      <c r="DA123" s="9">
        <f t="shared" si="759"/>
        <v>0</v>
      </c>
      <c r="DB123" s="9">
        <f t="shared" si="759"/>
        <v>0</v>
      </c>
      <c r="DC123" s="9">
        <f t="shared" si="759"/>
        <v>0</v>
      </c>
      <c r="DD123" s="9">
        <f t="shared" si="759"/>
        <v>0</v>
      </c>
      <c r="DE123" s="9">
        <f t="shared" si="759"/>
        <v>0</v>
      </c>
      <c r="DF123" s="9">
        <f t="shared" si="759"/>
        <v>0</v>
      </c>
      <c r="DG123" s="9">
        <f t="shared" si="759"/>
        <v>0</v>
      </c>
    </row>
    <row r="124" spans="1:111" s="37" customFormat="1" x14ac:dyDescent="0.3">
      <c r="B124" s="37" t="s">
        <v>268</v>
      </c>
      <c r="E124" s="37">
        <f t="shared" ref="E124:O124" si="760">SUM(E122:E123)</f>
        <v>0</v>
      </c>
      <c r="F124" s="37">
        <f t="shared" si="760"/>
        <v>0</v>
      </c>
      <c r="G124" s="37">
        <f t="shared" si="760"/>
        <v>0</v>
      </c>
      <c r="H124" s="37">
        <f t="shared" si="760"/>
        <v>0</v>
      </c>
      <c r="I124" s="37">
        <f t="shared" si="760"/>
        <v>0</v>
      </c>
      <c r="J124" s="37">
        <f t="shared" si="760"/>
        <v>0</v>
      </c>
      <c r="K124" s="37">
        <f t="shared" si="760"/>
        <v>0</v>
      </c>
      <c r="L124" s="37">
        <f t="shared" si="760"/>
        <v>0</v>
      </c>
      <c r="M124" s="37">
        <f t="shared" si="760"/>
        <v>0</v>
      </c>
      <c r="N124" s="37">
        <f t="shared" si="760"/>
        <v>0</v>
      </c>
      <c r="O124" s="37">
        <f t="shared" si="760"/>
        <v>0</v>
      </c>
      <c r="P124" s="37">
        <f>SUM(P121:P123)</f>
        <v>32.49</v>
      </c>
      <c r="Q124" s="37">
        <f t="shared" ref="Q124:CB124" si="761">SUM(Q121:Q123)</f>
        <v>30.05</v>
      </c>
      <c r="R124" s="37">
        <f t="shared" si="761"/>
        <v>140.63999999999999</v>
      </c>
      <c r="S124" s="37">
        <f t="shared" si="761"/>
        <v>73</v>
      </c>
      <c r="T124" s="37">
        <f t="shared" si="761"/>
        <v>1796.97</v>
      </c>
      <c r="U124" s="37">
        <f t="shared" si="761"/>
        <v>2060.5500000000002</v>
      </c>
      <c r="V124" s="37">
        <f t="shared" si="761"/>
        <v>2984.17</v>
      </c>
      <c r="W124" s="37">
        <f t="shared" si="761"/>
        <v>4074.71</v>
      </c>
      <c r="X124" s="37">
        <f t="shared" si="761"/>
        <v>5453.39</v>
      </c>
      <c r="Y124" s="37">
        <f t="shared" si="761"/>
        <v>8623.59</v>
      </c>
      <c r="Z124" s="37">
        <f t="shared" si="761"/>
        <v>3898.59</v>
      </c>
      <c r="AA124" s="37">
        <f t="shared" si="761"/>
        <v>218.32999999999998</v>
      </c>
      <c r="AB124" s="37">
        <f t="shared" si="761"/>
        <v>1522.3</v>
      </c>
      <c r="AC124" s="37">
        <f t="shared" si="761"/>
        <v>799.57</v>
      </c>
      <c r="AD124" s="37">
        <f t="shared" si="761"/>
        <v>897.46</v>
      </c>
      <c r="AE124" s="37">
        <f t="shared" si="761"/>
        <v>187.25</v>
      </c>
      <c r="AF124" s="37">
        <f t="shared" ref="AF124:AG124" si="762">SUM(AF121:AF123)</f>
        <v>1527.48</v>
      </c>
      <c r="AG124" s="37">
        <f t="shared" si="762"/>
        <v>191.15</v>
      </c>
      <c r="AH124" s="37">
        <f t="shared" ref="AH124:AI124" si="763">SUM(AH121:AH123)</f>
        <v>989.52</v>
      </c>
      <c r="AI124" s="37">
        <f t="shared" si="763"/>
        <v>2516.06</v>
      </c>
      <c r="AJ124" s="164">
        <f t="shared" ref="AJ124" si="764">SUM(AJ121:AJ123)</f>
        <v>4562.2800000000007</v>
      </c>
      <c r="AK124" s="37">
        <f t="shared" ref="AK124" si="765">SUM(AK121:AK123)</f>
        <v>1359.9773931844397</v>
      </c>
      <c r="AL124" s="37">
        <f t="shared" si="761"/>
        <v>1359.9773931844397</v>
      </c>
      <c r="AM124" s="164">
        <f t="shared" si="761"/>
        <v>1359.9773931844397</v>
      </c>
      <c r="AN124" s="37">
        <f t="shared" si="761"/>
        <v>10689.39615486983</v>
      </c>
      <c r="AO124" s="37">
        <f t="shared" si="761"/>
        <v>10802.495950159857</v>
      </c>
      <c r="AP124" s="37">
        <f t="shared" si="761"/>
        <v>10656.537411322464</v>
      </c>
      <c r="AQ124" s="37">
        <f t="shared" si="761"/>
        <v>11609.44097419603</v>
      </c>
      <c r="AR124" s="37">
        <f t="shared" si="761"/>
        <v>10656.537411322464</v>
      </c>
      <c r="AS124" s="37">
        <f t="shared" si="761"/>
        <v>10656.537411322464</v>
      </c>
      <c r="AT124" s="37">
        <f t="shared" si="761"/>
        <v>10824.774178284972</v>
      </c>
      <c r="AU124" s="37">
        <f t="shared" si="761"/>
        <v>10669.680908741411</v>
      </c>
      <c r="AV124" s="37">
        <f t="shared" si="761"/>
        <v>10656.537411322464</v>
      </c>
      <c r="AW124" s="37">
        <f t="shared" si="761"/>
        <v>10656.537411322464</v>
      </c>
      <c r="AX124" s="37">
        <f t="shared" si="761"/>
        <v>10656.537411322464</v>
      </c>
      <c r="AY124" s="164">
        <f t="shared" si="761"/>
        <v>10656.537411322464</v>
      </c>
      <c r="AZ124" s="37">
        <f t="shared" si="761"/>
        <v>11872.500955641792</v>
      </c>
      <c r="BA124" s="37">
        <f t="shared" si="761"/>
        <v>11985.600750931817</v>
      </c>
      <c r="BB124" s="37">
        <f t="shared" si="761"/>
        <v>11839.642212094426</v>
      </c>
      <c r="BC124" s="37">
        <f t="shared" si="761"/>
        <v>12792.545774967988</v>
      </c>
      <c r="BD124" s="37">
        <f t="shared" si="761"/>
        <v>11839.642212094426</v>
      </c>
      <c r="BE124" s="37">
        <f t="shared" si="761"/>
        <v>11839.642212094426</v>
      </c>
      <c r="BF124" s="37">
        <f t="shared" si="761"/>
        <v>12007.878979056932</v>
      </c>
      <c r="BG124" s="37">
        <f t="shared" si="761"/>
        <v>11852.785709513373</v>
      </c>
      <c r="BH124" s="37">
        <f t="shared" si="761"/>
        <v>11839.642212094426</v>
      </c>
      <c r="BI124" s="37">
        <f t="shared" si="761"/>
        <v>11839.642212094426</v>
      </c>
      <c r="BJ124" s="37">
        <f t="shared" si="761"/>
        <v>11839.642212094426</v>
      </c>
      <c r="BK124" s="164">
        <f t="shared" si="761"/>
        <v>11839.642212094426</v>
      </c>
      <c r="BL124" s="37">
        <f t="shared" si="761"/>
        <v>13774.81714109216</v>
      </c>
      <c r="BM124" s="37">
        <f t="shared" si="761"/>
        <v>13887.916936382187</v>
      </c>
      <c r="BN124" s="37">
        <f t="shared" si="761"/>
        <v>13741.958397544797</v>
      </c>
      <c r="BO124" s="37">
        <f t="shared" si="761"/>
        <v>14694.861960418359</v>
      </c>
      <c r="BP124" s="37">
        <f t="shared" si="761"/>
        <v>13741.958397544797</v>
      </c>
      <c r="BQ124" s="37">
        <f t="shared" si="761"/>
        <v>13741.958397544797</v>
      </c>
      <c r="BR124" s="37">
        <f t="shared" si="761"/>
        <v>13910.195164507302</v>
      </c>
      <c r="BS124" s="37">
        <f t="shared" si="761"/>
        <v>13755.10189496374</v>
      </c>
      <c r="BT124" s="37">
        <f t="shared" si="761"/>
        <v>13741.958397544797</v>
      </c>
      <c r="BU124" s="37">
        <f t="shared" si="761"/>
        <v>13741.958397544797</v>
      </c>
      <c r="BV124" s="37">
        <f t="shared" si="761"/>
        <v>13741.958397544797</v>
      </c>
      <c r="BW124" s="164">
        <f t="shared" si="761"/>
        <v>13741.958397544797</v>
      </c>
      <c r="BX124" s="37">
        <f t="shared" si="761"/>
        <v>17081.337310062772</v>
      </c>
      <c r="BY124" s="37">
        <f t="shared" si="761"/>
        <v>17194.437105352801</v>
      </c>
      <c r="BZ124" s="37">
        <f t="shared" si="761"/>
        <v>17048.478566515409</v>
      </c>
      <c r="CA124" s="37">
        <f t="shared" si="761"/>
        <v>18001.38212938897</v>
      </c>
      <c r="CB124" s="37">
        <f t="shared" si="761"/>
        <v>17048.478566515409</v>
      </c>
      <c r="CC124" s="37">
        <f t="shared" ref="CC124:DG124" si="766">SUM(CC121:CC123)</f>
        <v>17048.478566515409</v>
      </c>
      <c r="CD124" s="37">
        <f t="shared" si="766"/>
        <v>17216.715333477914</v>
      </c>
      <c r="CE124" s="37">
        <f t="shared" si="766"/>
        <v>17061.622063934352</v>
      </c>
      <c r="CF124" s="37">
        <f t="shared" si="766"/>
        <v>17048.478566515409</v>
      </c>
      <c r="CG124" s="37">
        <f t="shared" si="766"/>
        <v>17048.478566515409</v>
      </c>
      <c r="CH124" s="37">
        <f t="shared" si="766"/>
        <v>17048.478566515409</v>
      </c>
      <c r="CI124" s="164">
        <f t="shared" si="766"/>
        <v>17048.478566515409</v>
      </c>
      <c r="CJ124" s="37">
        <f t="shared" si="766"/>
        <v>20012.987366719459</v>
      </c>
      <c r="CK124" s="37">
        <f t="shared" si="766"/>
        <v>20126.087162009484</v>
      </c>
      <c r="CL124" s="37">
        <f t="shared" si="766"/>
        <v>19980.128623172091</v>
      </c>
      <c r="CM124" s="37">
        <f t="shared" si="766"/>
        <v>20933.032186045657</v>
      </c>
      <c r="CN124" s="37">
        <f t="shared" si="766"/>
        <v>19980.128623172091</v>
      </c>
      <c r="CO124" s="37">
        <f t="shared" si="766"/>
        <v>19980.128623172091</v>
      </c>
      <c r="CP124" s="37">
        <f t="shared" si="766"/>
        <v>20148.365390134601</v>
      </c>
      <c r="CQ124" s="37">
        <f t="shared" si="766"/>
        <v>19993.272120591038</v>
      </c>
      <c r="CR124" s="37">
        <f t="shared" si="766"/>
        <v>19980.128623172091</v>
      </c>
      <c r="CS124" s="37">
        <f t="shared" si="766"/>
        <v>19980.128623172091</v>
      </c>
      <c r="CT124" s="37">
        <f t="shared" si="766"/>
        <v>19980.128623172091</v>
      </c>
      <c r="CU124" s="164">
        <f t="shared" si="766"/>
        <v>19980.128623172091</v>
      </c>
      <c r="CV124" s="37">
        <f t="shared" si="766"/>
        <v>25284.83691128717</v>
      </c>
      <c r="CW124" s="37">
        <f t="shared" si="766"/>
        <v>25397.936706577198</v>
      </c>
      <c r="CX124" s="37">
        <f t="shared" si="766"/>
        <v>25251.978167739802</v>
      </c>
      <c r="CY124" s="37">
        <f t="shared" si="766"/>
        <v>26204.881730613371</v>
      </c>
      <c r="CZ124" s="37">
        <f t="shared" si="766"/>
        <v>25251.978167739802</v>
      </c>
      <c r="DA124" s="37">
        <f t="shared" si="766"/>
        <v>25251.978167739802</v>
      </c>
      <c r="DB124" s="37">
        <f t="shared" si="766"/>
        <v>25420.214934702308</v>
      </c>
      <c r="DC124" s="37">
        <f t="shared" si="766"/>
        <v>25265.121665158749</v>
      </c>
      <c r="DD124" s="37">
        <f t="shared" si="766"/>
        <v>25251.978167739802</v>
      </c>
      <c r="DE124" s="37">
        <f t="shared" si="766"/>
        <v>25251.978167739802</v>
      </c>
      <c r="DF124" s="37">
        <f t="shared" si="766"/>
        <v>25251.978167739802</v>
      </c>
      <c r="DG124" s="37">
        <f t="shared" si="766"/>
        <v>25251.978167739802</v>
      </c>
    </row>
    <row r="125" spans="1:111" x14ac:dyDescent="0.3">
      <c r="A125" s="45"/>
      <c r="B125" s="42"/>
      <c r="C125" s="43" t="s">
        <v>465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99">
        <f t="shared" ref="P125:T125" si="767">IFERROR((AVERAGE(K124:P124)/AVERAGE(K76:P76))*30.433, 0)</f>
        <v>0.13639404498334332</v>
      </c>
      <c r="Q125" s="499">
        <f t="shared" si="767"/>
        <v>0.25365125747481521</v>
      </c>
      <c r="R125" s="499">
        <f t="shared" si="767"/>
        <v>0.86495192066931414</v>
      </c>
      <c r="S125" s="499">
        <f t="shared" si="767"/>
        <v>1.1229856289665308</v>
      </c>
      <c r="T125" s="499">
        <f t="shared" si="767"/>
        <v>6.7678110388001373</v>
      </c>
      <c r="U125" s="499">
        <f>IFERROR((AVERAGE(P124:U124)/AVERAGE(P76:U76))*30.433, 0)</f>
        <v>18.32528639976227</v>
      </c>
      <c r="V125" s="499">
        <f t="shared" ref="V125:AJ125" si="768">IFERROR((AVERAGE(Q124:V124)/AVERAGE(Q76:V76))*30.433, 0)</f>
        <v>32.913278537237616</v>
      </c>
      <c r="W125" s="499">
        <f t="shared" si="768"/>
        <v>44.736366908451188</v>
      </c>
      <c r="X125" s="499">
        <f t="shared" si="768"/>
        <v>60.613523369478308</v>
      </c>
      <c r="Y125" s="499">
        <f t="shared" si="768"/>
        <v>91.786035528278276</v>
      </c>
      <c r="Z125" s="499">
        <f t="shared" si="768"/>
        <v>90.576096114238624</v>
      </c>
      <c r="AA125" s="499">
        <f t="shared" si="768"/>
        <v>70.286338495166504</v>
      </c>
      <c r="AB125" s="499">
        <f t="shared" si="768"/>
        <v>64.505701403032376</v>
      </c>
      <c r="AC125" s="499">
        <f t="shared" si="768"/>
        <v>38.399296193997621</v>
      </c>
      <c r="AD125" s="499">
        <f t="shared" si="768"/>
        <v>31.008113004290781</v>
      </c>
      <c r="AE125" s="499">
        <f t="shared" si="768"/>
        <v>11.717087808557634</v>
      </c>
      <c r="AF125" s="499">
        <f t="shared" si="768"/>
        <v>7.1393531834003765</v>
      </c>
      <c r="AG125" s="499">
        <f t="shared" si="768"/>
        <v>6.1176777230978949</v>
      </c>
      <c r="AH125" s="499">
        <f t="shared" si="768"/>
        <v>5.2031606641929331</v>
      </c>
      <c r="AI125" s="499">
        <f t="shared" si="768"/>
        <v>7.6554220248817995</v>
      </c>
      <c r="AJ125" s="500">
        <f t="shared" si="768"/>
        <v>11.817490656759935</v>
      </c>
      <c r="AK125" s="541">
        <v>10</v>
      </c>
      <c r="AL125" s="499">
        <f t="shared" ref="AL125" si="769">AK125</f>
        <v>10</v>
      </c>
      <c r="AM125" s="500">
        <f t="shared" ref="AM125" si="770">AL125</f>
        <v>10</v>
      </c>
      <c r="AN125" s="499">
        <f t="shared" ref="AN125" si="771">AM125</f>
        <v>10</v>
      </c>
      <c r="AO125" s="499">
        <f t="shared" ref="AO125" si="772">AN125</f>
        <v>10</v>
      </c>
      <c r="AP125" s="499">
        <f t="shared" ref="AP125" si="773">AO125</f>
        <v>10</v>
      </c>
      <c r="AQ125" s="499">
        <f t="shared" ref="AQ125" si="774">AP125</f>
        <v>10</v>
      </c>
      <c r="AR125" s="499">
        <f t="shared" ref="AR125" si="775">AQ125</f>
        <v>10</v>
      </c>
      <c r="AS125" s="499">
        <f t="shared" ref="AS125" si="776">AR125</f>
        <v>10</v>
      </c>
      <c r="AT125" s="499">
        <f t="shared" ref="AT125" si="777">AS125</f>
        <v>10</v>
      </c>
      <c r="AU125" s="499">
        <f t="shared" ref="AU125" si="778">AT125</f>
        <v>10</v>
      </c>
      <c r="AV125" s="499">
        <f t="shared" ref="AV125" si="779">AU125</f>
        <v>10</v>
      </c>
      <c r="AW125" s="499">
        <f t="shared" ref="AW125" si="780">AV125</f>
        <v>10</v>
      </c>
      <c r="AX125" s="499">
        <f t="shared" ref="AX125" si="781">AW125</f>
        <v>10</v>
      </c>
      <c r="AY125" s="500">
        <f t="shared" ref="AY125" si="782">AX125</f>
        <v>10</v>
      </c>
      <c r="AZ125" s="499">
        <f t="shared" ref="AZ125" si="783">AY125</f>
        <v>10</v>
      </c>
      <c r="BA125" s="499">
        <f t="shared" ref="BA125" si="784">AZ125</f>
        <v>10</v>
      </c>
      <c r="BB125" s="499">
        <f t="shared" ref="BB125" si="785">BA125</f>
        <v>10</v>
      </c>
      <c r="BC125" s="499">
        <f t="shared" ref="BC125" si="786">BB125</f>
        <v>10</v>
      </c>
      <c r="BD125" s="499">
        <f t="shared" ref="BD125" si="787">BC125</f>
        <v>10</v>
      </c>
      <c r="BE125" s="499">
        <f t="shared" ref="BE125" si="788">BD125</f>
        <v>10</v>
      </c>
      <c r="BF125" s="499">
        <f t="shared" ref="BF125" si="789">BE125</f>
        <v>10</v>
      </c>
      <c r="BG125" s="499">
        <f t="shared" ref="BG125" si="790">BF125</f>
        <v>10</v>
      </c>
      <c r="BH125" s="499">
        <f t="shared" ref="BH125" si="791">BG125</f>
        <v>10</v>
      </c>
      <c r="BI125" s="499">
        <f t="shared" ref="BI125" si="792">BH125</f>
        <v>10</v>
      </c>
      <c r="BJ125" s="499">
        <f t="shared" ref="BJ125" si="793">BI125</f>
        <v>10</v>
      </c>
      <c r="BK125" s="500">
        <f t="shared" ref="BK125" si="794">BJ125</f>
        <v>10</v>
      </c>
      <c r="BL125" s="499">
        <f t="shared" ref="BL125" si="795">BK125</f>
        <v>10</v>
      </c>
      <c r="BM125" s="499">
        <f t="shared" ref="BM125" si="796">BL125</f>
        <v>10</v>
      </c>
      <c r="BN125" s="499">
        <f t="shared" ref="BN125" si="797">BM125</f>
        <v>10</v>
      </c>
      <c r="BO125" s="499">
        <f t="shared" ref="BO125" si="798">BN125</f>
        <v>10</v>
      </c>
      <c r="BP125" s="499">
        <f t="shared" ref="BP125" si="799">BO125</f>
        <v>10</v>
      </c>
      <c r="BQ125" s="499">
        <f t="shared" ref="BQ125" si="800">BP125</f>
        <v>10</v>
      </c>
      <c r="BR125" s="499">
        <f t="shared" ref="BR125" si="801">BQ125</f>
        <v>10</v>
      </c>
      <c r="BS125" s="499">
        <f t="shared" ref="BS125" si="802">BR125</f>
        <v>10</v>
      </c>
      <c r="BT125" s="499">
        <f t="shared" ref="BT125" si="803">BS125</f>
        <v>10</v>
      </c>
      <c r="BU125" s="499">
        <f t="shared" ref="BU125" si="804">BT125</f>
        <v>10</v>
      </c>
      <c r="BV125" s="499">
        <f t="shared" ref="BV125" si="805">BU125</f>
        <v>10</v>
      </c>
      <c r="BW125" s="500">
        <f t="shared" ref="BW125" si="806">BV125</f>
        <v>10</v>
      </c>
      <c r="BX125" s="499">
        <f t="shared" ref="BX125" si="807">BW125</f>
        <v>10</v>
      </c>
      <c r="BY125" s="499">
        <f t="shared" ref="BY125" si="808">BX125</f>
        <v>10</v>
      </c>
      <c r="BZ125" s="499">
        <f t="shared" ref="BZ125" si="809">BY125</f>
        <v>10</v>
      </c>
      <c r="CA125" s="499">
        <f t="shared" ref="CA125" si="810">BZ125</f>
        <v>10</v>
      </c>
      <c r="CB125" s="499">
        <f t="shared" ref="CB125" si="811">CA125</f>
        <v>10</v>
      </c>
      <c r="CC125" s="499">
        <f t="shared" ref="CC125" si="812">CB125</f>
        <v>10</v>
      </c>
      <c r="CD125" s="499">
        <f t="shared" ref="CD125" si="813">CC125</f>
        <v>10</v>
      </c>
      <c r="CE125" s="499">
        <f t="shared" ref="CE125" si="814">CD125</f>
        <v>10</v>
      </c>
      <c r="CF125" s="499">
        <f t="shared" ref="CF125" si="815">CE125</f>
        <v>10</v>
      </c>
      <c r="CG125" s="499">
        <f t="shared" ref="CG125" si="816">CF125</f>
        <v>10</v>
      </c>
      <c r="CH125" s="499">
        <f t="shared" ref="CH125" si="817">CG125</f>
        <v>10</v>
      </c>
      <c r="CI125" s="500">
        <f t="shared" ref="CI125" si="818">CH125</f>
        <v>10</v>
      </c>
      <c r="CJ125" s="499">
        <f t="shared" ref="CJ125" si="819">CI125</f>
        <v>10</v>
      </c>
      <c r="CK125" s="499">
        <f t="shared" ref="CK125" si="820">CJ125</f>
        <v>10</v>
      </c>
      <c r="CL125" s="499">
        <f t="shared" ref="CL125" si="821">CK125</f>
        <v>10</v>
      </c>
      <c r="CM125" s="499">
        <f t="shared" ref="CM125" si="822">CL125</f>
        <v>10</v>
      </c>
      <c r="CN125" s="499">
        <f t="shared" ref="CN125" si="823">CM125</f>
        <v>10</v>
      </c>
      <c r="CO125" s="499">
        <f t="shared" ref="CO125" si="824">CN125</f>
        <v>10</v>
      </c>
      <c r="CP125" s="499">
        <f t="shared" ref="CP125" si="825">CO125</f>
        <v>10</v>
      </c>
      <c r="CQ125" s="499">
        <f t="shared" ref="CQ125" si="826">CP125</f>
        <v>10</v>
      </c>
      <c r="CR125" s="499">
        <f t="shared" ref="CR125" si="827">CQ125</f>
        <v>10</v>
      </c>
      <c r="CS125" s="499">
        <f t="shared" ref="CS125" si="828">CR125</f>
        <v>10</v>
      </c>
      <c r="CT125" s="499">
        <f t="shared" ref="CT125" si="829">CS125</f>
        <v>10</v>
      </c>
      <c r="CU125" s="500">
        <f t="shared" ref="CU125" si="830">CT125</f>
        <v>10</v>
      </c>
      <c r="CV125" s="499">
        <f t="shared" ref="CV125" si="831">CU125</f>
        <v>10</v>
      </c>
      <c r="CW125" s="499">
        <f t="shared" ref="CW125" si="832">CV125</f>
        <v>10</v>
      </c>
      <c r="CX125" s="499">
        <f t="shared" ref="CX125" si="833">CW125</f>
        <v>10</v>
      </c>
      <c r="CY125" s="499">
        <f t="shared" ref="CY125" si="834">CX125</f>
        <v>10</v>
      </c>
      <c r="CZ125" s="499">
        <f t="shared" ref="CZ125" si="835">CY125</f>
        <v>10</v>
      </c>
      <c r="DA125" s="499">
        <f t="shared" ref="DA125" si="836">CZ125</f>
        <v>10</v>
      </c>
      <c r="DB125" s="499">
        <f t="shared" ref="DB125" si="837">DA125</f>
        <v>10</v>
      </c>
      <c r="DC125" s="499">
        <f t="shared" ref="DC125" si="838">DB125</f>
        <v>10</v>
      </c>
      <c r="DD125" s="499">
        <f t="shared" ref="DD125" si="839">DC125</f>
        <v>10</v>
      </c>
      <c r="DE125" s="499">
        <f t="shared" ref="DE125" si="840">DD125</f>
        <v>10</v>
      </c>
      <c r="DF125" s="499">
        <f t="shared" ref="DF125" si="841">DE125</f>
        <v>10</v>
      </c>
      <c r="DG125" s="499">
        <f t="shared" ref="DG125" si="842">DF125</f>
        <v>10</v>
      </c>
    </row>
    <row r="126" spans="1:111" s="39" customFormat="1" x14ac:dyDescent="0.3">
      <c r="AJ126" s="165"/>
      <c r="AM126" s="165"/>
      <c r="AY126" s="165"/>
      <c r="BK126" s="165"/>
      <c r="BW126" s="165"/>
      <c r="CI126" s="165"/>
      <c r="CU126" s="165"/>
    </row>
    <row r="127" spans="1:111" s="15" customFormat="1" x14ac:dyDescent="0.3">
      <c r="A127"/>
      <c r="B127" s="1" t="s">
        <v>269</v>
      </c>
      <c r="C127" s="1"/>
      <c r="D127" s="2"/>
      <c r="E127" s="2"/>
      <c r="F127" s="2"/>
      <c r="G127" s="2"/>
      <c r="H127" s="2"/>
      <c r="I127" s="2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163"/>
      <c r="AK127" s="206"/>
      <c r="AL127" s="9"/>
      <c r="AM127" s="172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72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172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172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172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172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</row>
    <row r="128" spans="1:111" s="15" customFormat="1" x14ac:dyDescent="0.3">
      <c r="A128"/>
      <c r="B128" s="1" t="s">
        <v>477</v>
      </c>
      <c r="C128" s="1"/>
      <c r="D128" s="2"/>
      <c r="E128" s="2"/>
      <c r="F128" s="2"/>
      <c r="G128" s="2"/>
      <c r="H128" s="2"/>
      <c r="I128" s="2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>
        <v>0</v>
      </c>
      <c r="AD128" s="91">
        <v>0</v>
      </c>
      <c r="AE128" s="91">
        <v>14766</v>
      </c>
      <c r="AF128" s="91">
        <v>25694.639999999999</v>
      </c>
      <c r="AG128" s="91">
        <v>14766</v>
      </c>
      <c r="AH128" s="91">
        <v>16266</v>
      </c>
      <c r="AI128" s="91">
        <v>0</v>
      </c>
      <c r="AJ128" s="163">
        <v>0</v>
      </c>
      <c r="AK128" s="206">
        <f>+AJ128-AK11+'Contractor Revenue Build'!O39</f>
        <v>56300</v>
      </c>
      <c r="AL128" s="9">
        <f>+AK128-AL11+'Contractor Revenue Build'!P39</f>
        <v>74500</v>
      </c>
      <c r="AM128" s="172">
        <f>+AL128-AM11+'Contractor Revenue Build'!Q39</f>
        <v>72600</v>
      </c>
      <c r="AN128" s="9">
        <f>+AM128-AN11+'Contractor Revenue Build'!R39</f>
        <v>72300</v>
      </c>
      <c r="AO128" s="9">
        <f>+AN128-AO11+'Contractor Revenue Build'!S39</f>
        <v>78300</v>
      </c>
      <c r="AP128" s="9">
        <f>+AO128-AP11+'Contractor Revenue Build'!T39</f>
        <v>72600</v>
      </c>
      <c r="AQ128" s="9">
        <f>+AP128-AQ11+'Contractor Revenue Build'!U39</f>
        <v>72300</v>
      </c>
      <c r="AR128" s="9">
        <f>+AQ128-AR11+'Contractor Revenue Build'!V39</f>
        <v>78300</v>
      </c>
      <c r="AS128" s="9">
        <f>+AR128-AS11+'Contractor Revenue Build'!W39</f>
        <v>72600</v>
      </c>
      <c r="AT128" s="9">
        <f>+AS128-AT11+'Contractor Revenue Build'!X39</f>
        <v>72300</v>
      </c>
      <c r="AU128" s="9">
        <f>+AT128-AU11+'Contractor Revenue Build'!Y39</f>
        <v>78300</v>
      </c>
      <c r="AV128" s="9">
        <f>+AU128-AV11+'Contractor Revenue Build'!Z39</f>
        <v>72600</v>
      </c>
      <c r="AW128" s="9">
        <f>+AV128-AW11+'Contractor Revenue Build'!AA39</f>
        <v>72300</v>
      </c>
      <c r="AX128" s="9">
        <f>+AW128-AX11+'Contractor Revenue Build'!AB39</f>
        <v>78300</v>
      </c>
      <c r="AY128" s="172">
        <f>+AX128-AY11+'Contractor Revenue Build'!AC39</f>
        <v>72600</v>
      </c>
      <c r="AZ128" s="9">
        <f>+AY128-AZ11+'Contractor Revenue Build'!AD39</f>
        <v>72300</v>
      </c>
      <c r="BA128" s="9">
        <f>+AZ128-BA11+'Contractor Revenue Build'!AE39</f>
        <v>78300</v>
      </c>
      <c r="BB128" s="9">
        <f>+BA128-BB11+'Contractor Revenue Build'!AF39</f>
        <v>72600</v>
      </c>
      <c r="BC128" s="9">
        <f>+BB128-BC11+'Contractor Revenue Build'!AG39</f>
        <v>72300</v>
      </c>
      <c r="BD128" s="9">
        <f>+BC128-BD11+'Contractor Revenue Build'!AH39</f>
        <v>78300</v>
      </c>
      <c r="BE128" s="9">
        <f>+BD128-BE11+'Contractor Revenue Build'!AI39</f>
        <v>72600</v>
      </c>
      <c r="BF128" s="9">
        <f>+BE128-BF11+'Contractor Revenue Build'!AJ39</f>
        <v>72200</v>
      </c>
      <c r="BG128" s="9">
        <f>+BF128-BG11+'Contractor Revenue Build'!AK39</f>
        <v>80200</v>
      </c>
      <c r="BH128" s="9">
        <f>+BG128-BH11+'Contractor Revenue Build'!AL39</f>
        <v>72600</v>
      </c>
      <c r="BI128" s="9">
        <f>+BH128-BI11+'Contractor Revenue Build'!AM39</f>
        <v>72200</v>
      </c>
      <c r="BJ128" s="9">
        <f>+BI128-BJ11+'Contractor Revenue Build'!AN39</f>
        <v>80200</v>
      </c>
      <c r="BK128" s="172">
        <f>+BJ128-BK11+'Contractor Revenue Build'!AO39</f>
        <v>72600</v>
      </c>
      <c r="BL128" s="9">
        <f>+BK128-BL11+'Contractor Revenue Build'!AP39</f>
        <v>72100</v>
      </c>
      <c r="BM128" s="9">
        <f>+BL128-BM11+'Contractor Revenue Build'!AQ39</f>
        <v>82100</v>
      </c>
      <c r="BN128" s="9">
        <f>+BM128-BN11+'Contractor Revenue Build'!AR39</f>
        <v>72600</v>
      </c>
      <c r="BO128" s="9">
        <f>+BN128-BO11+'Contractor Revenue Build'!AS39</f>
        <v>72100</v>
      </c>
      <c r="BP128" s="9">
        <f>+BO128-BP11+'Contractor Revenue Build'!AT39</f>
        <v>82100</v>
      </c>
      <c r="BQ128" s="9">
        <f>+BP128-BQ11+'Contractor Revenue Build'!AU39</f>
        <v>72600</v>
      </c>
      <c r="BR128" s="9">
        <f>+BQ128-BR11+'Contractor Revenue Build'!AV39</f>
        <v>72100</v>
      </c>
      <c r="BS128" s="9">
        <f>+BR128-BS11+'Contractor Revenue Build'!AW39</f>
        <v>82100</v>
      </c>
      <c r="BT128" s="9">
        <f>+BS128-BT11+'Contractor Revenue Build'!AX39</f>
        <v>72600</v>
      </c>
      <c r="BU128" s="9">
        <f>+BT128-BU11+'Contractor Revenue Build'!AY39</f>
        <v>72100</v>
      </c>
      <c r="BV128" s="9">
        <f>+BU128-BV11+'Contractor Revenue Build'!AZ39</f>
        <v>82100</v>
      </c>
      <c r="BW128" s="172">
        <f>+BV128-BW11+'Contractor Revenue Build'!BA39</f>
        <v>72600</v>
      </c>
      <c r="BX128" s="9">
        <f>+BW128-BX11+'Contractor Revenue Build'!BB39</f>
        <v>72000</v>
      </c>
      <c r="BY128" s="9">
        <f>+BX128-BY11+'Contractor Revenue Build'!BC39</f>
        <v>84000</v>
      </c>
      <c r="BZ128" s="9">
        <f>+BY128-BZ11+'Contractor Revenue Build'!BD39</f>
        <v>72600</v>
      </c>
      <c r="CA128" s="9">
        <f>+BZ128-CA11+'Contractor Revenue Build'!BE39</f>
        <v>72000</v>
      </c>
      <c r="CB128" s="9">
        <f>+CA128-CB11+'Contractor Revenue Build'!BF39</f>
        <v>84000</v>
      </c>
      <c r="CC128" s="9">
        <f>+CB128-CC11+'Contractor Revenue Build'!BG39</f>
        <v>72600</v>
      </c>
      <c r="CD128" s="9">
        <f>+CC128-CD11+'Contractor Revenue Build'!BH39</f>
        <v>72000</v>
      </c>
      <c r="CE128" s="9">
        <f>+CD128-CE11+'Contractor Revenue Build'!BI39</f>
        <v>84000</v>
      </c>
      <c r="CF128" s="9">
        <f>+CE128-CF11+'Contractor Revenue Build'!BJ39</f>
        <v>72600</v>
      </c>
      <c r="CG128" s="9">
        <f>+CF128-CG11+'Contractor Revenue Build'!BK39</f>
        <v>72000</v>
      </c>
      <c r="CH128" s="9">
        <f>+CG128-CH11+'Contractor Revenue Build'!BL39</f>
        <v>84000</v>
      </c>
      <c r="CI128" s="172">
        <f>+CH128-CI11+'Contractor Revenue Build'!BM39</f>
        <v>72600</v>
      </c>
      <c r="CJ128" s="9">
        <f>+CI128-CJ11+'Contractor Revenue Build'!BN39</f>
        <v>71900</v>
      </c>
      <c r="CK128" s="9">
        <f>+CJ128-CK11+'Contractor Revenue Build'!BO39</f>
        <v>85900</v>
      </c>
      <c r="CL128" s="9">
        <f>+CK128-CL11+'Contractor Revenue Build'!BP39</f>
        <v>72600</v>
      </c>
      <c r="CM128" s="9">
        <f>+CL128-CM11+'Contractor Revenue Build'!BQ39</f>
        <v>71900</v>
      </c>
      <c r="CN128" s="9">
        <f>+CM128-CN11+'Contractor Revenue Build'!BR39</f>
        <v>85900</v>
      </c>
      <c r="CO128" s="9">
        <f>+CN128-CO11+'Contractor Revenue Build'!BS39</f>
        <v>72600</v>
      </c>
      <c r="CP128" s="9">
        <f>+CO128-CP11+'Contractor Revenue Build'!BT39</f>
        <v>71800</v>
      </c>
      <c r="CQ128" s="9">
        <f>+CP128-CQ11+'Contractor Revenue Build'!BU39</f>
        <v>87800</v>
      </c>
      <c r="CR128" s="9">
        <f>+CQ128-CR11+'Contractor Revenue Build'!BV39</f>
        <v>72600</v>
      </c>
      <c r="CS128" s="9">
        <f>+CR128-CS11+'Contractor Revenue Build'!BW39</f>
        <v>71800</v>
      </c>
      <c r="CT128" s="9">
        <f>+CS128-CT11+'Contractor Revenue Build'!BX39</f>
        <v>87800</v>
      </c>
      <c r="CU128" s="172">
        <f>+CT128-CU11+'Contractor Revenue Build'!BY39</f>
        <v>72600</v>
      </c>
      <c r="CV128" s="9">
        <f>+CU128-CV11+'Contractor Revenue Build'!BZ39</f>
        <v>71800</v>
      </c>
      <c r="CW128" s="9">
        <f>+CV128-CW11+'Contractor Revenue Build'!CA39</f>
        <v>87800</v>
      </c>
      <c r="CX128" s="9">
        <f>+CW128-CX11+'Contractor Revenue Build'!CB39</f>
        <v>72600</v>
      </c>
      <c r="CY128" s="9">
        <f>+CX128-CY11+'Contractor Revenue Build'!CC39</f>
        <v>71800</v>
      </c>
      <c r="CZ128" s="9">
        <f>+CY128-CZ11+'Contractor Revenue Build'!CD39</f>
        <v>87800</v>
      </c>
      <c r="DA128" s="9">
        <f>+CZ128-DA11+'Contractor Revenue Build'!CE39</f>
        <v>72600</v>
      </c>
      <c r="DB128" s="9">
        <f>+DA128-DB11+'Contractor Revenue Build'!CF39</f>
        <v>71700</v>
      </c>
      <c r="DC128" s="9">
        <f>+DB128-DC11+'Contractor Revenue Build'!CG39</f>
        <v>89700</v>
      </c>
      <c r="DD128" s="9">
        <f>+DC128-DD11+'Contractor Revenue Build'!CH39</f>
        <v>72600</v>
      </c>
      <c r="DE128" s="9">
        <f>+DD128-DE11+'Contractor Revenue Build'!CI39</f>
        <v>71700</v>
      </c>
      <c r="DF128" s="9">
        <f>+DE128-DF11+'Contractor Revenue Build'!CJ39</f>
        <v>89700</v>
      </c>
      <c r="DG128" s="9">
        <f>+DF128-DG11+'Contractor Revenue Build'!CK39</f>
        <v>72600</v>
      </c>
    </row>
    <row r="129" spans="1:111" s="15" customFormat="1" x14ac:dyDescent="0.3">
      <c r="A129"/>
      <c r="B129" s="1" t="s">
        <v>478</v>
      </c>
      <c r="C129" s="1"/>
      <c r="D129" s="2"/>
      <c r="E129" s="2"/>
      <c r="F129" s="2"/>
      <c r="G129" s="2"/>
      <c r="H129" s="2"/>
      <c r="I129" s="2"/>
      <c r="J129" s="91"/>
      <c r="K129" s="91"/>
      <c r="L129" s="91"/>
      <c r="M129" s="91"/>
      <c r="N129" s="91"/>
      <c r="O129" s="91"/>
      <c r="P129" s="91"/>
      <c r="Q129" s="91">
        <v>0</v>
      </c>
      <c r="R129" s="91">
        <v>0</v>
      </c>
      <c r="S129" s="91">
        <v>0</v>
      </c>
      <c r="T129" s="91">
        <v>0</v>
      </c>
      <c r="U129" s="91">
        <v>0</v>
      </c>
      <c r="V129" s="91">
        <v>0</v>
      </c>
      <c r="W129" s="91">
        <v>0</v>
      </c>
      <c r="X129" s="91">
        <v>0</v>
      </c>
      <c r="Y129" s="91">
        <v>0</v>
      </c>
      <c r="Z129" s="91">
        <v>0</v>
      </c>
      <c r="AA129" s="91">
        <v>0</v>
      </c>
      <c r="AB129" s="91">
        <v>0</v>
      </c>
      <c r="AC129" s="91">
        <v>0</v>
      </c>
      <c r="AD129" s="91">
        <v>0</v>
      </c>
      <c r="AE129" s="91">
        <v>0</v>
      </c>
      <c r="AF129" s="91">
        <v>0</v>
      </c>
      <c r="AG129" s="91">
        <v>0</v>
      </c>
      <c r="AH129" s="91">
        <v>0</v>
      </c>
      <c r="AI129" s="91">
        <v>0</v>
      </c>
      <c r="AJ129" s="163">
        <v>0</v>
      </c>
      <c r="AK129" s="206">
        <f>+AJ129+'Home Builder Revenue Build'!Z71-'Home Builder Revenue Build'!Z72</f>
        <v>0</v>
      </c>
      <c r="AL129" s="9">
        <f>+AK129+'Home Builder Revenue Build'!AA71-'Home Builder Revenue Build'!AA72</f>
        <v>0</v>
      </c>
      <c r="AM129" s="172">
        <f>+AL129+'Home Builder Revenue Build'!AB71-'Home Builder Revenue Build'!AB72</f>
        <v>90000</v>
      </c>
      <c r="AN129" s="9">
        <f>+AM129+'Home Builder Revenue Build'!AC71-'Home Builder Revenue Build'!AC72</f>
        <v>84575.724146679568</v>
      </c>
      <c r="AO129" s="9">
        <f>+AN129+'Home Builder Revenue Build'!AD71-'Home Builder Revenue Build'!AD72</f>
        <v>83799.915416628442</v>
      </c>
      <c r="AP129" s="9">
        <f>+AO129+'Home Builder Revenue Build'!AE71-'Home Builder Revenue Build'!AE72</f>
        <v>51648.214692774425</v>
      </c>
      <c r="AQ129" s="9">
        <f>+AP129+'Home Builder Revenue Build'!AF71-'Home Builder Revenue Build'!AF72</f>
        <v>228745.92381153873</v>
      </c>
      <c r="AR129" s="9">
        <f>+AQ129+'Home Builder Revenue Build'!AG71-'Home Builder Revenue Build'!AG72</f>
        <v>322449.52294680465</v>
      </c>
      <c r="AS129" s="9">
        <f>+AR129+'Home Builder Revenue Build'!AH71-'Home Builder Revenue Build'!AH72</f>
        <v>371990.59962458943</v>
      </c>
      <c r="AT129" s="9">
        <f>+AS129+'Home Builder Revenue Build'!AI71-'Home Builder Revenue Build'!AI72</f>
        <v>204293.83846108493</v>
      </c>
      <c r="AU129" s="9">
        <f>+AT129+'Home Builder Revenue Build'!AJ71-'Home Builder Revenue Build'!AJ72</f>
        <v>233307.54292542255</v>
      </c>
      <c r="AV129" s="9">
        <f>+AU129+'Home Builder Revenue Build'!AK71-'Home Builder Revenue Build'!AK72</f>
        <v>157802.79899870657</v>
      </c>
      <c r="AW129" s="9">
        <f>+AV129+'Home Builder Revenue Build'!AL71-'Home Builder Revenue Build'!AL72</f>
        <v>420113.05948952417</v>
      </c>
      <c r="AX129" s="9">
        <f>+AW129+'Home Builder Revenue Build'!AM71-'Home Builder Revenue Build'!AM72</f>
        <v>537415.8715780077</v>
      </c>
      <c r="AY129" s="172">
        <f>+AX129+'Home Builder Revenue Build'!AN71-'Home Builder Revenue Build'!AN72</f>
        <v>369984.33270764904</v>
      </c>
      <c r="AZ129" s="9">
        <f>+AY129+'Home Builder Revenue Build'!AO71-'Home Builder Revenue Build'!AO72</f>
        <v>105557.16369436495</v>
      </c>
      <c r="BA129" s="9">
        <f>+AZ129+'Home Builder Revenue Build'!AP71-'Home Builder Revenue Build'!AP72</f>
        <v>156068.3620517363</v>
      </c>
      <c r="BB129" s="9">
        <f>+BA129+'Home Builder Revenue Build'!AQ71-'Home Builder Revenue Build'!AQ72</f>
        <v>119537.40196235973</v>
      </c>
      <c r="BC129" s="9">
        <f>+BB129+'Home Builder Revenue Build'!AR71-'Home Builder Revenue Build'!AR72</f>
        <v>64783.088561599492</v>
      </c>
      <c r="BD129" s="9">
        <f>+BC129+'Home Builder Revenue Build'!AS71-'Home Builder Revenue Build'!AS72</f>
        <v>214999.99999999994</v>
      </c>
      <c r="BE129" s="9">
        <f>+BD129+'Home Builder Revenue Build'!AT71-'Home Builder Revenue Build'!AT72</f>
        <v>202042.00768373447</v>
      </c>
      <c r="BF129" s="9">
        <f>+BE129+'Home Builder Revenue Build'!AU71-'Home Builder Revenue Build'!AU72</f>
        <v>200188.68682861232</v>
      </c>
      <c r="BG129" s="9">
        <f>+BF129+'Home Builder Revenue Build'!AV71-'Home Builder Revenue Build'!AV72</f>
        <v>123381.84621051661</v>
      </c>
      <c r="BH129" s="9">
        <f>+BG129+'Home Builder Revenue Build'!AW71-'Home Builder Revenue Build'!AW72</f>
        <v>546448.59577200911</v>
      </c>
      <c r="BI129" s="9">
        <f>+BH129+'Home Builder Revenue Build'!AX71-'Home Builder Revenue Build'!AX72</f>
        <v>770296.0825951444</v>
      </c>
      <c r="BJ129" s="9">
        <f>+BI129+'Home Builder Revenue Build'!AY71-'Home Builder Revenue Build'!AY72</f>
        <v>530310.87688096368</v>
      </c>
      <c r="BK129" s="172">
        <f>+BJ129+'Home Builder Revenue Build'!AZ71-'Home Builder Revenue Build'!AZ72</f>
        <v>151298.60129525652</v>
      </c>
      <c r="BL129" s="9">
        <f>+BK129+'Home Builder Revenue Build'!BA71-'Home Builder Revenue Build'!BA72</f>
        <v>223697.98560748878</v>
      </c>
      <c r="BM129" s="9">
        <f>+BL129+'Home Builder Revenue Build'!BB71-'Home Builder Revenue Build'!BB72</f>
        <v>171336.94281271569</v>
      </c>
      <c r="BN129" s="9">
        <f>+BM129+'Home Builder Revenue Build'!BC71-'Home Builder Revenue Build'!BC72</f>
        <v>92855.760271626001</v>
      </c>
      <c r="BO129" s="9">
        <f>+BN129+'Home Builder Revenue Build'!BD71-'Home Builder Revenue Build'!BD72</f>
        <v>0</v>
      </c>
      <c r="BP129" s="9">
        <f>+BO129+'Home Builder Revenue Build'!BE71-'Home Builder Revenue Build'!BE72</f>
        <v>295000</v>
      </c>
      <c r="BQ129" s="9">
        <f>+BP129+'Home Builder Revenue Build'!BF71-'Home Builder Revenue Build'!BF72</f>
        <v>277220.42914744973</v>
      </c>
      <c r="BR129" s="9">
        <f>+BQ129+'Home Builder Revenue Build'!BG71-'Home Builder Revenue Build'!BG72</f>
        <v>274677.50053228217</v>
      </c>
      <c r="BS129" s="9">
        <f>+BR129+'Home Builder Revenue Build'!BH71-'Home Builder Revenue Build'!BH72</f>
        <v>169291.37038187176</v>
      </c>
      <c r="BT129" s="9">
        <f>+BS129+'Home Builder Revenue Build'!BI71-'Home Builder Revenue Build'!BI72</f>
        <v>749778.30582671019</v>
      </c>
      <c r="BU129" s="9">
        <f>+BT129+'Home Builder Revenue Build'!BJ71-'Home Builder Revenue Build'!BJ72</f>
        <v>1056917.8807700817</v>
      </c>
      <c r="BV129" s="9">
        <f>+BU129+'Home Builder Revenue Build'!BK71-'Home Builder Revenue Build'!BK72</f>
        <v>727635.85432504292</v>
      </c>
      <c r="BW129" s="172">
        <f>+BV129+'Home Builder Revenue Build'!BL71-'Home Builder Revenue Build'!BL72</f>
        <v>207595.75526558422</v>
      </c>
      <c r="BX129" s="9">
        <f>+BW129+'Home Builder Revenue Build'!BM71-'Home Builder Revenue Build'!BM72</f>
        <v>306934.44536841451</v>
      </c>
      <c r="BY129" s="9">
        <f>+BX129+'Home Builder Revenue Build'!BN71-'Home Builder Revenue Build'!BN72</f>
        <v>235090.22385930724</v>
      </c>
      <c r="BZ129" s="9">
        <f>+BY129+'Home Builder Revenue Build'!BO71-'Home Builder Revenue Build'!BO72</f>
        <v>127406.74083781207</v>
      </c>
      <c r="CA129" s="9">
        <f>+BZ129+'Home Builder Revenue Build'!BP71-'Home Builder Revenue Build'!BP72</f>
        <v>-3.3469405025243759E-10</v>
      </c>
      <c r="CB129" s="9">
        <f>+CA129+'Home Builder Revenue Build'!BQ71-'Home Builder Revenue Build'!BQ72</f>
        <v>339999.99999999965</v>
      </c>
      <c r="CC129" s="9">
        <f>+CB129+'Home Builder Revenue Build'!BR71-'Home Builder Revenue Build'!BR72</f>
        <v>319508.29122078913</v>
      </c>
      <c r="CD129" s="9">
        <f>+CC129+'Home Builder Revenue Build'!BS71-'Home Builder Revenue Build'!BS72</f>
        <v>316577.458240596</v>
      </c>
      <c r="CE129" s="9">
        <f>+CD129+'Home Builder Revenue Build'!BT71-'Home Builder Revenue Build'!BT72</f>
        <v>195115.47772825859</v>
      </c>
      <c r="CF129" s="9">
        <f>+CE129+'Home Builder Revenue Build'!BU71-'Home Builder Revenue Build'!BU72</f>
        <v>864151.26773247926</v>
      </c>
      <c r="CG129" s="9">
        <f>+CF129+'Home Builder Revenue Build'!BV71-'Home Builder Revenue Build'!BV72</f>
        <v>1218142.6422434838</v>
      </c>
      <c r="CH129" s="9">
        <f>+CG129+'Home Builder Revenue Build'!BW71-'Home Builder Revenue Build'!BW72</f>
        <v>838631.15413733746</v>
      </c>
      <c r="CI129" s="172">
        <f>+CH129+'Home Builder Revenue Build'!BX71-'Home Builder Revenue Build'!BX72</f>
        <v>239262.90437389351</v>
      </c>
      <c r="CJ129" s="9">
        <f>+CI129+'Home Builder Revenue Build'!BY71-'Home Builder Revenue Build'!BY72</f>
        <v>353754.95398393524</v>
      </c>
      <c r="CK129" s="9">
        <f>+CJ129+'Home Builder Revenue Build'!BZ71-'Home Builder Revenue Build'!BZ72</f>
        <v>270951.44444801501</v>
      </c>
      <c r="CL129" s="9">
        <f>+CK129+'Home Builder Revenue Build'!CA71-'Home Builder Revenue Build'!CA72</f>
        <v>146841.6674062917</v>
      </c>
      <c r="CM129" s="9">
        <f>+CL129+'Home Builder Revenue Build'!CB71-'Home Builder Revenue Build'!CB72</f>
        <v>-5.8207660913467407E-10</v>
      </c>
      <c r="CN129" s="9">
        <f>+CM129+'Home Builder Revenue Build'!CC71-'Home Builder Revenue Build'!CC72</f>
        <v>449999.99999999942</v>
      </c>
      <c r="CO129" s="9">
        <f>+CN129+'Home Builder Revenue Build'!CD71-'Home Builder Revenue Build'!CD72</f>
        <v>422878.62073339726</v>
      </c>
      <c r="CP129" s="9">
        <f>+CO129+'Home Builder Revenue Build'!CE71-'Home Builder Revenue Build'!CE72</f>
        <v>418999.5770831416</v>
      </c>
      <c r="CQ129" s="9">
        <f>+CP129+'Home Builder Revenue Build'!CF71-'Home Builder Revenue Build'!CF72</f>
        <v>258241.07346387149</v>
      </c>
      <c r="CR129" s="9">
        <f>+CQ129+'Home Builder Revenue Build'!CG71-'Home Builder Revenue Build'!CG72</f>
        <v>1143729.6190576931</v>
      </c>
      <c r="CS129" s="9">
        <f>+CR129+'Home Builder Revenue Build'!CH71-'Home Builder Revenue Build'!CH72</f>
        <v>1612247.6147340229</v>
      </c>
      <c r="CT129" s="9">
        <f>+CS129+'Home Builder Revenue Build'!CI71-'Home Builder Revenue Build'!CI72</f>
        <v>1109952.9981229468</v>
      </c>
      <c r="CU129" s="172">
        <f>+CT129+'Home Builder Revenue Build'!CJ71-'Home Builder Revenue Build'!CJ72</f>
        <v>316671.49108309462</v>
      </c>
      <c r="CV129" s="9">
        <f>+CU129+'Home Builder Revenue Build'!CK71-'Home Builder Revenue Build'!CK72</f>
        <v>958205.08615520864</v>
      </c>
      <c r="CW129" s="9">
        <f>+CV129+'Home Builder Revenue Build'!CL71-'Home Builder Revenue Build'!CL72</f>
        <v>819080.03735233436</v>
      </c>
      <c r="CX129" s="9">
        <f>+CW129+'Home Builder Revenue Build'!CM71-'Home Builder Revenue Build'!CM72</f>
        <v>650593.2496197751</v>
      </c>
      <c r="CY129" s="9">
        <f>+CX129+'Home Builder Revenue Build'!CN71-'Home Builder Revenue Build'!CN72</f>
        <v>281195.83554954908</v>
      </c>
      <c r="CZ129" s="9">
        <f>+CY129+'Home Builder Revenue Build'!CO71-'Home Builder Revenue Build'!CO72</f>
        <v>1245394.4740850437</v>
      </c>
      <c r="DA129" s="9">
        <f>+CZ129+'Home Builder Revenue Build'!CP71-'Home Builder Revenue Build'!CP72</f>
        <v>1755558.5138214915</v>
      </c>
      <c r="DB129" s="9">
        <f>+DA129+'Home Builder Revenue Build'!CQ71-'Home Builder Revenue Build'!CQ72</f>
        <v>1208615.4868449864</v>
      </c>
      <c r="DC129" s="9">
        <f>+DB129+'Home Builder Revenue Build'!CR71-'Home Builder Revenue Build'!CR72</f>
        <v>344820.06806825846</v>
      </c>
      <c r="DD129" s="9">
        <f>+DC129+'Home Builder Revenue Build'!CS71-'Home Builder Revenue Build'!CS72</f>
        <v>509823.31603567151</v>
      </c>
      <c r="DE129" s="9">
        <f>+DD129+'Home Builder Revenue Build'!CT71-'Home Builder Revenue Build'!CT72</f>
        <v>390488.84641037468</v>
      </c>
      <c r="DF129" s="9">
        <f>+DE129+'Home Builder Revenue Build'!CU71-'Home Builder Revenue Build'!CU72</f>
        <v>211624.75596789119</v>
      </c>
      <c r="DG129" s="9">
        <f>+DF129+'Home Builder Revenue Build'!CV71-'Home Builder Revenue Build'!CV72</f>
        <v>-6.1118043959140778E-10</v>
      </c>
    </row>
    <row r="130" spans="1:111" s="15" customFormat="1" x14ac:dyDescent="0.3">
      <c r="A130"/>
      <c r="B130" s="1" t="s">
        <v>334</v>
      </c>
      <c r="C130" s="1"/>
      <c r="D130" s="2"/>
      <c r="E130" s="2"/>
      <c r="F130" s="2"/>
      <c r="G130" s="2"/>
      <c r="H130" s="2"/>
      <c r="I130" s="2"/>
      <c r="J130" s="91"/>
      <c r="K130" s="91"/>
      <c r="L130" s="91"/>
      <c r="M130" s="91"/>
      <c r="N130" s="91"/>
      <c r="O130" s="91"/>
      <c r="P130" s="91"/>
      <c r="Q130" s="91">
        <v>0</v>
      </c>
      <c r="R130" s="91">
        <v>0</v>
      </c>
      <c r="S130" s="91">
        <v>0</v>
      </c>
      <c r="T130" s="91">
        <v>75000</v>
      </c>
      <c r="U130" s="91">
        <v>75000</v>
      </c>
      <c r="V130" s="91">
        <v>75000</v>
      </c>
      <c r="W130" s="91">
        <v>75000</v>
      </c>
      <c r="X130" s="91">
        <v>75000</v>
      </c>
      <c r="Y130" s="91">
        <v>75000</v>
      </c>
      <c r="Z130" s="91">
        <v>75000</v>
      </c>
      <c r="AA130" s="91">
        <v>75000</v>
      </c>
      <c r="AB130" s="91">
        <v>75000</v>
      </c>
      <c r="AC130" s="91">
        <v>75000</v>
      </c>
      <c r="AD130" s="91">
        <v>75000</v>
      </c>
      <c r="AE130" s="91">
        <v>75000</v>
      </c>
      <c r="AF130" s="91">
        <v>0</v>
      </c>
      <c r="AG130" s="91">
        <v>0</v>
      </c>
      <c r="AH130" s="91">
        <v>0</v>
      </c>
      <c r="AI130" s="91">
        <v>0</v>
      </c>
      <c r="AJ130" s="163">
        <v>0</v>
      </c>
      <c r="AK130" s="206">
        <v>0</v>
      </c>
      <c r="AL130" s="9"/>
      <c r="AM130" s="172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72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172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172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172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172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</row>
    <row r="131" spans="1:111" s="15" customFormat="1" hidden="1" x14ac:dyDescent="0.3">
      <c r="A131"/>
      <c r="B131" s="1" t="s">
        <v>335</v>
      </c>
      <c r="C131" s="1"/>
      <c r="D131" s="2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91">
        <v>0</v>
      </c>
      <c r="K131" s="91">
        <v>0</v>
      </c>
      <c r="L131" s="91">
        <v>0</v>
      </c>
      <c r="M131" s="91">
        <v>0</v>
      </c>
      <c r="N131" s="91">
        <v>0</v>
      </c>
      <c r="O131" s="91">
        <v>0</v>
      </c>
      <c r="P131" s="91">
        <v>0</v>
      </c>
      <c r="Q131" s="91">
        <v>0</v>
      </c>
      <c r="R131" s="91">
        <v>0</v>
      </c>
      <c r="S131" s="91">
        <v>0</v>
      </c>
      <c r="T131" s="91">
        <v>0</v>
      </c>
      <c r="U131" s="91">
        <v>0</v>
      </c>
      <c r="V131" s="91">
        <v>0</v>
      </c>
      <c r="W131" s="91">
        <v>0</v>
      </c>
      <c r="X131" s="91">
        <v>0</v>
      </c>
      <c r="Y131" s="91">
        <v>0</v>
      </c>
      <c r="Z131" s="91">
        <v>0</v>
      </c>
      <c r="AA131" s="91">
        <v>0</v>
      </c>
      <c r="AB131" s="91">
        <v>0</v>
      </c>
      <c r="AC131" s="91">
        <v>0</v>
      </c>
      <c r="AD131" s="91">
        <v>0</v>
      </c>
      <c r="AE131" s="91">
        <v>0</v>
      </c>
      <c r="AF131" s="91">
        <v>0</v>
      </c>
      <c r="AG131" s="91">
        <v>0</v>
      </c>
      <c r="AH131" s="91">
        <v>0</v>
      </c>
      <c r="AI131" s="91">
        <v>0</v>
      </c>
      <c r="AJ131" s="163">
        <v>0</v>
      </c>
      <c r="AK131" s="206">
        <v>0</v>
      </c>
      <c r="AL131" s="9">
        <v>0</v>
      </c>
      <c r="AM131" s="172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172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172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172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172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172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</row>
    <row r="132" spans="1:111" s="15" customFormat="1" hidden="1" x14ac:dyDescent="0.3">
      <c r="A132"/>
      <c r="B132" s="1" t="s">
        <v>349</v>
      </c>
      <c r="C132" s="1"/>
      <c r="D132" s="2"/>
      <c r="E132" s="2"/>
      <c r="F132" s="2"/>
      <c r="G132" s="2"/>
      <c r="H132" s="2"/>
      <c r="I132" s="2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163"/>
      <c r="AK132" s="206">
        <v>0</v>
      </c>
      <c r="AL132" s="9">
        <v>0</v>
      </c>
      <c r="AM132" s="172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172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172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172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172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172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</row>
    <row r="133" spans="1:111" s="15" customFormat="1" hidden="1" x14ac:dyDescent="0.3">
      <c r="A133"/>
      <c r="B133" s="1" t="s">
        <v>350</v>
      </c>
      <c r="C133" s="1"/>
      <c r="D133" s="2"/>
      <c r="E133" s="2"/>
      <c r="F133" s="2"/>
      <c r="G133" s="2"/>
      <c r="H133" s="2"/>
      <c r="I133" s="2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163"/>
      <c r="AK133" s="206"/>
      <c r="AL133" s="9">
        <v>0</v>
      </c>
      <c r="AM133" s="172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/>
      <c r="AT133" s="9"/>
      <c r="AU133" s="9"/>
      <c r="AV133" s="9"/>
      <c r="AW133" s="9"/>
      <c r="AX133" s="9"/>
      <c r="AY133" s="172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172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172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172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172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</row>
    <row r="134" spans="1:111" s="37" customFormat="1" x14ac:dyDescent="0.3">
      <c r="B134" s="37" t="s">
        <v>490</v>
      </c>
      <c r="P134" s="37">
        <v>0</v>
      </c>
      <c r="Q134" s="37">
        <v>0</v>
      </c>
      <c r="R134" s="37">
        <v>0</v>
      </c>
      <c r="S134" s="37">
        <v>0</v>
      </c>
      <c r="T134" s="37">
        <f t="shared" ref="T134:AA134" si="843">SUM(T129:T131)</f>
        <v>75000</v>
      </c>
      <c r="U134" s="37">
        <f t="shared" si="843"/>
        <v>75000</v>
      </c>
      <c r="V134" s="37">
        <f t="shared" si="843"/>
        <v>75000</v>
      </c>
      <c r="W134" s="37">
        <f t="shared" si="843"/>
        <v>75000</v>
      </c>
      <c r="X134" s="37">
        <f t="shared" si="843"/>
        <v>75000</v>
      </c>
      <c r="Y134" s="37">
        <f t="shared" si="843"/>
        <v>75000</v>
      </c>
      <c r="Z134" s="37">
        <f t="shared" si="843"/>
        <v>75000</v>
      </c>
      <c r="AA134" s="37">
        <f t="shared" si="843"/>
        <v>75000</v>
      </c>
      <c r="AB134" s="37">
        <f>SUM(AB128:AB133)</f>
        <v>75000</v>
      </c>
      <c r="AC134" s="37">
        <f t="shared" ref="AC134:AF134" si="844">SUM(AC128:AC133)</f>
        <v>75000</v>
      </c>
      <c r="AD134" s="37">
        <f t="shared" si="844"/>
        <v>75000</v>
      </c>
      <c r="AE134" s="37">
        <f t="shared" si="844"/>
        <v>89766</v>
      </c>
      <c r="AF134" s="37">
        <f t="shared" si="844"/>
        <v>25694.639999999999</v>
      </c>
      <c r="AG134" s="37">
        <f t="shared" ref="AG134:AH134" si="845">SUM(AG128:AG133)</f>
        <v>14766</v>
      </c>
      <c r="AH134" s="37">
        <f t="shared" si="845"/>
        <v>16266</v>
      </c>
      <c r="AI134" s="37">
        <f t="shared" ref="AI134:AJ134" si="846">SUM(AI128:AI133)</f>
        <v>0</v>
      </c>
      <c r="AJ134" s="164">
        <f t="shared" si="846"/>
        <v>0</v>
      </c>
      <c r="AK134" s="37">
        <f>SUM(AK128:AK133)</f>
        <v>56300</v>
      </c>
      <c r="AL134" s="37">
        <f t="shared" ref="AL134:CV134" si="847">SUM(AL128:AL133)</f>
        <v>74500</v>
      </c>
      <c r="AM134" s="164">
        <f t="shared" si="847"/>
        <v>162600</v>
      </c>
      <c r="AN134" s="37">
        <f t="shared" si="847"/>
        <v>156875.72414667957</v>
      </c>
      <c r="AO134" s="37">
        <f t="shared" si="847"/>
        <v>162099.91541662844</v>
      </c>
      <c r="AP134" s="37">
        <f t="shared" si="847"/>
        <v>124248.21469277443</v>
      </c>
      <c r="AQ134" s="37">
        <f t="shared" si="847"/>
        <v>301045.92381153873</v>
      </c>
      <c r="AR134" s="37">
        <f t="shared" si="847"/>
        <v>400749.52294680465</v>
      </c>
      <c r="AS134" s="37">
        <f t="shared" si="847"/>
        <v>444590.59962458943</v>
      </c>
      <c r="AT134" s="37">
        <f t="shared" si="847"/>
        <v>276593.83846108493</v>
      </c>
      <c r="AU134" s="37">
        <f t="shared" si="847"/>
        <v>311607.54292542255</v>
      </c>
      <c r="AV134" s="37">
        <f t="shared" si="847"/>
        <v>230402.79899870657</v>
      </c>
      <c r="AW134" s="37">
        <f t="shared" si="847"/>
        <v>492413.05948952417</v>
      </c>
      <c r="AX134" s="37">
        <f t="shared" si="847"/>
        <v>615715.8715780077</v>
      </c>
      <c r="AY134" s="164">
        <f t="shared" si="847"/>
        <v>442584.33270764904</v>
      </c>
      <c r="AZ134" s="37">
        <f t="shared" si="847"/>
        <v>177857.16369436495</v>
      </c>
      <c r="BA134" s="37">
        <f t="shared" si="847"/>
        <v>234368.3620517363</v>
      </c>
      <c r="BB134" s="37">
        <f t="shared" si="847"/>
        <v>192137.40196235973</v>
      </c>
      <c r="BC134" s="37">
        <f t="shared" si="847"/>
        <v>137083.08856159949</v>
      </c>
      <c r="BD134" s="37">
        <f t="shared" si="847"/>
        <v>293299.99999999994</v>
      </c>
      <c r="BE134" s="37">
        <f t="shared" si="847"/>
        <v>274642.00768373447</v>
      </c>
      <c r="BF134" s="37">
        <f t="shared" si="847"/>
        <v>272388.68682861235</v>
      </c>
      <c r="BG134" s="37">
        <f t="shared" si="847"/>
        <v>203581.84621051661</v>
      </c>
      <c r="BH134" s="37">
        <f t="shared" si="847"/>
        <v>619048.59577200911</v>
      </c>
      <c r="BI134" s="37">
        <f t="shared" si="847"/>
        <v>842496.0825951444</v>
      </c>
      <c r="BJ134" s="37">
        <f t="shared" si="847"/>
        <v>610510.87688096368</v>
      </c>
      <c r="BK134" s="164">
        <f t="shared" si="847"/>
        <v>223898.60129525652</v>
      </c>
      <c r="BL134" s="37">
        <f t="shared" si="847"/>
        <v>295797.98560748878</v>
      </c>
      <c r="BM134" s="37">
        <f t="shared" si="847"/>
        <v>253436.94281271569</v>
      </c>
      <c r="BN134" s="37">
        <f t="shared" si="847"/>
        <v>165455.760271626</v>
      </c>
      <c r="BO134" s="37">
        <f t="shared" si="847"/>
        <v>72100</v>
      </c>
      <c r="BP134" s="37">
        <f t="shared" si="847"/>
        <v>377100</v>
      </c>
      <c r="BQ134" s="37">
        <f t="shared" si="847"/>
        <v>349820.42914744973</v>
      </c>
      <c r="BR134" s="37">
        <f t="shared" si="847"/>
        <v>346777.50053228217</v>
      </c>
      <c r="BS134" s="37">
        <f t="shared" si="847"/>
        <v>251391.37038187176</v>
      </c>
      <c r="BT134" s="37">
        <f t="shared" si="847"/>
        <v>822378.30582671019</v>
      </c>
      <c r="BU134" s="37">
        <f t="shared" si="847"/>
        <v>1129017.8807700817</v>
      </c>
      <c r="BV134" s="37">
        <f t="shared" si="847"/>
        <v>809735.85432504292</v>
      </c>
      <c r="BW134" s="164">
        <f t="shared" si="847"/>
        <v>280195.75526558422</v>
      </c>
      <c r="BX134" s="37">
        <f t="shared" si="847"/>
        <v>378934.44536841451</v>
      </c>
      <c r="BY134" s="37">
        <f t="shared" si="847"/>
        <v>319090.22385930724</v>
      </c>
      <c r="BZ134" s="37">
        <f t="shared" si="847"/>
        <v>200006.74083781207</v>
      </c>
      <c r="CA134" s="37">
        <f t="shared" si="847"/>
        <v>71999.999999999665</v>
      </c>
      <c r="CB134" s="37">
        <f t="shared" si="847"/>
        <v>423999.99999999965</v>
      </c>
      <c r="CC134" s="37">
        <f t="shared" si="847"/>
        <v>392108.29122078913</v>
      </c>
      <c r="CD134" s="37">
        <f t="shared" si="847"/>
        <v>388577.458240596</v>
      </c>
      <c r="CE134" s="37">
        <f t="shared" si="847"/>
        <v>279115.47772825859</v>
      </c>
      <c r="CF134" s="37">
        <f t="shared" si="847"/>
        <v>936751.26773247926</v>
      </c>
      <c r="CG134" s="37">
        <f t="shared" si="847"/>
        <v>1290142.6422434838</v>
      </c>
      <c r="CH134" s="37">
        <f t="shared" si="847"/>
        <v>922631.15413733746</v>
      </c>
      <c r="CI134" s="164">
        <f t="shared" si="847"/>
        <v>311862.90437389351</v>
      </c>
      <c r="CJ134" s="37">
        <f t="shared" si="847"/>
        <v>425654.95398393524</v>
      </c>
      <c r="CK134" s="37">
        <f t="shared" si="847"/>
        <v>356851.44444801501</v>
      </c>
      <c r="CL134" s="37">
        <f t="shared" si="847"/>
        <v>219441.6674062917</v>
      </c>
      <c r="CM134" s="37">
        <f t="shared" si="847"/>
        <v>71899.999999999418</v>
      </c>
      <c r="CN134" s="37">
        <f t="shared" si="847"/>
        <v>535899.99999999942</v>
      </c>
      <c r="CO134" s="37">
        <f t="shared" si="847"/>
        <v>495478.62073339726</v>
      </c>
      <c r="CP134" s="37">
        <f t="shared" si="847"/>
        <v>490799.5770831416</v>
      </c>
      <c r="CQ134" s="37">
        <f t="shared" si="847"/>
        <v>346041.07346387149</v>
      </c>
      <c r="CR134" s="37">
        <f t="shared" si="847"/>
        <v>1216329.6190576931</v>
      </c>
      <c r="CS134" s="37">
        <f t="shared" si="847"/>
        <v>1684047.6147340229</v>
      </c>
      <c r="CT134" s="37">
        <f t="shared" si="847"/>
        <v>1197752.9981229468</v>
      </c>
      <c r="CU134" s="164">
        <f t="shared" si="847"/>
        <v>389271.49108309462</v>
      </c>
      <c r="CV134" s="37">
        <f t="shared" si="847"/>
        <v>1030005.0861552086</v>
      </c>
      <c r="CW134" s="37">
        <f t="shared" ref="CW134:DG134" si="848">SUM(CW128:CW133)</f>
        <v>906880.03735233436</v>
      </c>
      <c r="CX134" s="37">
        <f t="shared" si="848"/>
        <v>723193.2496197751</v>
      </c>
      <c r="CY134" s="37">
        <f t="shared" si="848"/>
        <v>352995.83554954908</v>
      </c>
      <c r="CZ134" s="37">
        <f t="shared" si="848"/>
        <v>1333194.4740850437</v>
      </c>
      <c r="DA134" s="37">
        <f t="shared" si="848"/>
        <v>1828158.5138214915</v>
      </c>
      <c r="DB134" s="37">
        <f t="shared" si="848"/>
        <v>1280315.4868449864</v>
      </c>
      <c r="DC134" s="37">
        <f t="shared" si="848"/>
        <v>434520.06806825846</v>
      </c>
      <c r="DD134" s="37">
        <f t="shared" si="848"/>
        <v>582423.31603567151</v>
      </c>
      <c r="DE134" s="37">
        <f t="shared" si="848"/>
        <v>462188.84641037468</v>
      </c>
      <c r="DF134" s="37">
        <f t="shared" si="848"/>
        <v>301324.75596789119</v>
      </c>
      <c r="DG134" s="37">
        <f t="shared" si="848"/>
        <v>72599.999999999389</v>
      </c>
    </row>
    <row r="135" spans="1:111" s="286" customFormat="1" x14ac:dyDescent="0.3">
      <c r="B135" s="286" t="s">
        <v>295</v>
      </c>
      <c r="T135" s="286">
        <v>75000</v>
      </c>
      <c r="Y135" s="286">
        <v>150000</v>
      </c>
      <c r="Z135" s="286">
        <v>187500</v>
      </c>
      <c r="AA135" s="286">
        <v>112500</v>
      </c>
      <c r="AB135" s="286">
        <v>0</v>
      </c>
      <c r="AC135" s="286">
        <v>112500</v>
      </c>
      <c r="AD135" s="286">
        <v>112500</v>
      </c>
      <c r="AE135" s="286">
        <v>14766</v>
      </c>
      <c r="AF135" s="286">
        <f>5464.32+1995</f>
        <v>7459.32</v>
      </c>
      <c r="AG135" s="286">
        <v>10928.64</v>
      </c>
      <c r="AH135" s="286">
        <v>700</v>
      </c>
      <c r="AI135" s="286">
        <f>29366+700+1065</f>
        <v>31131</v>
      </c>
      <c r="AJ135" s="287">
        <f>19632.99+3200+26177.31</f>
        <v>49010.3</v>
      </c>
      <c r="AK135" s="367">
        <f>+'Home Builder Revenue Build'!Z71+'Contractor Revenue Build'!O39</f>
        <v>115381.11</v>
      </c>
      <c r="AL135" s="367">
        <f>+'Home Builder Revenue Build'!AA71+'Contractor Revenue Build'!P39</f>
        <v>40916.666666666664</v>
      </c>
      <c r="AM135" s="385">
        <f>+'Home Builder Revenue Build'!AB71+'Contractor Revenue Build'!Q39</f>
        <v>98100</v>
      </c>
      <c r="AN135" s="367">
        <f>+'Home Builder Revenue Build'!AC71+'Contractor Revenue Build'!R39</f>
        <v>29700</v>
      </c>
      <c r="AO135" s="367">
        <f>+'Home Builder Revenue Build'!AD71+'Contractor Revenue Build'!S39</f>
        <v>36000</v>
      </c>
      <c r="AP135" s="367">
        <f>+'Home Builder Revenue Build'!AE71+'Contractor Revenue Build'!T39</f>
        <v>24300</v>
      </c>
      <c r="AQ135" s="367">
        <f>+'Home Builder Revenue Build'!AF71+'Contractor Revenue Build'!U39</f>
        <v>209700</v>
      </c>
      <c r="AR135" s="367">
        <f>+'Home Builder Revenue Build'!AG71+'Contractor Revenue Build'!V39</f>
        <v>261000</v>
      </c>
      <c r="AS135" s="367">
        <f>+'Home Builder Revenue Build'!AH71+'Contractor Revenue Build'!W39</f>
        <v>309300</v>
      </c>
      <c r="AT135" s="367">
        <f>+'Home Builder Revenue Build'!AI71+'Contractor Revenue Build'!X39</f>
        <v>29700</v>
      </c>
      <c r="AU135" s="367">
        <f>+'Home Builder Revenue Build'!AJ71+'Contractor Revenue Build'!Y39</f>
        <v>171000</v>
      </c>
      <c r="AV135" s="367">
        <f>+'Home Builder Revenue Build'!AK71+'Contractor Revenue Build'!Z39</f>
        <v>24300</v>
      </c>
      <c r="AW135" s="367">
        <f>+'Home Builder Revenue Build'!AL71+'Contractor Revenue Build'!AA39</f>
        <v>464700</v>
      </c>
      <c r="AX135" s="367">
        <f>+'Home Builder Revenue Build'!AM71+'Contractor Revenue Build'!AB39</f>
        <v>411000</v>
      </c>
      <c r="AY135" s="385">
        <f>+'Home Builder Revenue Build'!AN71+'Contractor Revenue Build'!AC39</f>
        <v>249300</v>
      </c>
      <c r="AZ135" s="367">
        <f>+'Home Builder Revenue Build'!AO71+'Contractor Revenue Build'!AD39</f>
        <v>29700</v>
      </c>
      <c r="BA135" s="367">
        <f>+'Home Builder Revenue Build'!AP71+'Contractor Revenue Build'!AE39</f>
        <v>261000</v>
      </c>
      <c r="BB135" s="367">
        <f>+'Home Builder Revenue Build'!AQ71+'Contractor Revenue Build'!AF39</f>
        <v>24300</v>
      </c>
      <c r="BC135" s="367">
        <f>+'Home Builder Revenue Build'!AR71+'Contractor Revenue Build'!AG39</f>
        <v>254700</v>
      </c>
      <c r="BD135" s="367">
        <f>+'Home Builder Revenue Build'!AS71+'Contractor Revenue Build'!AH39</f>
        <v>251000</v>
      </c>
      <c r="BE135" s="367">
        <f>+'Home Builder Revenue Build'!AT71+'Contractor Revenue Build'!AI39</f>
        <v>24300</v>
      </c>
      <c r="BF135" s="367">
        <f>+'Home Builder Revenue Build'!AU71+'Contractor Revenue Build'!AJ39</f>
        <v>39600</v>
      </c>
      <c r="BG135" s="367">
        <f>+'Home Builder Revenue Build'!AV71+'Contractor Revenue Build'!AK39</f>
        <v>48000</v>
      </c>
      <c r="BH135" s="367">
        <f>+'Home Builder Revenue Build'!AW71+'Contractor Revenue Build'!AL39</f>
        <v>462400</v>
      </c>
      <c r="BI135" s="367">
        <f>+'Home Builder Revenue Build'!AX71+'Contractor Revenue Build'!AM39</f>
        <v>577100</v>
      </c>
      <c r="BJ135" s="367">
        <f>+'Home Builder Revenue Build'!AY71+'Contractor Revenue Build'!AN39</f>
        <v>370500</v>
      </c>
      <c r="BK135" s="385">
        <f>+'Home Builder Revenue Build'!AZ71+'Contractor Revenue Build'!AO39</f>
        <v>32400.000000000004</v>
      </c>
      <c r="BL135" s="367">
        <f>+'Home Builder Revenue Build'!BA71+'Contractor Revenue Build'!AP39</f>
        <v>372000</v>
      </c>
      <c r="BM135" s="367">
        <f>+'Home Builder Revenue Build'!BB71+'Contractor Revenue Build'!AQ39</f>
        <v>60000</v>
      </c>
      <c r="BN135" s="367">
        <f>+'Home Builder Revenue Build'!BC71+'Contractor Revenue Build'!AR39</f>
        <v>363000</v>
      </c>
      <c r="BO135" s="367">
        <f>+'Home Builder Revenue Build'!BD71+'Contractor Revenue Build'!AS39</f>
        <v>49500</v>
      </c>
      <c r="BP135" s="367">
        <f>+'Home Builder Revenue Build'!BE71+'Contractor Revenue Build'!AT39</f>
        <v>355000</v>
      </c>
      <c r="BQ135" s="367">
        <f>+'Home Builder Revenue Build'!BF71+'Contractor Revenue Build'!AU39</f>
        <v>40500</v>
      </c>
      <c r="BR135" s="367">
        <f>+'Home Builder Revenue Build'!BG71+'Contractor Revenue Build'!AV39</f>
        <v>49500</v>
      </c>
      <c r="BS135" s="367">
        <f>+'Home Builder Revenue Build'!BH71+'Contractor Revenue Build'!AW39</f>
        <v>60000</v>
      </c>
      <c r="BT135" s="367">
        <f>+'Home Builder Revenue Build'!BI71+'Contractor Revenue Build'!AX39</f>
        <v>630500</v>
      </c>
      <c r="BU135" s="367">
        <f>+'Home Builder Revenue Build'!BJ71+'Contractor Revenue Build'!AY39</f>
        <v>787000</v>
      </c>
      <c r="BV135" s="367">
        <f>+'Home Builder Revenue Build'!BK71+'Contractor Revenue Build'!AZ39</f>
        <v>502500</v>
      </c>
      <c r="BW135" s="385">
        <f>+'Home Builder Revenue Build'!BL71+'Contractor Revenue Build'!BA39</f>
        <v>40500</v>
      </c>
      <c r="BX135" s="367">
        <f>+'Home Builder Revenue Build'!BM71+'Contractor Revenue Build'!BB39</f>
        <v>501900</v>
      </c>
      <c r="BY135" s="367">
        <f>+'Home Builder Revenue Build'!BN71+'Contractor Revenue Build'!BC39</f>
        <v>72000</v>
      </c>
      <c r="BZ135" s="367">
        <f>+'Home Builder Revenue Build'!BO71+'Contractor Revenue Build'!BD39</f>
        <v>491100</v>
      </c>
      <c r="CA135" s="367">
        <f>+'Home Builder Revenue Build'!BP71+'Contractor Revenue Build'!BE39</f>
        <v>59400</v>
      </c>
      <c r="CB135" s="367">
        <f>+'Home Builder Revenue Build'!BQ71+'Contractor Revenue Build'!BF39</f>
        <v>412000</v>
      </c>
      <c r="CC135" s="367">
        <f>+'Home Builder Revenue Build'!BR71+'Contractor Revenue Build'!BG39</f>
        <v>48600</v>
      </c>
      <c r="CD135" s="367">
        <f>+'Home Builder Revenue Build'!BS71+'Contractor Revenue Build'!BH39</f>
        <v>59400</v>
      </c>
      <c r="CE135" s="367">
        <f>+'Home Builder Revenue Build'!BT71+'Contractor Revenue Build'!BI39</f>
        <v>72000</v>
      </c>
      <c r="CF135" s="367">
        <f>+'Home Builder Revenue Build'!BU71+'Contractor Revenue Build'!BJ39</f>
        <v>728600</v>
      </c>
      <c r="CG135" s="367">
        <f>+'Home Builder Revenue Build'!BV71+'Contractor Revenue Build'!BK39</f>
        <v>909400</v>
      </c>
      <c r="CH135" s="367">
        <f>+'Home Builder Revenue Build'!BW71+'Contractor Revenue Build'!BL39</f>
        <v>582000</v>
      </c>
      <c r="CI135" s="385">
        <f>+'Home Builder Revenue Build'!BX71+'Contractor Revenue Build'!BM39</f>
        <v>48600</v>
      </c>
      <c r="CJ135" s="367">
        <f>+'Home Builder Revenue Build'!BY71+'Contractor Revenue Build'!BN39</f>
        <v>579300</v>
      </c>
      <c r="CK135" s="367">
        <f>+'Home Builder Revenue Build'!BZ71+'Contractor Revenue Build'!BO39</f>
        <v>84000</v>
      </c>
      <c r="CL135" s="367">
        <f>+'Home Builder Revenue Build'!CA71+'Contractor Revenue Build'!BP39</f>
        <v>566700</v>
      </c>
      <c r="CM135" s="367">
        <f>+'Home Builder Revenue Build'!CB71+'Contractor Revenue Build'!BQ39</f>
        <v>69300</v>
      </c>
      <c r="CN135" s="367">
        <f>+'Home Builder Revenue Build'!CC71+'Contractor Revenue Build'!BR39</f>
        <v>534000</v>
      </c>
      <c r="CO135" s="367">
        <f>+'Home Builder Revenue Build'!CD71+'Contractor Revenue Build'!BS39</f>
        <v>56700.000000000007</v>
      </c>
      <c r="CP135" s="367">
        <f>+'Home Builder Revenue Build'!CE71+'Contractor Revenue Build'!BT39</f>
        <v>79200</v>
      </c>
      <c r="CQ135" s="367">
        <f>+'Home Builder Revenue Build'!CF71+'Contractor Revenue Build'!BU39</f>
        <v>96000</v>
      </c>
      <c r="CR135" s="367">
        <f>+'Home Builder Revenue Build'!CG71+'Contractor Revenue Build'!BV39</f>
        <v>964800</v>
      </c>
      <c r="CS135" s="367">
        <f>+'Home Builder Revenue Build'!CH71+'Contractor Revenue Build'!BW39</f>
        <v>1204200</v>
      </c>
      <c r="CT135" s="367">
        <f>+'Home Builder Revenue Build'!CI71+'Contractor Revenue Build'!BX39</f>
        <v>771000</v>
      </c>
      <c r="CU135" s="385">
        <f>+'Home Builder Revenue Build'!CJ71+'Contractor Revenue Build'!BY39</f>
        <v>64800.000000000007</v>
      </c>
      <c r="CV135" s="367">
        <f>+'Home Builder Revenue Build'!CK71+'Contractor Revenue Build'!BZ39</f>
        <v>1244200</v>
      </c>
      <c r="CW135" s="367">
        <f>+'Home Builder Revenue Build'!CL71+'Contractor Revenue Build'!CA39</f>
        <v>96000</v>
      </c>
      <c r="CX135" s="367">
        <f>+'Home Builder Revenue Build'!CM71+'Contractor Revenue Build'!CB39</f>
        <v>739800</v>
      </c>
      <c r="CY135" s="367">
        <f>+'Home Builder Revenue Build'!CN71+'Contractor Revenue Build'!CC39</f>
        <v>79200</v>
      </c>
      <c r="CZ135" s="367">
        <f>+'Home Builder Revenue Build'!CO71+'Contractor Revenue Build'!CD39</f>
        <v>1076000</v>
      </c>
      <c r="DA135" s="367">
        <f>+'Home Builder Revenue Build'!CP71+'Contractor Revenue Build'!CE39</f>
        <v>1289800</v>
      </c>
      <c r="DB135" s="367">
        <f>+'Home Builder Revenue Build'!CQ71+'Contractor Revenue Build'!CF39</f>
        <v>824100</v>
      </c>
      <c r="DC135" s="367">
        <f>+'Home Builder Revenue Build'!CR71+'Contractor Revenue Build'!CG39</f>
        <v>108000</v>
      </c>
      <c r="DD135" s="367">
        <f>+'Home Builder Revenue Build'!CS71+'Contractor Revenue Build'!CH39</f>
        <v>807900</v>
      </c>
      <c r="DE135" s="367">
        <f>+'Home Builder Revenue Build'!CT71+'Contractor Revenue Build'!CI39</f>
        <v>89100</v>
      </c>
      <c r="DF135" s="367">
        <f>+'Home Builder Revenue Build'!CU71+'Contractor Revenue Build'!CJ39</f>
        <v>843000</v>
      </c>
      <c r="DG135" s="367">
        <f>+'Home Builder Revenue Build'!CV71+'Contractor Revenue Build'!CK39</f>
        <v>72900</v>
      </c>
    </row>
    <row r="136" spans="1:111" s="286" customFormat="1" x14ac:dyDescent="0.3">
      <c r="B136" s="286" t="s">
        <v>289</v>
      </c>
      <c r="E136" s="286">
        <f>+E135+D136</f>
        <v>0</v>
      </c>
      <c r="F136" s="286">
        <f t="shared" ref="F136:S136" si="849">+F135+E136</f>
        <v>0</v>
      </c>
      <c r="G136" s="286">
        <f t="shared" si="849"/>
        <v>0</v>
      </c>
      <c r="H136" s="286">
        <f t="shared" si="849"/>
        <v>0</v>
      </c>
      <c r="I136" s="286">
        <f t="shared" si="849"/>
        <v>0</v>
      </c>
      <c r="J136" s="286">
        <f t="shared" si="849"/>
        <v>0</v>
      </c>
      <c r="K136" s="286">
        <f t="shared" si="849"/>
        <v>0</v>
      </c>
      <c r="L136" s="286">
        <f t="shared" si="849"/>
        <v>0</v>
      </c>
      <c r="M136" s="286">
        <f t="shared" si="849"/>
        <v>0</v>
      </c>
      <c r="N136" s="286">
        <f t="shared" si="849"/>
        <v>0</v>
      </c>
      <c r="O136" s="286">
        <f t="shared" si="849"/>
        <v>0</v>
      </c>
      <c r="P136" s="286">
        <f t="shared" si="849"/>
        <v>0</v>
      </c>
      <c r="Q136" s="286">
        <f t="shared" si="849"/>
        <v>0</v>
      </c>
      <c r="R136" s="286">
        <f t="shared" si="849"/>
        <v>0</v>
      </c>
      <c r="S136" s="286">
        <f t="shared" si="849"/>
        <v>0</v>
      </c>
      <c r="T136" s="286">
        <f t="shared" ref="T136:AE136" si="850">+T135+S136-T10</f>
        <v>75000</v>
      </c>
      <c r="U136" s="286">
        <f t="shared" si="850"/>
        <v>75000</v>
      </c>
      <c r="V136" s="286">
        <f t="shared" si="850"/>
        <v>75000</v>
      </c>
      <c r="W136" s="286">
        <f t="shared" si="850"/>
        <v>47278.603846153848</v>
      </c>
      <c r="X136" s="286">
        <f t="shared" si="850"/>
        <v>45180.773076923077</v>
      </c>
      <c r="Y136" s="286">
        <f t="shared" si="850"/>
        <v>100277.25</v>
      </c>
      <c r="Z136" s="286">
        <f t="shared" si="850"/>
        <v>117568.78846153847</v>
      </c>
      <c r="AA136" s="286">
        <f t="shared" si="850"/>
        <v>75000.001538461453</v>
      </c>
      <c r="AB136" s="286">
        <f t="shared" si="850"/>
        <v>-12244.399282852872</v>
      </c>
      <c r="AC136" s="286">
        <f t="shared" si="850"/>
        <v>81990.120672458841</v>
      </c>
      <c r="AD136" s="286">
        <f t="shared" si="850"/>
        <v>54612.963972078724</v>
      </c>
      <c r="AE136" s="286">
        <f t="shared" si="850"/>
        <v>14765.999691278957</v>
      </c>
      <c r="AF136" s="286">
        <f>+AF135+AE136-SUM(AF10:AF11)</f>
        <v>14765.999691278957</v>
      </c>
      <c r="AG136" s="286">
        <f t="shared" ref="AG136:AJ136" si="851">+AG135+AF136-SUM(AG10:AG11)</f>
        <v>14765.999691278957</v>
      </c>
      <c r="AH136" s="286">
        <f t="shared" si="851"/>
        <v>14765.999691278957</v>
      </c>
      <c r="AI136" s="286">
        <f t="shared" si="851"/>
        <v>-3.0872104252921417E-4</v>
      </c>
      <c r="AJ136" s="287">
        <f t="shared" si="851"/>
        <v>-3.0872104252921417E-4</v>
      </c>
      <c r="AK136" s="286">
        <f t="shared" ref="AK136:BO136" si="852">+AK135+AJ136-SUM(AK10:AK11)</f>
        <v>56299.99969127895</v>
      </c>
      <c r="AL136" s="286">
        <f t="shared" si="852"/>
        <v>74499.999691278965</v>
      </c>
      <c r="AM136" s="287">
        <f t="shared" si="852"/>
        <v>162599.99969127896</v>
      </c>
      <c r="AN136" s="286">
        <f t="shared" si="852"/>
        <v>156875.72383795853</v>
      </c>
      <c r="AO136" s="286">
        <f t="shared" si="852"/>
        <v>162099.91510790741</v>
      </c>
      <c r="AP136" s="286">
        <f t="shared" si="852"/>
        <v>124248.2143840534</v>
      </c>
      <c r="AQ136" s="286">
        <f t="shared" si="852"/>
        <v>301045.92350281763</v>
      </c>
      <c r="AR136" s="286">
        <f t="shared" si="852"/>
        <v>400749.52263808355</v>
      </c>
      <c r="AS136" s="286">
        <f t="shared" si="852"/>
        <v>444590.59931586834</v>
      </c>
      <c r="AT136" s="286">
        <f t="shared" si="852"/>
        <v>276593.83815236384</v>
      </c>
      <c r="AU136" s="286">
        <f t="shared" si="852"/>
        <v>311607.54261670145</v>
      </c>
      <c r="AV136" s="286">
        <f t="shared" si="852"/>
        <v>230402.79868998547</v>
      </c>
      <c r="AW136" s="286">
        <f t="shared" si="852"/>
        <v>492413.05918080307</v>
      </c>
      <c r="AX136" s="286">
        <f t="shared" si="852"/>
        <v>615715.87126928661</v>
      </c>
      <c r="AY136" s="287">
        <f t="shared" si="852"/>
        <v>442584.33239892795</v>
      </c>
      <c r="AZ136" s="286">
        <f t="shared" si="852"/>
        <v>177857.16338564386</v>
      </c>
      <c r="BA136" s="286">
        <f t="shared" si="852"/>
        <v>234368.36174301521</v>
      </c>
      <c r="BB136" s="286">
        <f t="shared" si="852"/>
        <v>192137.40165363863</v>
      </c>
      <c r="BC136" s="286">
        <f t="shared" si="852"/>
        <v>137083.0882528784</v>
      </c>
      <c r="BD136" s="286">
        <f t="shared" si="852"/>
        <v>293299.99969127885</v>
      </c>
      <c r="BE136" s="286">
        <f t="shared" si="852"/>
        <v>274642.00737501337</v>
      </c>
      <c r="BF136" s="286">
        <f t="shared" si="852"/>
        <v>272388.68651989126</v>
      </c>
      <c r="BG136" s="286">
        <f t="shared" si="852"/>
        <v>203581.84590179555</v>
      </c>
      <c r="BH136" s="286">
        <f t="shared" si="852"/>
        <v>619048.59546328802</v>
      </c>
      <c r="BI136" s="286">
        <f t="shared" si="852"/>
        <v>842496.08228642331</v>
      </c>
      <c r="BJ136" s="286">
        <f t="shared" si="852"/>
        <v>610510.87657224259</v>
      </c>
      <c r="BK136" s="287">
        <f t="shared" si="852"/>
        <v>223898.60098653543</v>
      </c>
      <c r="BL136" s="286">
        <f t="shared" si="852"/>
        <v>295797.98529876769</v>
      </c>
      <c r="BM136" s="286">
        <f t="shared" si="852"/>
        <v>253436.94250399459</v>
      </c>
      <c r="BN136" s="286">
        <f t="shared" si="852"/>
        <v>165455.75996290491</v>
      </c>
      <c r="BO136" s="286">
        <f t="shared" si="852"/>
        <v>72099.999691278907</v>
      </c>
      <c r="BP136" s="286">
        <f t="shared" ref="BP136:CU136" si="853">+BP135+BO136-SUM(BP10:BP11)</f>
        <v>377099.99969127891</v>
      </c>
      <c r="BQ136" s="286">
        <f t="shared" si="853"/>
        <v>349820.42883872858</v>
      </c>
      <c r="BR136" s="286">
        <f t="shared" si="853"/>
        <v>346777.50022356102</v>
      </c>
      <c r="BS136" s="286">
        <f t="shared" si="853"/>
        <v>251391.37007315061</v>
      </c>
      <c r="BT136" s="286">
        <f t="shared" si="853"/>
        <v>822378.30551798909</v>
      </c>
      <c r="BU136" s="286">
        <f t="shared" si="853"/>
        <v>1129017.8804613608</v>
      </c>
      <c r="BV136" s="286">
        <f t="shared" si="853"/>
        <v>809735.85401632206</v>
      </c>
      <c r="BW136" s="287">
        <f t="shared" si="853"/>
        <v>280195.75495686335</v>
      </c>
      <c r="BX136" s="286">
        <f t="shared" si="853"/>
        <v>378934.44505969365</v>
      </c>
      <c r="BY136" s="286">
        <f t="shared" si="853"/>
        <v>319090.22355058638</v>
      </c>
      <c r="BZ136" s="286">
        <f t="shared" si="853"/>
        <v>200006.74052909121</v>
      </c>
      <c r="CA136" s="286">
        <f t="shared" si="853"/>
        <v>71999.99969127879</v>
      </c>
      <c r="CB136" s="286">
        <f t="shared" si="853"/>
        <v>423999.99969127879</v>
      </c>
      <c r="CC136" s="286">
        <f t="shared" si="853"/>
        <v>392108.29091206827</v>
      </c>
      <c r="CD136" s="286">
        <f t="shared" si="853"/>
        <v>388577.45793187513</v>
      </c>
      <c r="CE136" s="286">
        <f t="shared" si="853"/>
        <v>279115.47741953772</v>
      </c>
      <c r="CF136" s="286">
        <f t="shared" si="853"/>
        <v>936751.2674237584</v>
      </c>
      <c r="CG136" s="286">
        <f t="shared" si="853"/>
        <v>1290142.6419347629</v>
      </c>
      <c r="CH136" s="286">
        <f t="shared" si="853"/>
        <v>922631.1538286166</v>
      </c>
      <c r="CI136" s="287">
        <f t="shared" si="853"/>
        <v>311862.90406517265</v>
      </c>
      <c r="CJ136" s="286">
        <f t="shared" si="853"/>
        <v>425654.95367521438</v>
      </c>
      <c r="CK136" s="286">
        <f t="shared" si="853"/>
        <v>356851.44413929415</v>
      </c>
      <c r="CL136" s="286">
        <f t="shared" si="853"/>
        <v>219441.66709757084</v>
      </c>
      <c r="CM136" s="286">
        <f t="shared" si="853"/>
        <v>71899.999691278557</v>
      </c>
      <c r="CN136" s="286">
        <f t="shared" si="853"/>
        <v>535899.99969127856</v>
      </c>
      <c r="CO136" s="286">
        <f t="shared" si="853"/>
        <v>495478.6204246764</v>
      </c>
      <c r="CP136" s="286">
        <f t="shared" si="853"/>
        <v>490799.5767744208</v>
      </c>
      <c r="CQ136" s="286">
        <f t="shared" si="853"/>
        <v>346041.07315515069</v>
      </c>
      <c r="CR136" s="286">
        <f t="shared" si="853"/>
        <v>1216329.6187489722</v>
      </c>
      <c r="CS136" s="286">
        <f t="shared" si="853"/>
        <v>1684047.614425302</v>
      </c>
      <c r="CT136" s="286">
        <f t="shared" si="853"/>
        <v>1197752.997814226</v>
      </c>
      <c r="CU136" s="287">
        <f t="shared" si="853"/>
        <v>389271.49077437376</v>
      </c>
      <c r="CV136" s="286">
        <f t="shared" ref="CV136:DG136" si="854">+CV135+CU136-SUM(CV10:CV11)</f>
        <v>1030005.0858464878</v>
      </c>
      <c r="CW136" s="286">
        <f t="shared" si="854"/>
        <v>906880.03704361361</v>
      </c>
      <c r="CX136" s="286">
        <f t="shared" si="854"/>
        <v>723193.24931105447</v>
      </c>
      <c r="CY136" s="286">
        <f t="shared" si="854"/>
        <v>352995.83524082846</v>
      </c>
      <c r="CZ136" s="286">
        <f t="shared" si="854"/>
        <v>1333194.4737763228</v>
      </c>
      <c r="DA136" s="286">
        <f t="shared" si="854"/>
        <v>1828158.5135127706</v>
      </c>
      <c r="DB136" s="286">
        <f t="shared" si="854"/>
        <v>1280315.4865362656</v>
      </c>
      <c r="DC136" s="286">
        <f t="shared" si="854"/>
        <v>434520.0677595376</v>
      </c>
      <c r="DD136" s="286">
        <f t="shared" si="854"/>
        <v>582423.31572695065</v>
      </c>
      <c r="DE136" s="286">
        <f t="shared" si="854"/>
        <v>462188.84610165382</v>
      </c>
      <c r="DF136" s="286">
        <f t="shared" si="854"/>
        <v>301324.75565917033</v>
      </c>
      <c r="DG136" s="286">
        <f t="shared" si="854"/>
        <v>72599.999691278557</v>
      </c>
    </row>
    <row r="137" spans="1:111" s="39" customFormat="1" x14ac:dyDescent="0.3">
      <c r="AJ137" s="165"/>
      <c r="AM137" s="165"/>
      <c r="AY137" s="165"/>
      <c r="BK137" s="165"/>
      <c r="BW137" s="165"/>
      <c r="CI137" s="165"/>
      <c r="CU137" s="165"/>
    </row>
    <row r="138" spans="1:111" s="15" customFormat="1" hidden="1" x14ac:dyDescent="0.3">
      <c r="A138"/>
      <c r="B138" s="1" t="s">
        <v>270</v>
      </c>
      <c r="C138" s="1"/>
      <c r="D138" s="2"/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91">
        <v>0</v>
      </c>
      <c r="K138" s="91">
        <v>0</v>
      </c>
      <c r="L138" s="91">
        <v>0</v>
      </c>
      <c r="M138" s="91">
        <v>0</v>
      </c>
      <c r="N138" s="91">
        <v>0</v>
      </c>
      <c r="O138" s="91">
        <v>0</v>
      </c>
      <c r="P138" s="91">
        <v>0</v>
      </c>
      <c r="Q138" s="91">
        <v>0</v>
      </c>
      <c r="R138" s="91">
        <v>0</v>
      </c>
      <c r="S138" s="91">
        <v>0</v>
      </c>
      <c r="T138" s="91">
        <v>0</v>
      </c>
      <c r="U138" s="91">
        <v>0</v>
      </c>
      <c r="V138" s="91">
        <v>0</v>
      </c>
      <c r="W138" s="91">
        <v>0</v>
      </c>
      <c r="X138" s="91">
        <v>0</v>
      </c>
      <c r="Y138" s="91">
        <v>0</v>
      </c>
      <c r="Z138" s="91">
        <v>0</v>
      </c>
      <c r="AA138" s="91">
        <v>0</v>
      </c>
      <c r="AB138" s="91">
        <v>0</v>
      </c>
      <c r="AC138" s="91">
        <v>0</v>
      </c>
      <c r="AD138" s="91">
        <v>0</v>
      </c>
      <c r="AE138" s="91">
        <v>0</v>
      </c>
      <c r="AF138" s="91">
        <v>0</v>
      </c>
      <c r="AG138" s="91">
        <v>0</v>
      </c>
      <c r="AH138" s="91">
        <v>0</v>
      </c>
      <c r="AI138" s="91">
        <v>0</v>
      </c>
      <c r="AJ138" s="163">
        <v>0</v>
      </c>
      <c r="AK138" s="206">
        <v>0</v>
      </c>
      <c r="AL138" s="9"/>
      <c r="AM138" s="172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72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172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172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172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172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</row>
    <row r="139" spans="1:111" s="15" customFormat="1" hidden="1" x14ac:dyDescent="0.3">
      <c r="A139"/>
      <c r="B139" s="1" t="s">
        <v>271</v>
      </c>
      <c r="C139" s="1"/>
      <c r="D139" s="2"/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91">
        <v>0</v>
      </c>
      <c r="K139" s="91">
        <v>0</v>
      </c>
      <c r="L139" s="91">
        <v>0</v>
      </c>
      <c r="M139" s="91">
        <v>0</v>
      </c>
      <c r="N139" s="91">
        <v>0</v>
      </c>
      <c r="O139" s="91">
        <v>0</v>
      </c>
      <c r="P139" s="91">
        <v>0</v>
      </c>
      <c r="Q139" s="91">
        <v>0</v>
      </c>
      <c r="R139" s="91">
        <v>0</v>
      </c>
      <c r="S139" s="91">
        <v>0</v>
      </c>
      <c r="T139" s="91">
        <v>0</v>
      </c>
      <c r="U139" s="91">
        <v>0</v>
      </c>
      <c r="V139" s="91">
        <v>0</v>
      </c>
      <c r="W139" s="91">
        <v>0</v>
      </c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163"/>
      <c r="AK139" s="206">
        <v>0</v>
      </c>
      <c r="AL139" s="9"/>
      <c r="AM139" s="172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72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172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172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172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172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15" customFormat="1" hidden="1" x14ac:dyDescent="0.3">
      <c r="A140"/>
      <c r="B140" s="1" t="s">
        <v>272</v>
      </c>
      <c r="C140" s="1"/>
      <c r="D140" s="2"/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91">
        <v>0</v>
      </c>
      <c r="K140" s="91">
        <v>0</v>
      </c>
      <c r="L140" s="91">
        <v>0</v>
      </c>
      <c r="M140" s="91">
        <v>0</v>
      </c>
      <c r="N140" s="91">
        <v>0</v>
      </c>
      <c r="O140" s="91">
        <v>0</v>
      </c>
      <c r="P140" s="91">
        <v>0</v>
      </c>
      <c r="Q140" s="91">
        <v>0</v>
      </c>
      <c r="R140" s="91">
        <v>0</v>
      </c>
      <c r="S140" s="91">
        <v>0</v>
      </c>
      <c r="T140" s="91">
        <v>0</v>
      </c>
      <c r="U140" s="91">
        <v>0</v>
      </c>
      <c r="V140" s="91">
        <v>0</v>
      </c>
      <c r="W140" s="91">
        <v>0</v>
      </c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163"/>
      <c r="AK140" s="206">
        <v>0</v>
      </c>
      <c r="AL140" s="9"/>
      <c r="AM140" s="172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72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172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172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172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172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</row>
    <row r="141" spans="1:111" s="15" customFormat="1" hidden="1" x14ac:dyDescent="0.3">
      <c r="A141"/>
      <c r="B141" s="1" t="s">
        <v>273</v>
      </c>
      <c r="C141" s="1"/>
      <c r="D141" s="2"/>
      <c r="E141" s="2"/>
      <c r="F141" s="2"/>
      <c r="G141" s="2"/>
      <c r="H141" s="2"/>
      <c r="I141" s="2"/>
      <c r="J141" s="91"/>
      <c r="K141" s="91"/>
      <c r="L141" s="91"/>
      <c r="M141" s="91"/>
      <c r="N141" s="91"/>
      <c r="O141" s="91"/>
      <c r="P141" s="91">
        <v>0</v>
      </c>
      <c r="Q141" s="91">
        <v>0</v>
      </c>
      <c r="R141" s="91">
        <v>0</v>
      </c>
      <c r="S141" s="91">
        <v>0</v>
      </c>
      <c r="T141" s="91">
        <v>0</v>
      </c>
      <c r="U141" s="91">
        <v>0</v>
      </c>
      <c r="V141" s="91">
        <v>0</v>
      </c>
      <c r="W141" s="91">
        <v>0</v>
      </c>
      <c r="X141" s="91">
        <v>0</v>
      </c>
      <c r="Y141" s="91">
        <v>0</v>
      </c>
      <c r="Z141" s="91">
        <v>0</v>
      </c>
      <c r="AA141" s="91">
        <v>0</v>
      </c>
      <c r="AB141" s="91">
        <v>0</v>
      </c>
      <c r="AC141" s="91">
        <v>0</v>
      </c>
      <c r="AD141" s="91">
        <v>0</v>
      </c>
      <c r="AE141" s="91">
        <v>0</v>
      </c>
      <c r="AF141" s="91">
        <v>0</v>
      </c>
      <c r="AG141" s="91">
        <v>0</v>
      </c>
      <c r="AH141" s="91">
        <v>0</v>
      </c>
      <c r="AI141" s="91">
        <v>0</v>
      </c>
      <c r="AJ141" s="163">
        <v>0</v>
      </c>
      <c r="AK141" s="206">
        <f t="shared" ref="AK141" si="855">+AJ141</f>
        <v>0</v>
      </c>
      <c r="AL141" s="9"/>
      <c r="AM141" s="172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72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172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172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172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172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</row>
    <row r="142" spans="1:111" s="37" customFormat="1" x14ac:dyDescent="0.3">
      <c r="B142" s="37" t="s">
        <v>274</v>
      </c>
      <c r="O142" s="37">
        <f t="shared" ref="O142" si="856">SUM(O139:O141)</f>
        <v>0</v>
      </c>
      <c r="P142" s="37">
        <f>SUM(P139:P141)</f>
        <v>0</v>
      </c>
      <c r="Q142" s="37">
        <f t="shared" ref="Q142:CB142" si="857">SUM(Q139:Q141)</f>
        <v>0</v>
      </c>
      <c r="R142" s="37">
        <f t="shared" si="857"/>
        <v>0</v>
      </c>
      <c r="S142" s="37">
        <f t="shared" si="857"/>
        <v>0</v>
      </c>
      <c r="T142" s="37">
        <f t="shared" si="857"/>
        <v>0</v>
      </c>
      <c r="U142" s="37">
        <f t="shared" si="857"/>
        <v>0</v>
      </c>
      <c r="V142" s="37">
        <f t="shared" si="857"/>
        <v>0</v>
      </c>
      <c r="W142" s="37">
        <f t="shared" si="857"/>
        <v>0</v>
      </c>
      <c r="X142" s="37">
        <f t="shared" si="857"/>
        <v>0</v>
      </c>
      <c r="Y142" s="37">
        <f t="shared" si="857"/>
        <v>0</v>
      </c>
      <c r="Z142" s="37">
        <f t="shared" si="857"/>
        <v>0</v>
      </c>
      <c r="AA142" s="37">
        <f t="shared" si="857"/>
        <v>0</v>
      </c>
      <c r="AB142" s="37">
        <f>SUM(AB139:AB141)</f>
        <v>0</v>
      </c>
      <c r="AC142" s="37">
        <f>SUM(AC139:AC141)</f>
        <v>0</v>
      </c>
      <c r="AD142" s="37">
        <f t="shared" ref="AD142:AE142" si="858">SUM(AD139:AD141)</f>
        <v>0</v>
      </c>
      <c r="AE142" s="37">
        <f t="shared" si="858"/>
        <v>0</v>
      </c>
      <c r="AF142" s="37">
        <f t="shared" ref="AF142:AG142" si="859">SUM(AF139:AF141)</f>
        <v>0</v>
      </c>
      <c r="AG142" s="37">
        <f t="shared" si="859"/>
        <v>0</v>
      </c>
      <c r="AH142" s="37">
        <f t="shared" ref="AH142:AI142" si="860">SUM(AH139:AH141)</f>
        <v>0</v>
      </c>
      <c r="AI142" s="37">
        <f t="shared" si="860"/>
        <v>0</v>
      </c>
      <c r="AJ142" s="164">
        <f t="shared" ref="AJ142" si="861">SUM(AJ139:AJ141)</f>
        <v>0</v>
      </c>
      <c r="AK142" s="37">
        <f t="shared" ref="AK142" si="862">SUM(AK139:AK141)</f>
        <v>0</v>
      </c>
      <c r="AL142" s="37">
        <f t="shared" si="857"/>
        <v>0</v>
      </c>
      <c r="AM142" s="164">
        <f t="shared" si="857"/>
        <v>0</v>
      </c>
      <c r="AN142" s="37">
        <f t="shared" si="857"/>
        <v>0</v>
      </c>
      <c r="AO142" s="37">
        <f t="shared" si="857"/>
        <v>0</v>
      </c>
      <c r="AP142" s="37">
        <f t="shared" si="857"/>
        <v>0</v>
      </c>
      <c r="AQ142" s="37">
        <f t="shared" si="857"/>
        <v>0</v>
      </c>
      <c r="AR142" s="37">
        <f t="shared" si="857"/>
        <v>0</v>
      </c>
      <c r="AS142" s="37">
        <f t="shared" si="857"/>
        <v>0</v>
      </c>
      <c r="AT142" s="37">
        <f t="shared" si="857"/>
        <v>0</v>
      </c>
      <c r="AU142" s="37">
        <f t="shared" si="857"/>
        <v>0</v>
      </c>
      <c r="AV142" s="37">
        <f t="shared" si="857"/>
        <v>0</v>
      </c>
      <c r="AW142" s="37">
        <f t="shared" si="857"/>
        <v>0</v>
      </c>
      <c r="AX142" s="37">
        <f t="shared" si="857"/>
        <v>0</v>
      </c>
      <c r="AY142" s="164">
        <f t="shared" si="857"/>
        <v>0</v>
      </c>
      <c r="AZ142" s="37">
        <f t="shared" si="857"/>
        <v>0</v>
      </c>
      <c r="BA142" s="37">
        <f t="shared" si="857"/>
        <v>0</v>
      </c>
      <c r="BB142" s="37">
        <f t="shared" si="857"/>
        <v>0</v>
      </c>
      <c r="BC142" s="37">
        <f t="shared" si="857"/>
        <v>0</v>
      </c>
      <c r="BD142" s="37">
        <f t="shared" si="857"/>
        <v>0</v>
      </c>
      <c r="BE142" s="37">
        <f t="shared" si="857"/>
        <v>0</v>
      </c>
      <c r="BF142" s="37">
        <f t="shared" si="857"/>
        <v>0</v>
      </c>
      <c r="BG142" s="37">
        <f t="shared" si="857"/>
        <v>0</v>
      </c>
      <c r="BH142" s="37">
        <f t="shared" si="857"/>
        <v>0</v>
      </c>
      <c r="BI142" s="37">
        <f t="shared" si="857"/>
        <v>0</v>
      </c>
      <c r="BJ142" s="37">
        <f t="shared" si="857"/>
        <v>0</v>
      </c>
      <c r="BK142" s="164">
        <f t="shared" si="857"/>
        <v>0</v>
      </c>
      <c r="BL142" s="37">
        <f t="shared" si="857"/>
        <v>0</v>
      </c>
      <c r="BM142" s="37">
        <f t="shared" si="857"/>
        <v>0</v>
      </c>
      <c r="BN142" s="37">
        <f t="shared" si="857"/>
        <v>0</v>
      </c>
      <c r="BO142" s="37">
        <f t="shared" si="857"/>
        <v>0</v>
      </c>
      <c r="BP142" s="37">
        <f t="shared" si="857"/>
        <v>0</v>
      </c>
      <c r="BQ142" s="37">
        <f t="shared" si="857"/>
        <v>0</v>
      </c>
      <c r="BR142" s="37">
        <f t="shared" si="857"/>
        <v>0</v>
      </c>
      <c r="BS142" s="37">
        <f t="shared" si="857"/>
        <v>0</v>
      </c>
      <c r="BT142" s="37">
        <f t="shared" si="857"/>
        <v>0</v>
      </c>
      <c r="BU142" s="37">
        <f t="shared" si="857"/>
        <v>0</v>
      </c>
      <c r="BV142" s="37">
        <f t="shared" si="857"/>
        <v>0</v>
      </c>
      <c r="BW142" s="164">
        <f t="shared" si="857"/>
        <v>0</v>
      </c>
      <c r="BX142" s="37">
        <f t="shared" si="857"/>
        <v>0</v>
      </c>
      <c r="BY142" s="37">
        <f t="shared" si="857"/>
        <v>0</v>
      </c>
      <c r="BZ142" s="37">
        <f t="shared" si="857"/>
        <v>0</v>
      </c>
      <c r="CA142" s="37">
        <f t="shared" si="857"/>
        <v>0</v>
      </c>
      <c r="CB142" s="37">
        <f t="shared" si="857"/>
        <v>0</v>
      </c>
      <c r="CC142" s="37">
        <f t="shared" ref="CC142:DG142" si="863">SUM(CC139:CC141)</f>
        <v>0</v>
      </c>
      <c r="CD142" s="37">
        <f t="shared" si="863"/>
        <v>0</v>
      </c>
      <c r="CE142" s="37">
        <f t="shared" si="863"/>
        <v>0</v>
      </c>
      <c r="CF142" s="37">
        <f t="shared" si="863"/>
        <v>0</v>
      </c>
      <c r="CG142" s="37">
        <f t="shared" si="863"/>
        <v>0</v>
      </c>
      <c r="CH142" s="37">
        <f t="shared" si="863"/>
        <v>0</v>
      </c>
      <c r="CI142" s="164">
        <f t="shared" si="863"/>
        <v>0</v>
      </c>
      <c r="CJ142" s="37">
        <f t="shared" si="863"/>
        <v>0</v>
      </c>
      <c r="CK142" s="37">
        <f t="shared" si="863"/>
        <v>0</v>
      </c>
      <c r="CL142" s="37">
        <f t="shared" si="863"/>
        <v>0</v>
      </c>
      <c r="CM142" s="37">
        <f t="shared" si="863"/>
        <v>0</v>
      </c>
      <c r="CN142" s="37">
        <f t="shared" si="863"/>
        <v>0</v>
      </c>
      <c r="CO142" s="37">
        <f t="shared" si="863"/>
        <v>0</v>
      </c>
      <c r="CP142" s="37">
        <f t="shared" si="863"/>
        <v>0</v>
      </c>
      <c r="CQ142" s="37">
        <f t="shared" si="863"/>
        <v>0</v>
      </c>
      <c r="CR142" s="37">
        <f t="shared" si="863"/>
        <v>0</v>
      </c>
      <c r="CS142" s="37">
        <f t="shared" si="863"/>
        <v>0</v>
      </c>
      <c r="CT142" s="37">
        <f t="shared" si="863"/>
        <v>0</v>
      </c>
      <c r="CU142" s="164">
        <f t="shared" si="863"/>
        <v>0</v>
      </c>
      <c r="CV142" s="37">
        <f t="shared" si="863"/>
        <v>0</v>
      </c>
      <c r="CW142" s="37">
        <f t="shared" si="863"/>
        <v>0</v>
      </c>
      <c r="CX142" s="37">
        <f t="shared" si="863"/>
        <v>0</v>
      </c>
      <c r="CY142" s="37">
        <f t="shared" si="863"/>
        <v>0</v>
      </c>
      <c r="CZ142" s="37">
        <f t="shared" si="863"/>
        <v>0</v>
      </c>
      <c r="DA142" s="37">
        <f t="shared" si="863"/>
        <v>0</v>
      </c>
      <c r="DB142" s="37">
        <f t="shared" si="863"/>
        <v>0</v>
      </c>
      <c r="DC142" s="37">
        <f t="shared" si="863"/>
        <v>0</v>
      </c>
      <c r="DD142" s="37">
        <f t="shared" si="863"/>
        <v>0</v>
      </c>
      <c r="DE142" s="37">
        <f t="shared" si="863"/>
        <v>0</v>
      </c>
      <c r="DF142" s="37">
        <f t="shared" si="863"/>
        <v>0</v>
      </c>
      <c r="DG142" s="37">
        <f t="shared" si="863"/>
        <v>0</v>
      </c>
    </row>
    <row r="143" spans="1:111" s="37" customFormat="1" x14ac:dyDescent="0.3">
      <c r="B143" s="37" t="s">
        <v>275</v>
      </c>
      <c r="O143" s="37">
        <f t="shared" ref="O143:AC143" si="864">+O142+O134+O124+O116</f>
        <v>0</v>
      </c>
      <c r="P143" s="37">
        <f t="shared" si="864"/>
        <v>32.49</v>
      </c>
      <c r="Q143" s="37">
        <f t="shared" si="864"/>
        <v>30.05</v>
      </c>
      <c r="R143" s="37">
        <f t="shared" si="864"/>
        <v>1228.6399999999999</v>
      </c>
      <c r="S143" s="37">
        <f t="shared" si="864"/>
        <v>1161</v>
      </c>
      <c r="T143" s="37">
        <f t="shared" si="864"/>
        <v>77884.97</v>
      </c>
      <c r="U143" s="37">
        <f t="shared" si="864"/>
        <v>78148.55</v>
      </c>
      <c r="V143" s="37">
        <f t="shared" si="864"/>
        <v>79072.17</v>
      </c>
      <c r="W143" s="37">
        <f t="shared" si="864"/>
        <v>80162.710000000006</v>
      </c>
      <c r="X143" s="37">
        <f t="shared" si="864"/>
        <v>81452.350000000006</v>
      </c>
      <c r="Y143" s="37">
        <f t="shared" si="864"/>
        <v>83623.59</v>
      </c>
      <c r="Z143" s="37">
        <f t="shared" si="864"/>
        <v>79536.62999999999</v>
      </c>
      <c r="AA143" s="37">
        <f t="shared" si="864"/>
        <v>128653.33</v>
      </c>
      <c r="AB143" s="37">
        <f t="shared" si="864"/>
        <v>96522.3</v>
      </c>
      <c r="AC143" s="37">
        <f t="shared" si="864"/>
        <v>75799.570000000007</v>
      </c>
      <c r="AD143" s="37">
        <f t="shared" ref="AD143:AE143" si="865">+AD142+AD134+AD124+AD116</f>
        <v>75897.460000000006</v>
      </c>
      <c r="AE143" s="37">
        <f t="shared" si="865"/>
        <v>99383.33</v>
      </c>
      <c r="AF143" s="37">
        <f t="shared" ref="AF143:AG143" si="866">+AF142+AF134+AF124+AF116</f>
        <v>29460.46</v>
      </c>
      <c r="AG143" s="37">
        <f t="shared" si="866"/>
        <v>49175.97</v>
      </c>
      <c r="AH143" s="37">
        <f t="shared" ref="AH143:AI143" si="867">+AH142+AH134+AH124+AH116</f>
        <v>27466.22</v>
      </c>
      <c r="AI143" s="37">
        <f t="shared" si="867"/>
        <v>3295.64</v>
      </c>
      <c r="AJ143" s="164">
        <f t="shared" ref="AJ143" si="868">+AJ142+AJ134+AJ124+AJ116</f>
        <v>5146.380000000001</v>
      </c>
      <c r="AK143" s="37">
        <f>+AK142+AK134+AK124+AK116</f>
        <v>107455.1186200642</v>
      </c>
      <c r="AL143" s="37">
        <f t="shared" ref="AL143:AT143" si="869">+AL142+AL134+AL124+AL116</f>
        <v>95006.192230221495</v>
      </c>
      <c r="AM143" s="164">
        <f t="shared" si="869"/>
        <v>172388.24511308337</v>
      </c>
      <c r="AN143" s="37">
        <f t="shared" si="869"/>
        <v>196385.58015863432</v>
      </c>
      <c r="AO143" s="37">
        <f t="shared" si="869"/>
        <v>198566.18691597477</v>
      </c>
      <c r="AP143" s="37">
        <f t="shared" si="869"/>
        <v>181875.29035089619</v>
      </c>
      <c r="AQ143" s="37">
        <f t="shared" si="869"/>
        <v>339763.1933226402</v>
      </c>
      <c r="AR143" s="37">
        <f t="shared" si="869"/>
        <v>525703.85097578948</v>
      </c>
      <c r="AS143" s="37">
        <f t="shared" si="869"/>
        <v>640279.68631556432</v>
      </c>
      <c r="AT143" s="37">
        <f t="shared" si="869"/>
        <v>424751.85589914571</v>
      </c>
      <c r="AU143" s="37">
        <f t="shared" ref="AU143:BZ143" si="870">+AU142+AU134+AU124+AU116</f>
        <v>419146.65168523084</v>
      </c>
      <c r="AV143" s="37">
        <f t="shared" si="870"/>
        <v>307492.36941021698</v>
      </c>
      <c r="AW143" s="37">
        <f t="shared" si="870"/>
        <v>644576.12948851602</v>
      </c>
      <c r="AX143" s="37">
        <f t="shared" si="870"/>
        <v>785760.98399704159</v>
      </c>
      <c r="AY143" s="164">
        <f t="shared" si="870"/>
        <v>671799.91836728435</v>
      </c>
      <c r="AZ143" s="37">
        <f t="shared" si="870"/>
        <v>345197.77146718604</v>
      </c>
      <c r="BA143" s="37">
        <f t="shared" si="870"/>
        <v>357493.14339233242</v>
      </c>
      <c r="BB143" s="37">
        <f t="shared" si="870"/>
        <v>247119.40472492512</v>
      </c>
      <c r="BC143" s="37">
        <f t="shared" si="870"/>
        <v>312898.20175486931</v>
      </c>
      <c r="BD143" s="37">
        <f t="shared" si="870"/>
        <v>362206.94442460482</v>
      </c>
      <c r="BE143" s="37">
        <f t="shared" si="870"/>
        <v>316668.57723673771</v>
      </c>
      <c r="BF143" s="37">
        <f t="shared" si="870"/>
        <v>318634.76039555325</v>
      </c>
      <c r="BG143" s="37">
        <f t="shared" si="870"/>
        <v>278883.71085141535</v>
      </c>
      <c r="BH143" s="37">
        <f t="shared" si="870"/>
        <v>667106.18263579579</v>
      </c>
      <c r="BI143" s="37">
        <f t="shared" si="870"/>
        <v>1010088.2948922268</v>
      </c>
      <c r="BJ143" s="37">
        <f t="shared" si="870"/>
        <v>875078.16153722606</v>
      </c>
      <c r="BK143" s="164">
        <f t="shared" si="870"/>
        <v>416962.81899623416</v>
      </c>
      <c r="BL143" s="37">
        <f t="shared" si="870"/>
        <v>446472.50235147274</v>
      </c>
      <c r="BM143" s="37">
        <f t="shared" si="870"/>
        <v>327161.49664090399</v>
      </c>
      <c r="BN143" s="37">
        <f t="shared" si="870"/>
        <v>374898.59001118515</v>
      </c>
      <c r="BO143" s="37">
        <f t="shared" si="870"/>
        <v>162413.09940253576</v>
      </c>
      <c r="BP143" s="37">
        <f t="shared" si="870"/>
        <v>430272.45065438189</v>
      </c>
      <c r="BQ143" s="37">
        <f t="shared" si="870"/>
        <v>408785.51370065013</v>
      </c>
      <c r="BR143" s="37">
        <f t="shared" si="870"/>
        <v>400946.68120695965</v>
      </c>
      <c r="BS143" s="37">
        <f t="shared" si="870"/>
        <v>338912.06041631615</v>
      </c>
      <c r="BT143" s="37">
        <f t="shared" si="870"/>
        <v>878650.13951349934</v>
      </c>
      <c r="BU143" s="37">
        <f t="shared" si="870"/>
        <v>1322402.961277416</v>
      </c>
      <c r="BV143" s="37">
        <f t="shared" si="870"/>
        <v>1114357.0472443779</v>
      </c>
      <c r="BW143" s="164">
        <f t="shared" si="870"/>
        <v>502798.72432444541</v>
      </c>
      <c r="BX143" s="37">
        <f t="shared" si="870"/>
        <v>555135.28769539157</v>
      </c>
      <c r="BY143" s="37">
        <f t="shared" si="870"/>
        <v>407008.29993062315</v>
      </c>
      <c r="BZ143" s="37">
        <f t="shared" si="870"/>
        <v>443623.12729847059</v>
      </c>
      <c r="CA143" s="37">
        <f t="shared" ref="CA143" si="871">+CA142+CA134+CA124+CA116</f>
        <v>178827.44525600295</v>
      </c>
      <c r="CB143" s="37">
        <f t="shared" ref="CB143:DG143" si="872">+CB142+CB134+CB124+CB116</f>
        <v>488365.06927471957</v>
      </c>
      <c r="CC143" s="37">
        <f t="shared" si="872"/>
        <v>463602.75606328575</v>
      </c>
      <c r="CD143" s="37">
        <f t="shared" si="872"/>
        <v>454130.44828638068</v>
      </c>
      <c r="CE143" s="37">
        <f t="shared" si="872"/>
        <v>385752.27004826639</v>
      </c>
      <c r="CF143" s="37">
        <f t="shared" si="872"/>
        <v>1004930.9622778542</v>
      </c>
      <c r="CG143" s="37">
        <f t="shared" si="872"/>
        <v>1527077.1021064529</v>
      </c>
      <c r="CH143" s="37">
        <f t="shared" si="872"/>
        <v>1296471.5985073841</v>
      </c>
      <c r="CI143" s="164">
        <f t="shared" si="872"/>
        <v>584757.84245412634</v>
      </c>
      <c r="CJ143" s="37">
        <f t="shared" si="872"/>
        <v>638474.21735171566</v>
      </c>
      <c r="CK143" s="37">
        <f t="shared" si="872"/>
        <v>460988.89554837614</v>
      </c>
      <c r="CL143" s="37">
        <f t="shared" si="872"/>
        <v>515241.49095634476</v>
      </c>
      <c r="CM143" s="37">
        <f t="shared" si="872"/>
        <v>199124.30278365983</v>
      </c>
      <c r="CN143" s="37">
        <f t="shared" si="872"/>
        <v>611082.81778274337</v>
      </c>
      <c r="CO143" s="37">
        <f t="shared" si="872"/>
        <v>579573.18297586206</v>
      </c>
      <c r="CP143" s="37">
        <f t="shared" si="872"/>
        <v>575311.33508934337</v>
      </c>
      <c r="CQ143" s="37">
        <f t="shared" si="872"/>
        <v>481946.35763023805</v>
      </c>
      <c r="CR143" s="37">
        <f t="shared" si="872"/>
        <v>1304166.8168801235</v>
      </c>
      <c r="CS143" s="37">
        <f t="shared" si="872"/>
        <v>1982828.2692034459</v>
      </c>
      <c r="CT143" s="37">
        <f t="shared" si="872"/>
        <v>1667666.1332262168</v>
      </c>
      <c r="CU143" s="164">
        <f t="shared" si="872"/>
        <v>733002.74332409725</v>
      </c>
      <c r="CV143" s="37">
        <f t="shared" si="872"/>
        <v>1290383.1942292964</v>
      </c>
      <c r="CW143" s="37">
        <f t="shared" si="872"/>
        <v>1042071.6984949906</v>
      </c>
      <c r="CX143" s="37">
        <f t="shared" si="872"/>
        <v>1088834.7986137439</v>
      </c>
      <c r="CY143" s="37">
        <f t="shared" si="872"/>
        <v>569538.10101045878</v>
      </c>
      <c r="CZ143" s="37">
        <f t="shared" si="872"/>
        <v>1427257.1777697054</v>
      </c>
      <c r="DA143" s="37">
        <f t="shared" si="872"/>
        <v>2175353.3654825441</v>
      </c>
      <c r="DB143" s="37">
        <f t="shared" si="872"/>
        <v>1840923.6504849857</v>
      </c>
      <c r="DC143" s="37">
        <f t="shared" si="872"/>
        <v>843554.87900399347</v>
      </c>
      <c r="DD143" s="37">
        <f t="shared" si="872"/>
        <v>885055.56052795169</v>
      </c>
      <c r="DE143" s="37">
        <f t="shared" si="872"/>
        <v>601628.72280859086</v>
      </c>
      <c r="DF143" s="37">
        <f t="shared" si="872"/>
        <v>728477.12884890125</v>
      </c>
      <c r="DG143" s="37">
        <f t="shared" si="872"/>
        <v>245459.7363871102</v>
      </c>
    </row>
    <row r="144" spans="1:111" x14ac:dyDescent="0.3">
      <c r="B144" s="37" t="s">
        <v>24</v>
      </c>
      <c r="C144" s="1"/>
      <c r="D144" s="2"/>
      <c r="E144" s="2"/>
      <c r="F144" s="2"/>
      <c r="G144" s="2"/>
      <c r="H144" s="2"/>
      <c r="I144" s="2"/>
      <c r="J144" s="36"/>
      <c r="K144" s="36"/>
      <c r="L144" s="36"/>
      <c r="M144" s="36"/>
      <c r="N144" s="36"/>
      <c r="O144" s="36">
        <f>+O143</f>
        <v>0</v>
      </c>
      <c r="P144" s="36">
        <f t="shared" ref="P144" si="873">+P143</f>
        <v>32.49</v>
      </c>
      <c r="Q144" s="36">
        <f t="shared" ref="Q144" si="874">+Q143</f>
        <v>30.05</v>
      </c>
      <c r="R144" s="36">
        <f t="shared" ref="R144" si="875">+R143</f>
        <v>1228.6399999999999</v>
      </c>
      <c r="S144" s="36">
        <f t="shared" ref="S144" si="876">+S143</f>
        <v>1161</v>
      </c>
      <c r="T144" s="36">
        <f t="shared" ref="T144" si="877">+T143</f>
        <v>77884.97</v>
      </c>
      <c r="U144" s="36">
        <f t="shared" ref="U144" si="878">+U143</f>
        <v>78148.55</v>
      </c>
      <c r="V144" s="36">
        <f t="shared" ref="V144" si="879">+V143</f>
        <v>79072.17</v>
      </c>
      <c r="W144" s="36">
        <f t="shared" ref="W144" si="880">+W143</f>
        <v>80162.710000000006</v>
      </c>
      <c r="X144" s="36">
        <f t="shared" ref="X144" si="881">+X143</f>
        <v>81452.350000000006</v>
      </c>
      <c r="Y144" s="36">
        <f t="shared" ref="Y144" si="882">+Y143</f>
        <v>83623.59</v>
      </c>
      <c r="Z144" s="36">
        <f t="shared" ref="Z144" si="883">+Z143</f>
        <v>79536.62999999999</v>
      </c>
      <c r="AA144" s="36">
        <f t="shared" ref="AA144" si="884">+AA143</f>
        <v>128653.33</v>
      </c>
      <c r="AB144" s="36">
        <f>+AB143</f>
        <v>96522.3</v>
      </c>
      <c r="AC144" s="36">
        <f>+AC143</f>
        <v>75799.570000000007</v>
      </c>
      <c r="AD144" s="36">
        <f t="shared" ref="AD144:AE144" si="885">+AD143</f>
        <v>75897.460000000006</v>
      </c>
      <c r="AE144" s="36">
        <f t="shared" si="885"/>
        <v>99383.33</v>
      </c>
      <c r="AF144" s="36">
        <f t="shared" ref="AF144:AG144" si="886">+AF143</f>
        <v>29460.46</v>
      </c>
      <c r="AG144" s="36">
        <f t="shared" si="886"/>
        <v>49175.97</v>
      </c>
      <c r="AH144" s="36">
        <f t="shared" ref="AH144:AI144" si="887">+AH143</f>
        <v>27466.22</v>
      </c>
      <c r="AI144" s="36">
        <f t="shared" si="887"/>
        <v>3295.64</v>
      </c>
      <c r="AJ144" s="167">
        <f t="shared" ref="AJ144" si="888">+AJ143</f>
        <v>5146.380000000001</v>
      </c>
      <c r="AK144" s="36">
        <f>+AK143</f>
        <v>107455.1186200642</v>
      </c>
      <c r="AL144" s="36">
        <f t="shared" ref="AL144" si="889">+AL143</f>
        <v>95006.192230221495</v>
      </c>
      <c r="AM144" s="167">
        <f t="shared" ref="AM144" si="890">+AM143</f>
        <v>172388.24511308337</v>
      </c>
      <c r="AN144" s="36">
        <f t="shared" ref="AN144" si="891">+AN143</f>
        <v>196385.58015863432</v>
      </c>
      <c r="AO144" s="36">
        <f t="shared" ref="AO144" si="892">+AO143</f>
        <v>198566.18691597477</v>
      </c>
      <c r="AP144" s="36">
        <f t="shared" ref="AP144" si="893">+AP143</f>
        <v>181875.29035089619</v>
      </c>
      <c r="AQ144" s="36">
        <f t="shared" ref="AQ144" si="894">+AQ143</f>
        <v>339763.1933226402</v>
      </c>
      <c r="AR144" s="36">
        <f t="shared" ref="AR144" si="895">+AR143</f>
        <v>525703.85097578948</v>
      </c>
      <c r="AS144" s="36">
        <f t="shared" ref="AS144" si="896">+AS143</f>
        <v>640279.68631556432</v>
      </c>
      <c r="AT144" s="36">
        <f t="shared" ref="AT144" si="897">+AT143</f>
        <v>424751.85589914571</v>
      </c>
      <c r="AU144" s="36">
        <f t="shared" ref="AU144" si="898">+AU143</f>
        <v>419146.65168523084</v>
      </c>
      <c r="AV144" s="36">
        <f t="shared" ref="AV144" si="899">+AV143</f>
        <v>307492.36941021698</v>
      </c>
      <c r="AW144" s="36">
        <f t="shared" ref="AW144" si="900">+AW143</f>
        <v>644576.12948851602</v>
      </c>
      <c r="AX144" s="36">
        <f t="shared" ref="AX144" si="901">+AX143</f>
        <v>785760.98399704159</v>
      </c>
      <c r="AY144" s="167">
        <f t="shared" ref="AY144" si="902">+AY143</f>
        <v>671799.91836728435</v>
      </c>
      <c r="AZ144" s="36">
        <f t="shared" ref="AZ144" si="903">+AZ143</f>
        <v>345197.77146718604</v>
      </c>
      <c r="BA144" s="36">
        <f t="shared" ref="BA144" si="904">+BA143</f>
        <v>357493.14339233242</v>
      </c>
      <c r="BB144" s="36">
        <f t="shared" ref="BB144" si="905">+BB143</f>
        <v>247119.40472492512</v>
      </c>
      <c r="BC144" s="36">
        <f t="shared" ref="BC144" si="906">+BC143</f>
        <v>312898.20175486931</v>
      </c>
      <c r="BD144" s="36">
        <f t="shared" ref="BD144" si="907">+BD143</f>
        <v>362206.94442460482</v>
      </c>
      <c r="BE144" s="36">
        <f t="shared" ref="BE144" si="908">+BE143</f>
        <v>316668.57723673771</v>
      </c>
      <c r="BF144" s="36">
        <f t="shared" ref="BF144" si="909">+BF143</f>
        <v>318634.76039555325</v>
      </c>
      <c r="BG144" s="36">
        <f t="shared" ref="BG144" si="910">+BG143</f>
        <v>278883.71085141535</v>
      </c>
      <c r="BH144" s="36">
        <f t="shared" ref="BH144" si="911">+BH143</f>
        <v>667106.18263579579</v>
      </c>
      <c r="BI144" s="36">
        <f t="shared" ref="BI144" si="912">+BI143</f>
        <v>1010088.2948922268</v>
      </c>
      <c r="BJ144" s="36">
        <f t="shared" ref="BJ144" si="913">+BJ143</f>
        <v>875078.16153722606</v>
      </c>
      <c r="BK144" s="167">
        <f t="shared" ref="BK144" si="914">+BK143</f>
        <v>416962.81899623416</v>
      </c>
      <c r="BL144" s="36">
        <f t="shared" ref="BL144" si="915">+BL143</f>
        <v>446472.50235147274</v>
      </c>
      <c r="BM144" s="36">
        <f t="shared" ref="BM144" si="916">+BM143</f>
        <v>327161.49664090399</v>
      </c>
      <c r="BN144" s="36">
        <f t="shared" ref="BN144" si="917">+BN143</f>
        <v>374898.59001118515</v>
      </c>
      <c r="BO144" s="36">
        <f t="shared" ref="BO144" si="918">+BO143</f>
        <v>162413.09940253576</v>
      </c>
      <c r="BP144" s="36">
        <f t="shared" ref="BP144" si="919">+BP143</f>
        <v>430272.45065438189</v>
      </c>
      <c r="BQ144" s="36">
        <f t="shared" ref="BQ144" si="920">+BQ143</f>
        <v>408785.51370065013</v>
      </c>
      <c r="BR144" s="36">
        <f t="shared" ref="BR144" si="921">+BR143</f>
        <v>400946.68120695965</v>
      </c>
      <c r="BS144" s="36">
        <f t="shared" ref="BS144" si="922">+BS143</f>
        <v>338912.06041631615</v>
      </c>
      <c r="BT144" s="36">
        <f t="shared" ref="BT144" si="923">+BT143</f>
        <v>878650.13951349934</v>
      </c>
      <c r="BU144" s="36">
        <f t="shared" ref="BU144" si="924">+BU143</f>
        <v>1322402.961277416</v>
      </c>
      <c r="BV144" s="36">
        <f t="shared" ref="BV144" si="925">+BV143</f>
        <v>1114357.0472443779</v>
      </c>
      <c r="BW144" s="167">
        <f t="shared" ref="BW144" si="926">+BW143</f>
        <v>502798.72432444541</v>
      </c>
      <c r="BX144" s="36">
        <f t="shared" ref="BX144" si="927">+BX143</f>
        <v>555135.28769539157</v>
      </c>
      <c r="BY144" s="36">
        <f t="shared" ref="BY144" si="928">+BY143</f>
        <v>407008.29993062315</v>
      </c>
      <c r="BZ144" s="36">
        <f t="shared" ref="BZ144" si="929">+BZ143</f>
        <v>443623.12729847059</v>
      </c>
      <c r="CA144" s="36">
        <f t="shared" ref="CA144" si="930">+CA143</f>
        <v>178827.44525600295</v>
      </c>
      <c r="CB144" s="36">
        <f t="shared" ref="CB144" si="931">+CB143</f>
        <v>488365.06927471957</v>
      </c>
      <c r="CC144" s="36">
        <f t="shared" ref="CC144" si="932">+CC143</f>
        <v>463602.75606328575</v>
      </c>
      <c r="CD144" s="36">
        <f t="shared" ref="CD144" si="933">+CD143</f>
        <v>454130.44828638068</v>
      </c>
      <c r="CE144" s="36">
        <f t="shared" ref="CE144" si="934">+CE143</f>
        <v>385752.27004826639</v>
      </c>
      <c r="CF144" s="36">
        <f t="shared" ref="CF144" si="935">+CF143</f>
        <v>1004930.9622778542</v>
      </c>
      <c r="CG144" s="36">
        <f t="shared" ref="CG144" si="936">+CG143</f>
        <v>1527077.1021064529</v>
      </c>
      <c r="CH144" s="36">
        <f t="shared" ref="CH144" si="937">+CH143</f>
        <v>1296471.5985073841</v>
      </c>
      <c r="CI144" s="167">
        <f t="shared" ref="CI144" si="938">+CI143</f>
        <v>584757.84245412634</v>
      </c>
      <c r="CJ144" s="36">
        <f t="shared" ref="CJ144" si="939">+CJ143</f>
        <v>638474.21735171566</v>
      </c>
      <c r="CK144" s="36">
        <f t="shared" ref="CK144" si="940">+CK143</f>
        <v>460988.89554837614</v>
      </c>
      <c r="CL144" s="36">
        <f t="shared" ref="CL144" si="941">+CL143</f>
        <v>515241.49095634476</v>
      </c>
      <c r="CM144" s="36">
        <f t="shared" ref="CM144" si="942">+CM143</f>
        <v>199124.30278365983</v>
      </c>
      <c r="CN144" s="36">
        <f t="shared" ref="CN144" si="943">+CN143</f>
        <v>611082.81778274337</v>
      </c>
      <c r="CO144" s="36">
        <f t="shared" ref="CO144" si="944">+CO143</f>
        <v>579573.18297586206</v>
      </c>
      <c r="CP144" s="36">
        <f t="shared" ref="CP144" si="945">+CP143</f>
        <v>575311.33508934337</v>
      </c>
      <c r="CQ144" s="36">
        <f t="shared" ref="CQ144" si="946">+CQ143</f>
        <v>481946.35763023805</v>
      </c>
      <c r="CR144" s="36">
        <f t="shared" ref="CR144" si="947">+CR143</f>
        <v>1304166.8168801235</v>
      </c>
      <c r="CS144" s="36">
        <f t="shared" ref="CS144" si="948">+CS143</f>
        <v>1982828.2692034459</v>
      </c>
      <c r="CT144" s="36">
        <f t="shared" ref="CT144" si="949">+CT143</f>
        <v>1667666.1332262168</v>
      </c>
      <c r="CU144" s="167">
        <f t="shared" ref="CU144" si="950">+CU143</f>
        <v>733002.74332409725</v>
      </c>
      <c r="CV144" s="36">
        <f t="shared" ref="CV144" si="951">+CV143</f>
        <v>1290383.1942292964</v>
      </c>
      <c r="CW144" s="36">
        <f t="shared" ref="CW144" si="952">+CW143</f>
        <v>1042071.6984949906</v>
      </c>
      <c r="CX144" s="36">
        <f t="shared" ref="CX144" si="953">+CX143</f>
        <v>1088834.7986137439</v>
      </c>
      <c r="CY144" s="36">
        <f t="shared" ref="CY144" si="954">+CY143</f>
        <v>569538.10101045878</v>
      </c>
      <c r="CZ144" s="36">
        <f t="shared" ref="CZ144" si="955">+CZ143</f>
        <v>1427257.1777697054</v>
      </c>
      <c r="DA144" s="36">
        <f t="shared" ref="DA144" si="956">+DA143</f>
        <v>2175353.3654825441</v>
      </c>
      <c r="DB144" s="36">
        <f t="shared" ref="DB144" si="957">+DB143</f>
        <v>1840923.6504849857</v>
      </c>
      <c r="DC144" s="36">
        <f t="shared" ref="DC144" si="958">+DC143</f>
        <v>843554.87900399347</v>
      </c>
      <c r="DD144" s="36">
        <f t="shared" ref="DD144" si="959">+DD143</f>
        <v>885055.56052795169</v>
      </c>
      <c r="DE144" s="36">
        <f t="shared" ref="DE144" si="960">+DE143</f>
        <v>601628.72280859086</v>
      </c>
      <c r="DF144" s="36">
        <f t="shared" ref="DF144" si="961">+DF143</f>
        <v>728477.12884890125</v>
      </c>
      <c r="DG144" s="36">
        <f t="shared" ref="DG144" si="962">+DG143</f>
        <v>245459.7363871102</v>
      </c>
    </row>
    <row r="145" spans="1:111" x14ac:dyDescent="0.3">
      <c r="B145" s="1" t="s">
        <v>25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3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547"/>
      <c r="AK145" s="2"/>
      <c r="AM145" s="162"/>
      <c r="AY145" s="162"/>
      <c r="BK145" s="162"/>
      <c r="BW145" s="162"/>
      <c r="CI145" s="162"/>
      <c r="CU145" s="162"/>
    </row>
    <row r="146" spans="1:111" x14ac:dyDescent="0.3">
      <c r="B146" s="1" t="s">
        <v>277</v>
      </c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37"/>
      <c r="O146" s="2"/>
      <c r="P146" s="2"/>
      <c r="Q146" s="91">
        <v>0</v>
      </c>
      <c r="R146" s="91">
        <v>0</v>
      </c>
      <c r="S146" s="91">
        <v>0</v>
      </c>
      <c r="T146" s="91">
        <v>0</v>
      </c>
      <c r="U146" s="91">
        <v>0</v>
      </c>
      <c r="V146" s="91">
        <v>0</v>
      </c>
      <c r="W146" s="91">
        <v>0</v>
      </c>
      <c r="X146" s="91">
        <v>0</v>
      </c>
      <c r="Y146" s="91">
        <v>0</v>
      </c>
      <c r="Z146" s="91">
        <v>0</v>
      </c>
      <c r="AA146" s="91">
        <v>0</v>
      </c>
      <c r="AB146" s="91">
        <v>0</v>
      </c>
      <c r="AC146" s="91">
        <v>0</v>
      </c>
      <c r="AD146" s="91">
        <v>0</v>
      </c>
      <c r="AE146" s="91">
        <v>0</v>
      </c>
      <c r="AF146" s="91">
        <v>0</v>
      </c>
      <c r="AG146" s="91">
        <v>0</v>
      </c>
      <c r="AH146" s="91">
        <v>0</v>
      </c>
      <c r="AI146" s="91">
        <v>0</v>
      </c>
      <c r="AJ146" s="163">
        <v>0</v>
      </c>
      <c r="AK146" s="2"/>
      <c r="AM146" s="162"/>
      <c r="AY146" s="162"/>
      <c r="BK146" s="162"/>
      <c r="BW146" s="162"/>
      <c r="CI146" s="162"/>
      <c r="CU146" s="162"/>
    </row>
    <row r="147" spans="1:111" x14ac:dyDescent="0.3">
      <c r="B147" s="1" t="s">
        <v>278</v>
      </c>
      <c r="C147" s="1"/>
      <c r="D147" s="2">
        <v>0</v>
      </c>
      <c r="E147" s="2">
        <v>0</v>
      </c>
      <c r="F147" s="2">
        <v>0</v>
      </c>
      <c r="G147" s="2">
        <v>100</v>
      </c>
      <c r="H147" s="2">
        <v>100</v>
      </c>
      <c r="I147" s="2">
        <v>100</v>
      </c>
      <c r="J147" s="2">
        <v>600</v>
      </c>
      <c r="K147" s="2">
        <v>600</v>
      </c>
      <c r="L147" s="2">
        <v>1250</v>
      </c>
      <c r="M147" s="2">
        <v>1550</v>
      </c>
      <c r="N147" s="137">
        <v>1550</v>
      </c>
      <c r="O147" s="2">
        <v>3050</v>
      </c>
      <c r="P147" s="2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-10000</v>
      </c>
      <c r="AB147" s="91">
        <v>-10000</v>
      </c>
      <c r="AC147" s="91">
        <v>-20000</v>
      </c>
      <c r="AD147" s="91">
        <v>-20000</v>
      </c>
      <c r="AE147" s="91">
        <v>-45000</v>
      </c>
      <c r="AF147" s="91">
        <v>-45000</v>
      </c>
      <c r="AG147" s="91">
        <v>-45000</v>
      </c>
      <c r="AH147" s="91">
        <v>-45000</v>
      </c>
      <c r="AI147" s="91">
        <v>-45000</v>
      </c>
      <c r="AJ147" s="163">
        <v>-45000</v>
      </c>
      <c r="AK147" s="91">
        <f t="shared" ref="AK147" si="963">+AJ147</f>
        <v>-45000</v>
      </c>
      <c r="AL147" s="91">
        <f t="shared" ref="AL147" si="964">+AK147</f>
        <v>-45000</v>
      </c>
      <c r="AM147" s="386">
        <f t="shared" ref="AM147:BR147" si="965">+IF(MONTH(AM3)=12,AL147-((SUM(AB$90:AM$90)*0.2)/2)-AM150, AL147-AM150)</f>
        <v>-48297.883946384914</v>
      </c>
      <c r="AN147" s="91">
        <f t="shared" si="965"/>
        <v>-48297.883946384914</v>
      </c>
      <c r="AO147" s="91">
        <f t="shared" si="965"/>
        <v>-48297.883946384914</v>
      </c>
      <c r="AP147" s="91">
        <f t="shared" si="965"/>
        <v>-48297.883946384914</v>
      </c>
      <c r="AQ147" s="91">
        <f t="shared" si="965"/>
        <v>-48297.883946384914</v>
      </c>
      <c r="AR147" s="91">
        <f t="shared" si="965"/>
        <v>-48297.883946384914</v>
      </c>
      <c r="AS147" s="91">
        <f t="shared" si="965"/>
        <v>-48297.883946384914</v>
      </c>
      <c r="AT147" s="91">
        <f t="shared" si="965"/>
        <v>-48297.883946384914</v>
      </c>
      <c r="AU147" s="91">
        <f t="shared" si="965"/>
        <v>-48297.883946384914</v>
      </c>
      <c r="AV147" s="91">
        <f t="shared" si="965"/>
        <v>-48297.883946384914</v>
      </c>
      <c r="AW147" s="91">
        <f t="shared" si="965"/>
        <v>-48297.883946384914</v>
      </c>
      <c r="AX147" s="91">
        <f t="shared" si="965"/>
        <v>-48297.883946384914</v>
      </c>
      <c r="AY147" s="386">
        <f t="shared" si="965"/>
        <v>-76381.415311002464</v>
      </c>
      <c r="AZ147" s="91">
        <f t="shared" si="965"/>
        <v>-76381.415311002464</v>
      </c>
      <c r="BA147" s="91">
        <f t="shared" si="965"/>
        <v>-76381.415311002464</v>
      </c>
      <c r="BB147" s="91">
        <f t="shared" si="965"/>
        <v>-76381.415311002464</v>
      </c>
      <c r="BC147" s="91">
        <f t="shared" si="965"/>
        <v>-76381.415311002464</v>
      </c>
      <c r="BD147" s="91">
        <f t="shared" si="965"/>
        <v>-76381.415311002464</v>
      </c>
      <c r="BE147" s="91">
        <f t="shared" si="965"/>
        <v>-76381.415311002464</v>
      </c>
      <c r="BF147" s="91">
        <f t="shared" si="965"/>
        <v>-76381.415311002464</v>
      </c>
      <c r="BG147" s="91">
        <f t="shared" si="965"/>
        <v>-76381.415311002464</v>
      </c>
      <c r="BH147" s="91">
        <f t="shared" si="965"/>
        <v>-76381.415311002464</v>
      </c>
      <c r="BI147" s="91">
        <f t="shared" si="965"/>
        <v>-76381.415311002464</v>
      </c>
      <c r="BJ147" s="91">
        <f t="shared" si="965"/>
        <v>-76381.415311002464</v>
      </c>
      <c r="BK147" s="386">
        <f t="shared" si="965"/>
        <v>-161894.39842620661</v>
      </c>
      <c r="BL147" s="91">
        <f t="shared" si="965"/>
        <v>-161894.39842620661</v>
      </c>
      <c r="BM147" s="91">
        <f t="shared" si="965"/>
        <v>-161894.39842620661</v>
      </c>
      <c r="BN147" s="91">
        <f t="shared" si="965"/>
        <v>-161894.39842620661</v>
      </c>
      <c r="BO147" s="91">
        <f t="shared" si="965"/>
        <v>-161894.39842620661</v>
      </c>
      <c r="BP147" s="91">
        <f t="shared" si="965"/>
        <v>-161894.39842620661</v>
      </c>
      <c r="BQ147" s="91">
        <f t="shared" si="965"/>
        <v>-161894.39842620661</v>
      </c>
      <c r="BR147" s="91">
        <f t="shared" si="965"/>
        <v>-161894.39842620661</v>
      </c>
      <c r="BS147" s="91">
        <f t="shared" ref="BS147:CX147" si="966">+IF(MONTH(BS3)=12,BR147-((SUM(BH$90:BS$90)*0.2)/2)-BS150, BR147-BS150)</f>
        <v>-161894.39842620661</v>
      </c>
      <c r="BT147" s="91">
        <f t="shared" si="966"/>
        <v>-161894.39842620661</v>
      </c>
      <c r="BU147" s="91">
        <f t="shared" si="966"/>
        <v>-161894.39842620661</v>
      </c>
      <c r="BV147" s="91">
        <f t="shared" si="966"/>
        <v>-161894.39842620661</v>
      </c>
      <c r="BW147" s="386">
        <f t="shared" si="966"/>
        <v>-295809.12895996019</v>
      </c>
      <c r="BX147" s="91">
        <f t="shared" si="966"/>
        <v>-295809.12895996019</v>
      </c>
      <c r="BY147" s="91">
        <f t="shared" si="966"/>
        <v>-295809.12895996019</v>
      </c>
      <c r="BZ147" s="91">
        <f t="shared" si="966"/>
        <v>-295809.12895996019</v>
      </c>
      <c r="CA147" s="91">
        <f t="shared" si="966"/>
        <v>-295809.12895996019</v>
      </c>
      <c r="CB147" s="91">
        <f t="shared" si="966"/>
        <v>-295809.12895996019</v>
      </c>
      <c r="CC147" s="91">
        <f t="shared" si="966"/>
        <v>-295809.12895996019</v>
      </c>
      <c r="CD147" s="91">
        <f t="shared" si="966"/>
        <v>-295809.12895996019</v>
      </c>
      <c r="CE147" s="91">
        <f t="shared" si="966"/>
        <v>-295809.12895996019</v>
      </c>
      <c r="CF147" s="91">
        <f t="shared" si="966"/>
        <v>-295809.12895996019</v>
      </c>
      <c r="CG147" s="91">
        <f t="shared" si="966"/>
        <v>-295809.12895996019</v>
      </c>
      <c r="CH147" s="91">
        <f t="shared" si="966"/>
        <v>-295809.12895996019</v>
      </c>
      <c r="CI147" s="386">
        <f t="shared" si="966"/>
        <v>-459215.17597354471</v>
      </c>
      <c r="CJ147" s="91">
        <f t="shared" si="966"/>
        <v>-459215.17597354471</v>
      </c>
      <c r="CK147" s="91">
        <f t="shared" si="966"/>
        <v>-459215.17597354471</v>
      </c>
      <c r="CL147" s="91">
        <f t="shared" si="966"/>
        <v>-459215.17597354471</v>
      </c>
      <c r="CM147" s="91">
        <f t="shared" si="966"/>
        <v>-459215.17597354471</v>
      </c>
      <c r="CN147" s="91">
        <f t="shared" si="966"/>
        <v>-459215.17597354471</v>
      </c>
      <c r="CO147" s="91">
        <f t="shared" si="966"/>
        <v>-459215.17597354471</v>
      </c>
      <c r="CP147" s="91">
        <f t="shared" si="966"/>
        <v>-459215.17597354471</v>
      </c>
      <c r="CQ147" s="91">
        <f t="shared" si="966"/>
        <v>-459215.17597354471</v>
      </c>
      <c r="CR147" s="91">
        <f t="shared" si="966"/>
        <v>-459215.17597354471</v>
      </c>
      <c r="CS147" s="91">
        <f t="shared" si="966"/>
        <v>-459215.17597354471</v>
      </c>
      <c r="CT147" s="91">
        <f t="shared" si="966"/>
        <v>-459215.17597354471</v>
      </c>
      <c r="CU147" s="386">
        <f t="shared" si="966"/>
        <v>-674218.49076520198</v>
      </c>
      <c r="CV147" s="91">
        <f t="shared" si="966"/>
        <v>-674218.49076520198</v>
      </c>
      <c r="CW147" s="91">
        <f t="shared" si="966"/>
        <v>-674218.49076520198</v>
      </c>
      <c r="CX147" s="91">
        <f t="shared" si="966"/>
        <v>-674218.49076520198</v>
      </c>
      <c r="CY147" s="91">
        <f t="shared" ref="CY147:DG147" si="967">+IF(MONTH(CY3)=12,CX147-((SUM(CN$90:CY$90)*0.2)/2)-CY150, CX147-CY150)</f>
        <v>-674218.49076520198</v>
      </c>
      <c r="CZ147" s="91">
        <f t="shared" si="967"/>
        <v>-674218.49076520198</v>
      </c>
      <c r="DA147" s="91">
        <f t="shared" si="967"/>
        <v>-674218.49076520198</v>
      </c>
      <c r="DB147" s="91">
        <f t="shared" si="967"/>
        <v>-674218.49076520198</v>
      </c>
      <c r="DC147" s="91">
        <f t="shared" si="967"/>
        <v>-674218.49076520198</v>
      </c>
      <c r="DD147" s="91">
        <f t="shared" si="967"/>
        <v>-674218.49076520198</v>
      </c>
      <c r="DE147" s="91">
        <f t="shared" si="967"/>
        <v>-674218.49076520198</v>
      </c>
      <c r="DF147" s="91">
        <f t="shared" si="967"/>
        <v>-674218.49076520198</v>
      </c>
      <c r="DG147" s="386">
        <f t="shared" si="967"/>
        <v>-1023110.1802434019</v>
      </c>
    </row>
    <row r="148" spans="1:111" x14ac:dyDescent="0.3">
      <c r="B148" s="1" t="s">
        <v>279</v>
      </c>
      <c r="C148" s="1"/>
      <c r="D148" s="2">
        <v>0</v>
      </c>
      <c r="E148" s="2">
        <v>12</v>
      </c>
      <c r="F148" s="2">
        <v>23.83</v>
      </c>
      <c r="G148" s="2">
        <v>35.83</v>
      </c>
      <c r="H148" s="2">
        <v>167.83</v>
      </c>
      <c r="I148" s="2">
        <v>985.19</v>
      </c>
      <c r="J148" s="2">
        <v>1997.19</v>
      </c>
      <c r="K148" s="2">
        <v>2009.19</v>
      </c>
      <c r="L148" s="2">
        <v>2121.19</v>
      </c>
      <c r="M148" s="2">
        <v>2133.19</v>
      </c>
      <c r="N148" s="137">
        <v>2145.19</v>
      </c>
      <c r="O148" s="2">
        <v>3745.19</v>
      </c>
      <c r="P148" s="2">
        <v>0</v>
      </c>
      <c r="Q148" s="91">
        <v>0</v>
      </c>
      <c r="R148" s="288">
        <v>0</v>
      </c>
      <c r="S148" s="288">
        <v>0</v>
      </c>
      <c r="T148" s="288">
        <v>0</v>
      </c>
      <c r="U148" s="288">
        <v>0</v>
      </c>
      <c r="V148" s="288">
        <v>0</v>
      </c>
      <c r="W148" s="288">
        <v>0</v>
      </c>
      <c r="X148" s="288">
        <v>0</v>
      </c>
      <c r="Y148" s="288">
        <v>0</v>
      </c>
      <c r="Z148" s="288">
        <v>-10000</v>
      </c>
      <c r="AA148" s="288">
        <v>-10000</v>
      </c>
      <c r="AB148" s="288">
        <v>-10000</v>
      </c>
      <c r="AC148" s="288">
        <v>-20000</v>
      </c>
      <c r="AD148" s="288">
        <v>-20000</v>
      </c>
      <c r="AE148" s="288">
        <v>-45000</v>
      </c>
      <c r="AF148" s="288">
        <v>-45000</v>
      </c>
      <c r="AG148" s="288">
        <v>-45000</v>
      </c>
      <c r="AH148" s="288">
        <v>-45000</v>
      </c>
      <c r="AI148" s="288">
        <v>-45000</v>
      </c>
      <c r="AJ148" s="545">
        <v>-45000</v>
      </c>
      <c r="AK148" s="91">
        <f t="shared" ref="AK148" si="968">+AJ148</f>
        <v>-45000</v>
      </c>
      <c r="AL148" s="91">
        <f t="shared" ref="AL148" si="969">+AK148</f>
        <v>-45000</v>
      </c>
      <c r="AM148" s="386">
        <f t="shared" ref="AM148:BR148" si="970">+IF(MONTH(AM3)=12,AL148-((SUM(AB$90:AM$90)*0.2)/2)-AM151, AL148-AM151)</f>
        <v>-48297.883946384914</v>
      </c>
      <c r="AN148" s="91">
        <f t="shared" si="970"/>
        <v>-48297.883946384914</v>
      </c>
      <c r="AO148" s="91">
        <f t="shared" si="970"/>
        <v>-48297.883946384914</v>
      </c>
      <c r="AP148" s="91">
        <f t="shared" si="970"/>
        <v>-48297.883946384914</v>
      </c>
      <c r="AQ148" s="91">
        <f t="shared" si="970"/>
        <v>-48297.883946384914</v>
      </c>
      <c r="AR148" s="91">
        <f t="shared" si="970"/>
        <v>-48297.883946384914</v>
      </c>
      <c r="AS148" s="91">
        <f t="shared" si="970"/>
        <v>-48297.883946384914</v>
      </c>
      <c r="AT148" s="91">
        <f t="shared" si="970"/>
        <v>-48297.883946384914</v>
      </c>
      <c r="AU148" s="91">
        <f t="shared" si="970"/>
        <v>-48297.883946384914</v>
      </c>
      <c r="AV148" s="91">
        <f t="shared" si="970"/>
        <v>-48297.883946384914</v>
      </c>
      <c r="AW148" s="91">
        <f t="shared" si="970"/>
        <v>-48297.883946384914</v>
      </c>
      <c r="AX148" s="91">
        <f t="shared" si="970"/>
        <v>-48297.883946384914</v>
      </c>
      <c r="AY148" s="386">
        <f t="shared" si="970"/>
        <v>-76381.415311002464</v>
      </c>
      <c r="AZ148" s="91">
        <f t="shared" si="970"/>
        <v>-76381.415311002464</v>
      </c>
      <c r="BA148" s="91">
        <f t="shared" si="970"/>
        <v>-76381.415311002464</v>
      </c>
      <c r="BB148" s="91">
        <f t="shared" si="970"/>
        <v>-76381.415311002464</v>
      </c>
      <c r="BC148" s="91">
        <f t="shared" si="970"/>
        <v>-76381.415311002464</v>
      </c>
      <c r="BD148" s="91">
        <f t="shared" si="970"/>
        <v>-76381.415311002464</v>
      </c>
      <c r="BE148" s="91">
        <f t="shared" si="970"/>
        <v>-76381.415311002464</v>
      </c>
      <c r="BF148" s="91">
        <f t="shared" si="970"/>
        <v>-76381.415311002464</v>
      </c>
      <c r="BG148" s="91">
        <f t="shared" si="970"/>
        <v>-76381.415311002464</v>
      </c>
      <c r="BH148" s="91">
        <f t="shared" si="970"/>
        <v>-76381.415311002464</v>
      </c>
      <c r="BI148" s="91">
        <f t="shared" si="970"/>
        <v>-76381.415311002464</v>
      </c>
      <c r="BJ148" s="91">
        <f t="shared" si="970"/>
        <v>-76381.415311002464</v>
      </c>
      <c r="BK148" s="386">
        <f t="shared" si="970"/>
        <v>-161894.39842620661</v>
      </c>
      <c r="BL148" s="91">
        <f t="shared" si="970"/>
        <v>-161894.39842620661</v>
      </c>
      <c r="BM148" s="91">
        <f t="shared" si="970"/>
        <v>-161894.39842620661</v>
      </c>
      <c r="BN148" s="91">
        <f t="shared" si="970"/>
        <v>-161894.39842620661</v>
      </c>
      <c r="BO148" s="91">
        <f t="shared" si="970"/>
        <v>-161894.39842620661</v>
      </c>
      <c r="BP148" s="91">
        <f t="shared" si="970"/>
        <v>-161894.39842620661</v>
      </c>
      <c r="BQ148" s="91">
        <f t="shared" si="970"/>
        <v>-161894.39842620661</v>
      </c>
      <c r="BR148" s="91">
        <f t="shared" si="970"/>
        <v>-161894.39842620661</v>
      </c>
      <c r="BS148" s="91">
        <f t="shared" ref="BS148:CX148" si="971">+IF(MONTH(BS3)=12,BR148-((SUM(BH$90:BS$90)*0.2)/2)-BS151, BR148-BS151)</f>
        <v>-161894.39842620661</v>
      </c>
      <c r="BT148" s="91">
        <f t="shared" si="971"/>
        <v>-161894.39842620661</v>
      </c>
      <c r="BU148" s="91">
        <f t="shared" si="971"/>
        <v>-161894.39842620661</v>
      </c>
      <c r="BV148" s="91">
        <f t="shared" si="971"/>
        <v>-161894.39842620661</v>
      </c>
      <c r="BW148" s="386">
        <f t="shared" si="971"/>
        <v>-295809.12895996019</v>
      </c>
      <c r="BX148" s="91">
        <f t="shared" si="971"/>
        <v>-295809.12895996019</v>
      </c>
      <c r="BY148" s="91">
        <f t="shared" si="971"/>
        <v>-295809.12895996019</v>
      </c>
      <c r="BZ148" s="91">
        <f t="shared" si="971"/>
        <v>-295809.12895996019</v>
      </c>
      <c r="CA148" s="91">
        <f t="shared" si="971"/>
        <v>-295809.12895996019</v>
      </c>
      <c r="CB148" s="91">
        <f t="shared" si="971"/>
        <v>-295809.12895996019</v>
      </c>
      <c r="CC148" s="91">
        <f t="shared" si="971"/>
        <v>-295809.12895996019</v>
      </c>
      <c r="CD148" s="91">
        <f t="shared" si="971"/>
        <v>-295809.12895996019</v>
      </c>
      <c r="CE148" s="91">
        <f t="shared" si="971"/>
        <v>-295809.12895996019</v>
      </c>
      <c r="CF148" s="91">
        <f t="shared" si="971"/>
        <v>-295809.12895996019</v>
      </c>
      <c r="CG148" s="91">
        <f t="shared" si="971"/>
        <v>-295809.12895996019</v>
      </c>
      <c r="CH148" s="91">
        <f t="shared" si="971"/>
        <v>-295809.12895996019</v>
      </c>
      <c r="CI148" s="386">
        <f t="shared" si="971"/>
        <v>-459215.17597354471</v>
      </c>
      <c r="CJ148" s="91">
        <f t="shared" si="971"/>
        <v>-459215.17597354471</v>
      </c>
      <c r="CK148" s="91">
        <f t="shared" si="971"/>
        <v>-459215.17597354471</v>
      </c>
      <c r="CL148" s="91">
        <f t="shared" si="971"/>
        <v>-459215.17597354471</v>
      </c>
      <c r="CM148" s="91">
        <f t="shared" si="971"/>
        <v>-459215.17597354471</v>
      </c>
      <c r="CN148" s="91">
        <f t="shared" si="971"/>
        <v>-459215.17597354471</v>
      </c>
      <c r="CO148" s="91">
        <f t="shared" si="971"/>
        <v>-459215.17597354471</v>
      </c>
      <c r="CP148" s="91">
        <f t="shared" si="971"/>
        <v>-459215.17597354471</v>
      </c>
      <c r="CQ148" s="91">
        <f t="shared" si="971"/>
        <v>-459215.17597354471</v>
      </c>
      <c r="CR148" s="91">
        <f t="shared" si="971"/>
        <v>-459215.17597354471</v>
      </c>
      <c r="CS148" s="91">
        <f t="shared" si="971"/>
        <v>-459215.17597354471</v>
      </c>
      <c r="CT148" s="91">
        <f t="shared" si="971"/>
        <v>-459215.17597354471</v>
      </c>
      <c r="CU148" s="386">
        <f t="shared" si="971"/>
        <v>-674218.49076520198</v>
      </c>
      <c r="CV148" s="91">
        <f t="shared" si="971"/>
        <v>-674218.49076520198</v>
      </c>
      <c r="CW148" s="91">
        <f t="shared" si="971"/>
        <v>-674218.49076520198</v>
      </c>
      <c r="CX148" s="91">
        <f t="shared" si="971"/>
        <v>-674218.49076520198</v>
      </c>
      <c r="CY148" s="91">
        <f t="shared" ref="CY148:DG148" si="972">+IF(MONTH(CY3)=12,CX148-((SUM(CN$90:CY$90)*0.2)/2)-CY151, CX148-CY151)</f>
        <v>-674218.49076520198</v>
      </c>
      <c r="CZ148" s="91">
        <f t="shared" si="972"/>
        <v>-674218.49076520198</v>
      </c>
      <c r="DA148" s="91">
        <f t="shared" si="972"/>
        <v>-674218.49076520198</v>
      </c>
      <c r="DB148" s="91">
        <f t="shared" si="972"/>
        <v>-674218.49076520198</v>
      </c>
      <c r="DC148" s="91">
        <f t="shared" si="972"/>
        <v>-674218.49076520198</v>
      </c>
      <c r="DD148" s="91">
        <f t="shared" si="972"/>
        <v>-674218.49076520198</v>
      </c>
      <c r="DE148" s="91">
        <f t="shared" si="972"/>
        <v>-674218.49076520198</v>
      </c>
      <c r="DF148" s="91">
        <f t="shared" si="972"/>
        <v>-674218.49076520198</v>
      </c>
      <c r="DG148" s="386">
        <f t="shared" si="972"/>
        <v>-1023110.1802434019</v>
      </c>
    </row>
    <row r="149" spans="1:111" x14ac:dyDescent="0.3">
      <c r="A149" s="5"/>
      <c r="B149" s="6" t="s">
        <v>280</v>
      </c>
      <c r="C149" s="6"/>
      <c r="D149" s="36">
        <f t="shared" ref="D149:N149" si="973">SUM(D147:D148)</f>
        <v>0</v>
      </c>
      <c r="E149" s="36">
        <f t="shared" si="973"/>
        <v>12</v>
      </c>
      <c r="F149" s="36">
        <f t="shared" si="973"/>
        <v>23.83</v>
      </c>
      <c r="G149" s="36">
        <f t="shared" si="973"/>
        <v>135.82999999999998</v>
      </c>
      <c r="H149" s="36">
        <f t="shared" si="973"/>
        <v>267.83000000000004</v>
      </c>
      <c r="I149" s="36">
        <f t="shared" si="973"/>
        <v>1085.19</v>
      </c>
      <c r="J149" s="36">
        <f t="shared" si="973"/>
        <v>2597.19</v>
      </c>
      <c r="K149" s="36">
        <f t="shared" si="973"/>
        <v>2609.19</v>
      </c>
      <c r="L149" s="36">
        <f t="shared" si="973"/>
        <v>3371.19</v>
      </c>
      <c r="M149" s="36">
        <f t="shared" si="973"/>
        <v>3683.19</v>
      </c>
      <c r="N149" s="36">
        <f t="shared" si="973"/>
        <v>3695.19</v>
      </c>
      <c r="O149" s="36">
        <f>SUM(O147:O148)</f>
        <v>6795.1900000000005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f>SUM(X146:X148)</f>
        <v>0</v>
      </c>
      <c r="Y149" s="36">
        <f t="shared" ref="Y149:CJ149" si="974">SUM(Y146:Y148)</f>
        <v>0</v>
      </c>
      <c r="Z149" s="36">
        <f t="shared" si="974"/>
        <v>-10000</v>
      </c>
      <c r="AA149" s="36">
        <f t="shared" si="974"/>
        <v>-20000</v>
      </c>
      <c r="AB149" s="36">
        <f t="shared" si="974"/>
        <v>-20000</v>
      </c>
      <c r="AC149" s="36">
        <f t="shared" ref="AC149" si="975">SUM(AC146:AC148)</f>
        <v>-40000</v>
      </c>
      <c r="AD149" s="36">
        <f t="shared" ref="AD149:AE149" si="976">SUM(AD146:AD148)</f>
        <v>-40000</v>
      </c>
      <c r="AE149" s="36">
        <f t="shared" si="976"/>
        <v>-90000</v>
      </c>
      <c r="AF149" s="36">
        <f t="shared" ref="AF149:AG149" si="977">SUM(AF146:AF148)</f>
        <v>-90000</v>
      </c>
      <c r="AG149" s="36">
        <f t="shared" si="977"/>
        <v>-90000</v>
      </c>
      <c r="AH149" s="36">
        <f t="shared" ref="AH149:AI149" si="978">SUM(AH146:AH148)</f>
        <v>-90000</v>
      </c>
      <c r="AI149" s="36">
        <f t="shared" si="978"/>
        <v>-90000</v>
      </c>
      <c r="AJ149" s="167">
        <f t="shared" ref="AJ149" si="979">SUM(AJ146:AJ148)</f>
        <v>-90000</v>
      </c>
      <c r="AK149" s="36">
        <f t="shared" ref="AK149" si="980">SUM(AK146:AK148)</f>
        <v>-90000</v>
      </c>
      <c r="AL149" s="36">
        <f t="shared" si="974"/>
        <v>-90000</v>
      </c>
      <c r="AM149" s="167">
        <f t="shared" si="974"/>
        <v>-96595.767892769829</v>
      </c>
      <c r="AN149" s="36">
        <f t="shared" si="974"/>
        <v>-96595.767892769829</v>
      </c>
      <c r="AO149" s="36">
        <f t="shared" si="974"/>
        <v>-96595.767892769829</v>
      </c>
      <c r="AP149" s="36">
        <f t="shared" si="974"/>
        <v>-96595.767892769829</v>
      </c>
      <c r="AQ149" s="36">
        <f t="shared" si="974"/>
        <v>-96595.767892769829</v>
      </c>
      <c r="AR149" s="36">
        <f t="shared" si="974"/>
        <v>-96595.767892769829</v>
      </c>
      <c r="AS149" s="36">
        <f t="shared" si="974"/>
        <v>-96595.767892769829</v>
      </c>
      <c r="AT149" s="36">
        <f t="shared" si="974"/>
        <v>-96595.767892769829</v>
      </c>
      <c r="AU149" s="36">
        <f t="shared" si="974"/>
        <v>-96595.767892769829</v>
      </c>
      <c r="AV149" s="36">
        <f t="shared" si="974"/>
        <v>-96595.767892769829</v>
      </c>
      <c r="AW149" s="36">
        <f t="shared" si="974"/>
        <v>-96595.767892769829</v>
      </c>
      <c r="AX149" s="36">
        <f t="shared" si="974"/>
        <v>-96595.767892769829</v>
      </c>
      <c r="AY149" s="167">
        <f t="shared" si="974"/>
        <v>-152762.83062200493</v>
      </c>
      <c r="AZ149" s="36">
        <f t="shared" si="974"/>
        <v>-152762.83062200493</v>
      </c>
      <c r="BA149" s="36">
        <f t="shared" si="974"/>
        <v>-152762.83062200493</v>
      </c>
      <c r="BB149" s="36">
        <f t="shared" si="974"/>
        <v>-152762.83062200493</v>
      </c>
      <c r="BC149" s="36">
        <f t="shared" si="974"/>
        <v>-152762.83062200493</v>
      </c>
      <c r="BD149" s="36">
        <f t="shared" si="974"/>
        <v>-152762.83062200493</v>
      </c>
      <c r="BE149" s="36">
        <f t="shared" si="974"/>
        <v>-152762.83062200493</v>
      </c>
      <c r="BF149" s="36">
        <f t="shared" si="974"/>
        <v>-152762.83062200493</v>
      </c>
      <c r="BG149" s="36">
        <f t="shared" si="974"/>
        <v>-152762.83062200493</v>
      </c>
      <c r="BH149" s="36">
        <f t="shared" si="974"/>
        <v>-152762.83062200493</v>
      </c>
      <c r="BI149" s="36">
        <f t="shared" si="974"/>
        <v>-152762.83062200493</v>
      </c>
      <c r="BJ149" s="36">
        <f t="shared" si="974"/>
        <v>-152762.83062200493</v>
      </c>
      <c r="BK149" s="167">
        <f t="shared" si="974"/>
        <v>-323788.79685241322</v>
      </c>
      <c r="BL149" s="36">
        <f t="shared" si="974"/>
        <v>-323788.79685241322</v>
      </c>
      <c r="BM149" s="36">
        <f t="shared" si="974"/>
        <v>-323788.79685241322</v>
      </c>
      <c r="BN149" s="36">
        <f t="shared" si="974"/>
        <v>-323788.79685241322</v>
      </c>
      <c r="BO149" s="36">
        <f t="shared" si="974"/>
        <v>-323788.79685241322</v>
      </c>
      <c r="BP149" s="36">
        <f t="shared" si="974"/>
        <v>-323788.79685241322</v>
      </c>
      <c r="BQ149" s="36">
        <f t="shared" si="974"/>
        <v>-323788.79685241322</v>
      </c>
      <c r="BR149" s="36">
        <f t="shared" si="974"/>
        <v>-323788.79685241322</v>
      </c>
      <c r="BS149" s="36">
        <f t="shared" si="974"/>
        <v>-323788.79685241322</v>
      </c>
      <c r="BT149" s="36">
        <f t="shared" si="974"/>
        <v>-323788.79685241322</v>
      </c>
      <c r="BU149" s="36">
        <f t="shared" si="974"/>
        <v>-323788.79685241322</v>
      </c>
      <c r="BV149" s="36">
        <f t="shared" si="974"/>
        <v>-323788.79685241322</v>
      </c>
      <c r="BW149" s="167">
        <f t="shared" si="974"/>
        <v>-591618.25791992038</v>
      </c>
      <c r="BX149" s="36">
        <f t="shared" si="974"/>
        <v>-591618.25791992038</v>
      </c>
      <c r="BY149" s="36">
        <f t="shared" si="974"/>
        <v>-591618.25791992038</v>
      </c>
      <c r="BZ149" s="36">
        <f t="shared" si="974"/>
        <v>-591618.25791992038</v>
      </c>
      <c r="CA149" s="36">
        <f t="shared" si="974"/>
        <v>-591618.25791992038</v>
      </c>
      <c r="CB149" s="36">
        <f t="shared" si="974"/>
        <v>-591618.25791992038</v>
      </c>
      <c r="CC149" s="36">
        <f t="shared" si="974"/>
        <v>-591618.25791992038</v>
      </c>
      <c r="CD149" s="36">
        <f t="shared" si="974"/>
        <v>-591618.25791992038</v>
      </c>
      <c r="CE149" s="36">
        <f t="shared" si="974"/>
        <v>-591618.25791992038</v>
      </c>
      <c r="CF149" s="36">
        <f t="shared" si="974"/>
        <v>-591618.25791992038</v>
      </c>
      <c r="CG149" s="36">
        <f t="shared" si="974"/>
        <v>-591618.25791992038</v>
      </c>
      <c r="CH149" s="36">
        <f t="shared" si="974"/>
        <v>-591618.25791992038</v>
      </c>
      <c r="CI149" s="167">
        <f t="shared" si="974"/>
        <v>-918430.35194708942</v>
      </c>
      <c r="CJ149" s="36">
        <f t="shared" si="974"/>
        <v>-918430.35194708942</v>
      </c>
      <c r="CK149" s="36">
        <f t="shared" ref="CK149:DG149" si="981">SUM(CK146:CK148)</f>
        <v>-918430.35194708942</v>
      </c>
      <c r="CL149" s="36">
        <f t="shared" si="981"/>
        <v>-918430.35194708942</v>
      </c>
      <c r="CM149" s="36">
        <f t="shared" si="981"/>
        <v>-918430.35194708942</v>
      </c>
      <c r="CN149" s="36">
        <f t="shared" si="981"/>
        <v>-918430.35194708942</v>
      </c>
      <c r="CO149" s="36">
        <f t="shared" si="981"/>
        <v>-918430.35194708942</v>
      </c>
      <c r="CP149" s="36">
        <f t="shared" si="981"/>
        <v>-918430.35194708942</v>
      </c>
      <c r="CQ149" s="36">
        <f t="shared" si="981"/>
        <v>-918430.35194708942</v>
      </c>
      <c r="CR149" s="36">
        <f t="shared" si="981"/>
        <v>-918430.35194708942</v>
      </c>
      <c r="CS149" s="36">
        <f t="shared" si="981"/>
        <v>-918430.35194708942</v>
      </c>
      <c r="CT149" s="36">
        <f t="shared" si="981"/>
        <v>-918430.35194708942</v>
      </c>
      <c r="CU149" s="167">
        <f t="shared" si="981"/>
        <v>-1348436.981530404</v>
      </c>
      <c r="CV149" s="36">
        <f t="shared" si="981"/>
        <v>-1348436.981530404</v>
      </c>
      <c r="CW149" s="36">
        <f t="shared" si="981"/>
        <v>-1348436.981530404</v>
      </c>
      <c r="CX149" s="36">
        <f t="shared" si="981"/>
        <v>-1348436.981530404</v>
      </c>
      <c r="CY149" s="36">
        <f t="shared" si="981"/>
        <v>-1348436.981530404</v>
      </c>
      <c r="CZ149" s="36">
        <f t="shared" si="981"/>
        <v>-1348436.981530404</v>
      </c>
      <c r="DA149" s="36">
        <f t="shared" si="981"/>
        <v>-1348436.981530404</v>
      </c>
      <c r="DB149" s="36">
        <f t="shared" si="981"/>
        <v>-1348436.981530404</v>
      </c>
      <c r="DC149" s="36">
        <f t="shared" si="981"/>
        <v>-1348436.981530404</v>
      </c>
      <c r="DD149" s="36">
        <f t="shared" si="981"/>
        <v>-1348436.981530404</v>
      </c>
      <c r="DE149" s="36">
        <f t="shared" si="981"/>
        <v>-1348436.981530404</v>
      </c>
      <c r="DF149" s="36">
        <f t="shared" si="981"/>
        <v>-1348436.981530404</v>
      </c>
      <c r="DG149" s="36">
        <f t="shared" si="981"/>
        <v>-2046220.3604868038</v>
      </c>
    </row>
    <row r="150" spans="1:111" s="143" customFormat="1" x14ac:dyDescent="0.3">
      <c r="B150" s="464" t="s">
        <v>455</v>
      </c>
      <c r="C150" s="461"/>
      <c r="D150" s="462"/>
      <c r="E150" s="462"/>
      <c r="F150" s="462"/>
      <c r="G150" s="462"/>
      <c r="H150" s="462"/>
      <c r="I150" s="462"/>
      <c r="J150" s="462"/>
      <c r="K150" s="462"/>
      <c r="L150" s="462"/>
      <c r="M150" s="462"/>
      <c r="N150" s="462"/>
      <c r="O150" s="462"/>
      <c r="P150" s="462"/>
      <c r="Q150" s="462"/>
      <c r="R150" s="462"/>
      <c r="S150" s="462"/>
      <c r="T150" s="462"/>
      <c r="U150" s="462"/>
      <c r="V150" s="462"/>
      <c r="W150" s="462"/>
      <c r="X150" s="462"/>
      <c r="Y150" s="462"/>
      <c r="Z150" s="462"/>
      <c r="AA150" s="462"/>
      <c r="AB150" s="462"/>
      <c r="AC150" s="462"/>
      <c r="AD150" s="462"/>
      <c r="AE150" s="462"/>
      <c r="AF150" s="462"/>
      <c r="AG150" s="462"/>
      <c r="AH150" s="462"/>
      <c r="AI150" s="462"/>
      <c r="AJ150" s="463"/>
      <c r="AK150" s="462"/>
      <c r="AL150" s="462"/>
      <c r="AM150" s="463"/>
      <c r="AN150" s="462">
        <v>0</v>
      </c>
      <c r="AO150" s="462">
        <f t="shared" ref="AO150:BT150" si="982">+IF(AN1&lt;&gt;AO1, AN150*1.2, AN150)</f>
        <v>0</v>
      </c>
      <c r="AP150" s="462">
        <f t="shared" si="982"/>
        <v>0</v>
      </c>
      <c r="AQ150" s="462">
        <f t="shared" si="982"/>
        <v>0</v>
      </c>
      <c r="AR150" s="462">
        <f t="shared" si="982"/>
        <v>0</v>
      </c>
      <c r="AS150" s="462">
        <f t="shared" si="982"/>
        <v>0</v>
      </c>
      <c r="AT150" s="462">
        <f t="shared" si="982"/>
        <v>0</v>
      </c>
      <c r="AU150" s="462">
        <f t="shared" si="982"/>
        <v>0</v>
      </c>
      <c r="AV150" s="462">
        <f t="shared" si="982"/>
        <v>0</v>
      </c>
      <c r="AW150" s="462">
        <f t="shared" si="982"/>
        <v>0</v>
      </c>
      <c r="AX150" s="462">
        <f t="shared" si="982"/>
        <v>0</v>
      </c>
      <c r="AY150" s="463">
        <f t="shared" si="982"/>
        <v>0</v>
      </c>
      <c r="AZ150" s="465">
        <f t="shared" si="982"/>
        <v>0</v>
      </c>
      <c r="BA150" s="462">
        <f t="shared" si="982"/>
        <v>0</v>
      </c>
      <c r="BB150" s="462">
        <f t="shared" si="982"/>
        <v>0</v>
      </c>
      <c r="BC150" s="462">
        <f t="shared" si="982"/>
        <v>0</v>
      </c>
      <c r="BD150" s="462">
        <f t="shared" si="982"/>
        <v>0</v>
      </c>
      <c r="BE150" s="462">
        <f t="shared" si="982"/>
        <v>0</v>
      </c>
      <c r="BF150" s="462">
        <f t="shared" si="982"/>
        <v>0</v>
      </c>
      <c r="BG150" s="462">
        <f t="shared" si="982"/>
        <v>0</v>
      </c>
      <c r="BH150" s="462">
        <f t="shared" si="982"/>
        <v>0</v>
      </c>
      <c r="BI150" s="462">
        <f t="shared" si="982"/>
        <v>0</v>
      </c>
      <c r="BJ150" s="462">
        <f t="shared" si="982"/>
        <v>0</v>
      </c>
      <c r="BK150" s="463">
        <f t="shared" si="982"/>
        <v>0</v>
      </c>
      <c r="BL150" s="462">
        <f t="shared" si="982"/>
        <v>0</v>
      </c>
      <c r="BM150" s="462">
        <f t="shared" si="982"/>
        <v>0</v>
      </c>
      <c r="BN150" s="462">
        <f t="shared" si="982"/>
        <v>0</v>
      </c>
      <c r="BO150" s="462">
        <f t="shared" si="982"/>
        <v>0</v>
      </c>
      <c r="BP150" s="462">
        <f t="shared" si="982"/>
        <v>0</v>
      </c>
      <c r="BQ150" s="462">
        <f t="shared" si="982"/>
        <v>0</v>
      </c>
      <c r="BR150" s="462">
        <f t="shared" si="982"/>
        <v>0</v>
      </c>
      <c r="BS150" s="462">
        <f t="shared" si="982"/>
        <v>0</v>
      </c>
      <c r="BT150" s="462">
        <f t="shared" si="982"/>
        <v>0</v>
      </c>
      <c r="BU150" s="462">
        <f t="shared" ref="BU150:CZ150" si="983">+IF(BT1&lt;&gt;BU1, BT150*1.2, BT150)</f>
        <v>0</v>
      </c>
      <c r="BV150" s="462">
        <f t="shared" si="983"/>
        <v>0</v>
      </c>
      <c r="BW150" s="463">
        <f t="shared" si="983"/>
        <v>0</v>
      </c>
      <c r="BX150" s="462">
        <f t="shared" si="983"/>
        <v>0</v>
      </c>
      <c r="BY150" s="462">
        <f t="shared" si="983"/>
        <v>0</v>
      </c>
      <c r="BZ150" s="462">
        <f t="shared" si="983"/>
        <v>0</v>
      </c>
      <c r="CA150" s="462">
        <f t="shared" si="983"/>
        <v>0</v>
      </c>
      <c r="CB150" s="462">
        <f t="shared" si="983"/>
        <v>0</v>
      </c>
      <c r="CC150" s="462">
        <f t="shared" si="983"/>
        <v>0</v>
      </c>
      <c r="CD150" s="462">
        <f t="shared" si="983"/>
        <v>0</v>
      </c>
      <c r="CE150" s="462">
        <f t="shared" si="983"/>
        <v>0</v>
      </c>
      <c r="CF150" s="462">
        <f t="shared" si="983"/>
        <v>0</v>
      </c>
      <c r="CG150" s="462">
        <f t="shared" si="983"/>
        <v>0</v>
      </c>
      <c r="CH150" s="462">
        <f t="shared" si="983"/>
        <v>0</v>
      </c>
      <c r="CI150" s="463">
        <f t="shared" si="983"/>
        <v>0</v>
      </c>
      <c r="CJ150" s="462">
        <f t="shared" si="983"/>
        <v>0</v>
      </c>
      <c r="CK150" s="462">
        <f t="shared" si="983"/>
        <v>0</v>
      </c>
      <c r="CL150" s="462">
        <f t="shared" si="983"/>
        <v>0</v>
      </c>
      <c r="CM150" s="462">
        <f t="shared" si="983"/>
        <v>0</v>
      </c>
      <c r="CN150" s="462">
        <f t="shared" si="983"/>
        <v>0</v>
      </c>
      <c r="CO150" s="462">
        <f t="shared" si="983"/>
        <v>0</v>
      </c>
      <c r="CP150" s="462">
        <f t="shared" si="983"/>
        <v>0</v>
      </c>
      <c r="CQ150" s="462">
        <f t="shared" si="983"/>
        <v>0</v>
      </c>
      <c r="CR150" s="462">
        <f t="shared" si="983"/>
        <v>0</v>
      </c>
      <c r="CS150" s="462">
        <f t="shared" si="983"/>
        <v>0</v>
      </c>
      <c r="CT150" s="462">
        <f t="shared" si="983"/>
        <v>0</v>
      </c>
      <c r="CU150" s="463">
        <f t="shared" si="983"/>
        <v>0</v>
      </c>
      <c r="CV150" s="462">
        <f t="shared" si="983"/>
        <v>0</v>
      </c>
      <c r="CW150" s="462">
        <f t="shared" si="983"/>
        <v>0</v>
      </c>
      <c r="CX150" s="462">
        <f t="shared" si="983"/>
        <v>0</v>
      </c>
      <c r="CY150" s="462">
        <f t="shared" si="983"/>
        <v>0</v>
      </c>
      <c r="CZ150" s="462">
        <f t="shared" si="983"/>
        <v>0</v>
      </c>
      <c r="DA150" s="462">
        <f t="shared" ref="DA150:DG150" si="984">+IF(CZ1&lt;&gt;DA1, CZ150*1.2, CZ150)</f>
        <v>0</v>
      </c>
      <c r="DB150" s="462">
        <f t="shared" si="984"/>
        <v>0</v>
      </c>
      <c r="DC150" s="462">
        <f t="shared" si="984"/>
        <v>0</v>
      </c>
      <c r="DD150" s="462">
        <f t="shared" si="984"/>
        <v>0</v>
      </c>
      <c r="DE150" s="462">
        <f t="shared" si="984"/>
        <v>0</v>
      </c>
      <c r="DF150" s="462">
        <f t="shared" si="984"/>
        <v>0</v>
      </c>
      <c r="DG150" s="462">
        <f t="shared" si="984"/>
        <v>0</v>
      </c>
    </row>
    <row r="151" spans="1:111" s="143" customFormat="1" x14ac:dyDescent="0.3">
      <c r="B151" s="464" t="s">
        <v>456</v>
      </c>
      <c r="C151" s="461"/>
      <c r="D151" s="462"/>
      <c r="E151" s="462"/>
      <c r="F151" s="462"/>
      <c r="G151" s="462"/>
      <c r="H151" s="462"/>
      <c r="I151" s="462"/>
      <c r="J151" s="462"/>
      <c r="K151" s="462"/>
      <c r="L151" s="462"/>
      <c r="M151" s="462"/>
      <c r="N151" s="462"/>
      <c r="O151" s="462"/>
      <c r="P151" s="462"/>
      <c r="Q151" s="462"/>
      <c r="R151" s="462"/>
      <c r="S151" s="462"/>
      <c r="T151" s="462"/>
      <c r="U151" s="462"/>
      <c r="V151" s="462"/>
      <c r="W151" s="462"/>
      <c r="X151" s="462"/>
      <c r="Y151" s="462"/>
      <c r="Z151" s="462"/>
      <c r="AA151" s="462"/>
      <c r="AB151" s="462"/>
      <c r="AC151" s="462"/>
      <c r="AD151" s="462"/>
      <c r="AE151" s="462"/>
      <c r="AF151" s="462"/>
      <c r="AG151" s="462"/>
      <c r="AH151" s="462"/>
      <c r="AI151" s="462"/>
      <c r="AJ151" s="463"/>
      <c r="AK151" s="462"/>
      <c r="AL151" s="462"/>
      <c r="AM151" s="463"/>
      <c r="AN151" s="462">
        <v>0</v>
      </c>
      <c r="AO151" s="462">
        <f t="shared" ref="AO151:BT151" si="985">+IF(AN1&lt;&gt;AO1, AN151*1.2, AN151)</f>
        <v>0</v>
      </c>
      <c r="AP151" s="462">
        <f t="shared" si="985"/>
        <v>0</v>
      </c>
      <c r="AQ151" s="462">
        <f t="shared" si="985"/>
        <v>0</v>
      </c>
      <c r="AR151" s="462">
        <f t="shared" si="985"/>
        <v>0</v>
      </c>
      <c r="AS151" s="462">
        <f t="shared" si="985"/>
        <v>0</v>
      </c>
      <c r="AT151" s="462">
        <f t="shared" si="985"/>
        <v>0</v>
      </c>
      <c r="AU151" s="462">
        <f t="shared" si="985"/>
        <v>0</v>
      </c>
      <c r="AV151" s="462">
        <f t="shared" si="985"/>
        <v>0</v>
      </c>
      <c r="AW151" s="462">
        <f t="shared" si="985"/>
        <v>0</v>
      </c>
      <c r="AX151" s="462">
        <f t="shared" si="985"/>
        <v>0</v>
      </c>
      <c r="AY151" s="463">
        <f t="shared" si="985"/>
        <v>0</v>
      </c>
      <c r="AZ151" s="465">
        <f t="shared" si="985"/>
        <v>0</v>
      </c>
      <c r="BA151" s="462">
        <f t="shared" si="985"/>
        <v>0</v>
      </c>
      <c r="BB151" s="462">
        <f t="shared" si="985"/>
        <v>0</v>
      </c>
      <c r="BC151" s="462">
        <f t="shared" si="985"/>
        <v>0</v>
      </c>
      <c r="BD151" s="462">
        <f t="shared" si="985"/>
        <v>0</v>
      </c>
      <c r="BE151" s="462">
        <f t="shared" si="985"/>
        <v>0</v>
      </c>
      <c r="BF151" s="462">
        <f t="shared" si="985"/>
        <v>0</v>
      </c>
      <c r="BG151" s="462">
        <f t="shared" si="985"/>
        <v>0</v>
      </c>
      <c r="BH151" s="462">
        <f t="shared" si="985"/>
        <v>0</v>
      </c>
      <c r="BI151" s="462">
        <f t="shared" si="985"/>
        <v>0</v>
      </c>
      <c r="BJ151" s="462">
        <f t="shared" si="985"/>
        <v>0</v>
      </c>
      <c r="BK151" s="463">
        <f t="shared" si="985"/>
        <v>0</v>
      </c>
      <c r="BL151" s="462">
        <f t="shared" si="985"/>
        <v>0</v>
      </c>
      <c r="BM151" s="462">
        <f t="shared" si="985"/>
        <v>0</v>
      </c>
      <c r="BN151" s="462">
        <f t="shared" si="985"/>
        <v>0</v>
      </c>
      <c r="BO151" s="462">
        <f t="shared" si="985"/>
        <v>0</v>
      </c>
      <c r="BP151" s="462">
        <f t="shared" si="985"/>
        <v>0</v>
      </c>
      <c r="BQ151" s="462">
        <f t="shared" si="985"/>
        <v>0</v>
      </c>
      <c r="BR151" s="462">
        <f t="shared" si="985"/>
        <v>0</v>
      </c>
      <c r="BS151" s="462">
        <f t="shared" si="985"/>
        <v>0</v>
      </c>
      <c r="BT151" s="462">
        <f t="shared" si="985"/>
        <v>0</v>
      </c>
      <c r="BU151" s="462">
        <f t="shared" ref="BU151:CZ151" si="986">+IF(BT1&lt;&gt;BU1, BT151*1.2, BT151)</f>
        <v>0</v>
      </c>
      <c r="BV151" s="462">
        <f t="shared" si="986"/>
        <v>0</v>
      </c>
      <c r="BW151" s="463">
        <f t="shared" si="986"/>
        <v>0</v>
      </c>
      <c r="BX151" s="462">
        <f t="shared" si="986"/>
        <v>0</v>
      </c>
      <c r="BY151" s="462">
        <f t="shared" si="986"/>
        <v>0</v>
      </c>
      <c r="BZ151" s="462">
        <f t="shared" si="986"/>
        <v>0</v>
      </c>
      <c r="CA151" s="462">
        <f t="shared" si="986"/>
        <v>0</v>
      </c>
      <c r="CB151" s="462">
        <f t="shared" si="986"/>
        <v>0</v>
      </c>
      <c r="CC151" s="462">
        <f t="shared" si="986"/>
        <v>0</v>
      </c>
      <c r="CD151" s="462">
        <f t="shared" si="986"/>
        <v>0</v>
      </c>
      <c r="CE151" s="462">
        <f t="shared" si="986"/>
        <v>0</v>
      </c>
      <c r="CF151" s="462">
        <f t="shared" si="986"/>
        <v>0</v>
      </c>
      <c r="CG151" s="462">
        <f t="shared" si="986"/>
        <v>0</v>
      </c>
      <c r="CH151" s="462">
        <f t="shared" si="986"/>
        <v>0</v>
      </c>
      <c r="CI151" s="463">
        <f t="shared" si="986"/>
        <v>0</v>
      </c>
      <c r="CJ151" s="462">
        <f t="shared" si="986"/>
        <v>0</v>
      </c>
      <c r="CK151" s="462">
        <f t="shared" si="986"/>
        <v>0</v>
      </c>
      <c r="CL151" s="462">
        <f t="shared" si="986"/>
        <v>0</v>
      </c>
      <c r="CM151" s="462">
        <f t="shared" si="986"/>
        <v>0</v>
      </c>
      <c r="CN151" s="462">
        <f t="shared" si="986"/>
        <v>0</v>
      </c>
      <c r="CO151" s="462">
        <f t="shared" si="986"/>
        <v>0</v>
      </c>
      <c r="CP151" s="462">
        <f t="shared" si="986"/>
        <v>0</v>
      </c>
      <c r="CQ151" s="462">
        <f t="shared" si="986"/>
        <v>0</v>
      </c>
      <c r="CR151" s="462">
        <f t="shared" si="986"/>
        <v>0</v>
      </c>
      <c r="CS151" s="462">
        <f t="shared" si="986"/>
        <v>0</v>
      </c>
      <c r="CT151" s="462">
        <f t="shared" si="986"/>
        <v>0</v>
      </c>
      <c r="CU151" s="463">
        <f t="shared" si="986"/>
        <v>0</v>
      </c>
      <c r="CV151" s="462">
        <f t="shared" si="986"/>
        <v>0</v>
      </c>
      <c r="CW151" s="462">
        <f t="shared" si="986"/>
        <v>0</v>
      </c>
      <c r="CX151" s="462">
        <f t="shared" si="986"/>
        <v>0</v>
      </c>
      <c r="CY151" s="462">
        <f t="shared" si="986"/>
        <v>0</v>
      </c>
      <c r="CZ151" s="462">
        <f t="shared" si="986"/>
        <v>0</v>
      </c>
      <c r="DA151" s="462">
        <f t="shared" ref="DA151:DG151" si="987">+IF(CZ1&lt;&gt;DA1, CZ151*1.2, CZ151)</f>
        <v>0</v>
      </c>
      <c r="DB151" s="462">
        <f t="shared" si="987"/>
        <v>0</v>
      </c>
      <c r="DC151" s="462">
        <f t="shared" si="987"/>
        <v>0</v>
      </c>
      <c r="DD151" s="462">
        <f t="shared" si="987"/>
        <v>0</v>
      </c>
      <c r="DE151" s="462">
        <f t="shared" si="987"/>
        <v>0</v>
      </c>
      <c r="DF151" s="462">
        <f t="shared" si="987"/>
        <v>0</v>
      </c>
      <c r="DG151" s="462">
        <f t="shared" si="987"/>
        <v>0</v>
      </c>
    </row>
    <row r="152" spans="1:111" x14ac:dyDescent="0.3"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165"/>
      <c r="AK152" s="39"/>
      <c r="AL152" s="39"/>
      <c r="AM152" s="165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165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165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165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165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165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</row>
    <row r="153" spans="1:111" x14ac:dyDescent="0.3">
      <c r="B153" s="1" t="s">
        <v>281</v>
      </c>
      <c r="C153" s="1"/>
      <c r="D153" s="91"/>
      <c r="E153" s="91"/>
      <c r="F153" s="91"/>
      <c r="G153" s="91"/>
      <c r="H153" s="91"/>
      <c r="I153" s="91"/>
      <c r="J153" s="90"/>
      <c r="K153" s="90"/>
      <c r="L153" s="90"/>
      <c r="M153" s="91"/>
      <c r="N153" s="91"/>
      <c r="O153" s="91"/>
      <c r="P153" s="91"/>
      <c r="Q153" s="91">
        <v>0</v>
      </c>
      <c r="R153" s="91">
        <v>0</v>
      </c>
      <c r="S153" s="91">
        <v>0</v>
      </c>
      <c r="T153" s="91">
        <v>0</v>
      </c>
      <c r="U153" s="91">
        <v>0</v>
      </c>
      <c r="V153" s="91">
        <v>0</v>
      </c>
      <c r="W153" s="91">
        <v>0</v>
      </c>
      <c r="X153" s="91">
        <v>0</v>
      </c>
      <c r="Y153" s="91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163">
        <v>0</v>
      </c>
      <c r="AK153" s="206">
        <f t="shared" ref="AK153" si="988">AJ153</f>
        <v>0</v>
      </c>
      <c r="AL153" s="91">
        <f t="shared" ref="AL153:CA153" si="989">AK153</f>
        <v>0</v>
      </c>
      <c r="AM153" s="163"/>
      <c r="AN153" s="91">
        <f t="shared" si="989"/>
        <v>0</v>
      </c>
      <c r="AO153" s="91">
        <f t="shared" si="989"/>
        <v>0</v>
      </c>
      <c r="AP153" s="91">
        <f t="shared" si="989"/>
        <v>0</v>
      </c>
      <c r="AQ153" s="91">
        <f t="shared" si="989"/>
        <v>0</v>
      </c>
      <c r="AR153" s="91">
        <f t="shared" si="989"/>
        <v>0</v>
      </c>
      <c r="AS153" s="91">
        <f t="shared" si="989"/>
        <v>0</v>
      </c>
      <c r="AT153" s="91">
        <f t="shared" si="989"/>
        <v>0</v>
      </c>
      <c r="AU153" s="91">
        <f t="shared" si="989"/>
        <v>0</v>
      </c>
      <c r="AV153" s="91">
        <f t="shared" si="989"/>
        <v>0</v>
      </c>
      <c r="AW153" s="91">
        <f t="shared" si="989"/>
        <v>0</v>
      </c>
      <c r="AX153" s="91">
        <f t="shared" si="989"/>
        <v>0</v>
      </c>
      <c r="AY153" s="163"/>
      <c r="AZ153" s="91">
        <f t="shared" si="989"/>
        <v>0</v>
      </c>
      <c r="BA153" s="91">
        <f t="shared" si="989"/>
        <v>0</v>
      </c>
      <c r="BB153" s="91">
        <f t="shared" si="989"/>
        <v>0</v>
      </c>
      <c r="BC153" s="91">
        <f t="shared" si="989"/>
        <v>0</v>
      </c>
      <c r="BD153" s="91">
        <f t="shared" si="989"/>
        <v>0</v>
      </c>
      <c r="BE153" s="91">
        <f t="shared" si="989"/>
        <v>0</v>
      </c>
      <c r="BF153" s="91">
        <f t="shared" si="989"/>
        <v>0</v>
      </c>
      <c r="BG153" s="91">
        <f t="shared" si="989"/>
        <v>0</v>
      </c>
      <c r="BH153" s="91">
        <f t="shared" si="989"/>
        <v>0</v>
      </c>
      <c r="BI153" s="91">
        <f t="shared" si="989"/>
        <v>0</v>
      </c>
      <c r="BJ153" s="91">
        <f t="shared" si="989"/>
        <v>0</v>
      </c>
      <c r="BK153" s="163">
        <f t="shared" si="989"/>
        <v>0</v>
      </c>
      <c r="BL153" s="91">
        <f t="shared" si="989"/>
        <v>0</v>
      </c>
      <c r="BM153" s="91">
        <f t="shared" si="989"/>
        <v>0</v>
      </c>
      <c r="BN153" s="91">
        <f t="shared" si="989"/>
        <v>0</v>
      </c>
      <c r="BO153" s="91">
        <f t="shared" si="989"/>
        <v>0</v>
      </c>
      <c r="BP153" s="91">
        <f t="shared" si="989"/>
        <v>0</v>
      </c>
      <c r="BQ153" s="91">
        <f t="shared" si="989"/>
        <v>0</v>
      </c>
      <c r="BR153" s="91">
        <f t="shared" si="989"/>
        <v>0</v>
      </c>
      <c r="BS153" s="91">
        <f t="shared" si="989"/>
        <v>0</v>
      </c>
      <c r="BT153" s="91">
        <f t="shared" si="989"/>
        <v>0</v>
      </c>
      <c r="BU153" s="91">
        <f t="shared" si="989"/>
        <v>0</v>
      </c>
      <c r="BV153" s="91">
        <f t="shared" si="989"/>
        <v>0</v>
      </c>
      <c r="BW153" s="163">
        <f t="shared" si="989"/>
        <v>0</v>
      </c>
      <c r="BX153" s="91">
        <f t="shared" si="989"/>
        <v>0</v>
      </c>
      <c r="BY153" s="91">
        <f t="shared" si="989"/>
        <v>0</v>
      </c>
      <c r="BZ153" s="91">
        <f t="shared" si="989"/>
        <v>0</v>
      </c>
      <c r="CA153" s="91">
        <f t="shared" si="989"/>
        <v>0</v>
      </c>
      <c r="CB153" s="91">
        <f t="shared" ref="CB153:DG153" si="990">CA153</f>
        <v>0</v>
      </c>
      <c r="CC153" s="91">
        <f t="shared" si="990"/>
        <v>0</v>
      </c>
      <c r="CD153" s="91">
        <f t="shared" si="990"/>
        <v>0</v>
      </c>
      <c r="CE153" s="91">
        <f t="shared" si="990"/>
        <v>0</v>
      </c>
      <c r="CF153" s="91">
        <f t="shared" si="990"/>
        <v>0</v>
      </c>
      <c r="CG153" s="91">
        <f t="shared" si="990"/>
        <v>0</v>
      </c>
      <c r="CH153" s="91">
        <f t="shared" si="990"/>
        <v>0</v>
      </c>
      <c r="CI153" s="163">
        <f t="shared" si="990"/>
        <v>0</v>
      </c>
      <c r="CJ153" s="91">
        <f t="shared" si="990"/>
        <v>0</v>
      </c>
      <c r="CK153" s="91">
        <f t="shared" si="990"/>
        <v>0</v>
      </c>
      <c r="CL153" s="91">
        <f t="shared" si="990"/>
        <v>0</v>
      </c>
      <c r="CM153" s="91">
        <f t="shared" si="990"/>
        <v>0</v>
      </c>
      <c r="CN153" s="91">
        <f t="shared" si="990"/>
        <v>0</v>
      </c>
      <c r="CO153" s="91">
        <f t="shared" si="990"/>
        <v>0</v>
      </c>
      <c r="CP153" s="91">
        <f t="shared" si="990"/>
        <v>0</v>
      </c>
      <c r="CQ153" s="91">
        <f t="shared" si="990"/>
        <v>0</v>
      </c>
      <c r="CR153" s="91">
        <f t="shared" si="990"/>
        <v>0</v>
      </c>
      <c r="CS153" s="91">
        <f t="shared" si="990"/>
        <v>0</v>
      </c>
      <c r="CT153" s="91">
        <f t="shared" si="990"/>
        <v>0</v>
      </c>
      <c r="CU153" s="163">
        <f t="shared" si="990"/>
        <v>0</v>
      </c>
      <c r="CV153" s="91">
        <f t="shared" si="990"/>
        <v>0</v>
      </c>
      <c r="CW153" s="91">
        <f t="shared" si="990"/>
        <v>0</v>
      </c>
      <c r="CX153" s="91">
        <f t="shared" si="990"/>
        <v>0</v>
      </c>
      <c r="CY153" s="91">
        <f t="shared" si="990"/>
        <v>0</v>
      </c>
      <c r="CZ153" s="91">
        <f t="shared" si="990"/>
        <v>0</v>
      </c>
      <c r="DA153" s="91">
        <f t="shared" si="990"/>
        <v>0</v>
      </c>
      <c r="DB153" s="91">
        <f t="shared" si="990"/>
        <v>0</v>
      </c>
      <c r="DC153" s="91">
        <f t="shared" si="990"/>
        <v>0</v>
      </c>
      <c r="DD153" s="91">
        <f t="shared" si="990"/>
        <v>0</v>
      </c>
      <c r="DE153" s="91">
        <f t="shared" si="990"/>
        <v>0</v>
      </c>
      <c r="DF153" s="91">
        <f t="shared" si="990"/>
        <v>0</v>
      </c>
      <c r="DG153" s="91">
        <f t="shared" si="990"/>
        <v>0</v>
      </c>
    </row>
    <row r="154" spans="1:111" x14ac:dyDescent="0.3">
      <c r="B154" s="1" t="s">
        <v>282</v>
      </c>
      <c r="C154" s="1"/>
      <c r="D154" s="91"/>
      <c r="E154" s="91"/>
      <c r="F154" s="91"/>
      <c r="G154" s="91"/>
      <c r="H154" s="91"/>
      <c r="I154" s="91"/>
      <c r="J154" s="90"/>
      <c r="K154" s="90"/>
      <c r="L154" s="90"/>
      <c r="M154" s="91"/>
      <c r="N154" s="91"/>
      <c r="O154" s="91"/>
      <c r="P154" s="91">
        <v>5050</v>
      </c>
      <c r="Q154" s="91">
        <v>5050</v>
      </c>
      <c r="R154" s="91">
        <v>5050</v>
      </c>
      <c r="S154" s="91">
        <v>5350</v>
      </c>
      <c r="T154" s="91">
        <v>5350</v>
      </c>
      <c r="U154" s="91">
        <v>5350</v>
      </c>
      <c r="V154" s="91">
        <v>5850</v>
      </c>
      <c r="W154" s="91">
        <v>5850</v>
      </c>
      <c r="X154" s="91">
        <v>6030.19</v>
      </c>
      <c r="Y154" s="91">
        <v>6030.19</v>
      </c>
      <c r="Z154" s="91">
        <v>6030.19</v>
      </c>
      <c r="AA154" s="91">
        <v>6030.19</v>
      </c>
      <c r="AB154" s="91">
        <v>6030.19</v>
      </c>
      <c r="AC154" s="91">
        <v>6030.19</v>
      </c>
      <c r="AD154" s="91">
        <v>6030.19</v>
      </c>
      <c r="AE154" s="91">
        <v>6030.19</v>
      </c>
      <c r="AF154" s="91">
        <v>6030.19</v>
      </c>
      <c r="AG154" s="91">
        <v>6030.19</v>
      </c>
      <c r="AH154" s="91">
        <v>6030.19</v>
      </c>
      <c r="AI154" s="91">
        <v>6030.19</v>
      </c>
      <c r="AJ154" s="163">
        <v>6030.19</v>
      </c>
      <c r="AK154" s="206">
        <f t="shared" ref="AK154" si="991">+AJ154</f>
        <v>6030.19</v>
      </c>
      <c r="AL154" s="91">
        <f t="shared" ref="AL154:CP154" si="992">+AK154</f>
        <v>6030.19</v>
      </c>
      <c r="AM154" s="163">
        <f t="shared" si="992"/>
        <v>6030.19</v>
      </c>
      <c r="AN154" s="91">
        <f t="shared" si="992"/>
        <v>6030.19</v>
      </c>
      <c r="AO154" s="91">
        <f t="shared" si="992"/>
        <v>6030.19</v>
      </c>
      <c r="AP154" s="91">
        <f t="shared" si="992"/>
        <v>6030.19</v>
      </c>
      <c r="AQ154" s="91">
        <f t="shared" si="992"/>
        <v>6030.19</v>
      </c>
      <c r="AR154" s="91">
        <f t="shared" si="992"/>
        <v>6030.19</v>
      </c>
      <c r="AS154" s="91">
        <f t="shared" si="992"/>
        <v>6030.19</v>
      </c>
      <c r="AT154" s="91">
        <f t="shared" si="992"/>
        <v>6030.19</v>
      </c>
      <c r="AU154" s="91">
        <f t="shared" si="992"/>
        <v>6030.19</v>
      </c>
      <c r="AV154" s="91">
        <f t="shared" si="992"/>
        <v>6030.19</v>
      </c>
      <c r="AW154" s="91">
        <f t="shared" si="992"/>
        <v>6030.19</v>
      </c>
      <c r="AX154" s="91">
        <f t="shared" si="992"/>
        <v>6030.19</v>
      </c>
      <c r="AY154" s="163">
        <f t="shared" si="992"/>
        <v>6030.19</v>
      </c>
      <c r="AZ154" s="91">
        <f t="shared" si="992"/>
        <v>6030.19</v>
      </c>
      <c r="BA154" s="91">
        <f t="shared" si="992"/>
        <v>6030.19</v>
      </c>
      <c r="BB154" s="91">
        <f t="shared" si="992"/>
        <v>6030.19</v>
      </c>
      <c r="BC154" s="91">
        <f t="shared" si="992"/>
        <v>6030.19</v>
      </c>
      <c r="BD154" s="91">
        <f t="shared" si="992"/>
        <v>6030.19</v>
      </c>
      <c r="BE154" s="91">
        <f t="shared" si="992"/>
        <v>6030.19</v>
      </c>
      <c r="BF154" s="91">
        <f t="shared" si="992"/>
        <v>6030.19</v>
      </c>
      <c r="BG154" s="91">
        <f t="shared" si="992"/>
        <v>6030.19</v>
      </c>
      <c r="BH154" s="91">
        <f t="shared" si="992"/>
        <v>6030.19</v>
      </c>
      <c r="BI154" s="91">
        <f t="shared" si="992"/>
        <v>6030.19</v>
      </c>
      <c r="BJ154" s="91">
        <f t="shared" si="992"/>
        <v>6030.19</v>
      </c>
      <c r="BK154" s="163">
        <f t="shared" si="992"/>
        <v>6030.19</v>
      </c>
      <c r="BL154" s="91">
        <f t="shared" si="992"/>
        <v>6030.19</v>
      </c>
      <c r="BM154" s="91">
        <f t="shared" si="992"/>
        <v>6030.19</v>
      </c>
      <c r="BN154" s="91">
        <f t="shared" si="992"/>
        <v>6030.19</v>
      </c>
      <c r="BO154" s="91">
        <f t="shared" si="992"/>
        <v>6030.19</v>
      </c>
      <c r="BP154" s="91">
        <f t="shared" si="992"/>
        <v>6030.19</v>
      </c>
      <c r="BQ154" s="91">
        <f t="shared" si="992"/>
        <v>6030.19</v>
      </c>
      <c r="BR154" s="91">
        <f t="shared" si="992"/>
        <v>6030.19</v>
      </c>
      <c r="BS154" s="91">
        <f t="shared" si="992"/>
        <v>6030.19</v>
      </c>
      <c r="BT154" s="91">
        <f t="shared" si="992"/>
        <v>6030.19</v>
      </c>
      <c r="BU154" s="91">
        <f t="shared" si="992"/>
        <v>6030.19</v>
      </c>
      <c r="BV154" s="91">
        <f t="shared" si="992"/>
        <v>6030.19</v>
      </c>
      <c r="BW154" s="163">
        <f t="shared" si="992"/>
        <v>6030.19</v>
      </c>
      <c r="BX154" s="91">
        <f t="shared" si="992"/>
        <v>6030.19</v>
      </c>
      <c r="BY154" s="91">
        <f t="shared" si="992"/>
        <v>6030.19</v>
      </c>
      <c r="BZ154" s="91">
        <f t="shared" si="992"/>
        <v>6030.19</v>
      </c>
      <c r="CA154" s="91">
        <f t="shared" si="992"/>
        <v>6030.19</v>
      </c>
      <c r="CB154" s="91">
        <f t="shared" si="992"/>
        <v>6030.19</v>
      </c>
      <c r="CC154" s="91">
        <f t="shared" si="992"/>
        <v>6030.19</v>
      </c>
      <c r="CD154" s="91">
        <f t="shared" si="992"/>
        <v>6030.19</v>
      </c>
      <c r="CE154" s="91">
        <f t="shared" si="992"/>
        <v>6030.19</v>
      </c>
      <c r="CF154" s="91">
        <f t="shared" si="992"/>
        <v>6030.19</v>
      </c>
      <c r="CG154" s="91">
        <f t="shared" si="992"/>
        <v>6030.19</v>
      </c>
      <c r="CH154" s="91">
        <f t="shared" si="992"/>
        <v>6030.19</v>
      </c>
      <c r="CI154" s="163">
        <f t="shared" si="992"/>
        <v>6030.19</v>
      </c>
      <c r="CJ154" s="91">
        <f t="shared" si="992"/>
        <v>6030.19</v>
      </c>
      <c r="CK154" s="91">
        <f t="shared" si="992"/>
        <v>6030.19</v>
      </c>
      <c r="CL154" s="91">
        <f t="shared" si="992"/>
        <v>6030.19</v>
      </c>
      <c r="CM154" s="91">
        <f t="shared" si="992"/>
        <v>6030.19</v>
      </c>
      <c r="CN154" s="91">
        <f t="shared" si="992"/>
        <v>6030.19</v>
      </c>
      <c r="CO154" s="91">
        <f t="shared" si="992"/>
        <v>6030.19</v>
      </c>
      <c r="CP154" s="91">
        <f t="shared" si="992"/>
        <v>6030.19</v>
      </c>
      <c r="CQ154" s="91">
        <f t="shared" ref="CQ154:DG154" si="993">+CP154</f>
        <v>6030.19</v>
      </c>
      <c r="CR154" s="91">
        <f t="shared" si="993"/>
        <v>6030.19</v>
      </c>
      <c r="CS154" s="91">
        <f t="shared" si="993"/>
        <v>6030.19</v>
      </c>
      <c r="CT154" s="91">
        <f t="shared" si="993"/>
        <v>6030.19</v>
      </c>
      <c r="CU154" s="163">
        <f t="shared" si="993"/>
        <v>6030.19</v>
      </c>
      <c r="CV154" s="91">
        <f t="shared" si="993"/>
        <v>6030.19</v>
      </c>
      <c r="CW154" s="91">
        <f t="shared" si="993"/>
        <v>6030.19</v>
      </c>
      <c r="CX154" s="91">
        <f t="shared" si="993"/>
        <v>6030.19</v>
      </c>
      <c r="CY154" s="91">
        <f t="shared" si="993"/>
        <v>6030.19</v>
      </c>
      <c r="CZ154" s="91">
        <f t="shared" si="993"/>
        <v>6030.19</v>
      </c>
      <c r="DA154" s="91">
        <f t="shared" si="993"/>
        <v>6030.19</v>
      </c>
      <c r="DB154" s="91">
        <f t="shared" si="993"/>
        <v>6030.19</v>
      </c>
      <c r="DC154" s="91">
        <f t="shared" si="993"/>
        <v>6030.19</v>
      </c>
      <c r="DD154" s="91">
        <f t="shared" si="993"/>
        <v>6030.19</v>
      </c>
      <c r="DE154" s="91">
        <f t="shared" si="993"/>
        <v>6030.19</v>
      </c>
      <c r="DF154" s="91">
        <f t="shared" si="993"/>
        <v>6030.19</v>
      </c>
      <c r="DG154" s="91">
        <f t="shared" si="993"/>
        <v>6030.19</v>
      </c>
    </row>
    <row r="155" spans="1:111" x14ac:dyDescent="0.3">
      <c r="B155" s="1" t="s">
        <v>283</v>
      </c>
      <c r="C155" s="1"/>
      <c r="D155" s="91"/>
      <c r="E155" s="91"/>
      <c r="F155" s="91"/>
      <c r="G155" s="91"/>
      <c r="H155" s="91"/>
      <c r="I155" s="91"/>
      <c r="J155" s="90"/>
      <c r="K155" s="90"/>
      <c r="L155" s="90"/>
      <c r="M155" s="91"/>
      <c r="N155" s="91"/>
      <c r="O155" s="91"/>
      <c r="P155" s="91">
        <v>4849.46</v>
      </c>
      <c r="Q155" s="91">
        <v>4849.46</v>
      </c>
      <c r="R155" s="91">
        <v>4849.46</v>
      </c>
      <c r="S155" s="91">
        <v>5049.46</v>
      </c>
      <c r="T155" s="91">
        <v>5049.46</v>
      </c>
      <c r="U155" s="91">
        <v>5049.46</v>
      </c>
      <c r="V155" s="91">
        <v>5743.15</v>
      </c>
      <c r="W155" s="91">
        <v>5743.15</v>
      </c>
      <c r="X155" s="91">
        <v>5743.15</v>
      </c>
      <c r="Y155" s="91">
        <v>5743.15</v>
      </c>
      <c r="Z155" s="91">
        <v>5743.15</v>
      </c>
      <c r="AA155" s="91">
        <v>5743.15</v>
      </c>
      <c r="AB155" s="91">
        <v>5743.15</v>
      </c>
      <c r="AC155" s="91">
        <v>5743.15</v>
      </c>
      <c r="AD155" s="91">
        <v>5743.15</v>
      </c>
      <c r="AE155" s="91">
        <v>5743.15</v>
      </c>
      <c r="AF155" s="91">
        <v>5743.15</v>
      </c>
      <c r="AG155" s="91">
        <v>5743.15</v>
      </c>
      <c r="AH155" s="91">
        <v>5743.15</v>
      </c>
      <c r="AI155" s="91">
        <v>5743.15</v>
      </c>
      <c r="AJ155" s="163">
        <v>5743.15</v>
      </c>
      <c r="AK155" s="206">
        <f t="shared" ref="AK155" si="994">+AJ155</f>
        <v>5743.15</v>
      </c>
      <c r="AL155" s="91">
        <f t="shared" ref="AL155:CP155" si="995">+AK155</f>
        <v>5743.15</v>
      </c>
      <c r="AM155" s="163">
        <f t="shared" si="995"/>
        <v>5743.15</v>
      </c>
      <c r="AN155" s="91">
        <f t="shared" si="995"/>
        <v>5743.15</v>
      </c>
      <c r="AO155" s="91">
        <f t="shared" si="995"/>
        <v>5743.15</v>
      </c>
      <c r="AP155" s="91">
        <f t="shared" si="995"/>
        <v>5743.15</v>
      </c>
      <c r="AQ155" s="91">
        <f t="shared" si="995"/>
        <v>5743.15</v>
      </c>
      <c r="AR155" s="91">
        <f t="shared" si="995"/>
        <v>5743.15</v>
      </c>
      <c r="AS155" s="91">
        <f t="shared" si="995"/>
        <v>5743.15</v>
      </c>
      <c r="AT155" s="91">
        <f t="shared" si="995"/>
        <v>5743.15</v>
      </c>
      <c r="AU155" s="91">
        <f t="shared" si="995"/>
        <v>5743.15</v>
      </c>
      <c r="AV155" s="91">
        <f t="shared" si="995"/>
        <v>5743.15</v>
      </c>
      <c r="AW155" s="91">
        <f t="shared" si="995"/>
        <v>5743.15</v>
      </c>
      <c r="AX155" s="91">
        <f t="shared" si="995"/>
        <v>5743.15</v>
      </c>
      <c r="AY155" s="163">
        <f t="shared" si="995"/>
        <v>5743.15</v>
      </c>
      <c r="AZ155" s="91">
        <f t="shared" si="995"/>
        <v>5743.15</v>
      </c>
      <c r="BA155" s="91">
        <f t="shared" si="995"/>
        <v>5743.15</v>
      </c>
      <c r="BB155" s="91">
        <f t="shared" si="995"/>
        <v>5743.15</v>
      </c>
      <c r="BC155" s="91">
        <f t="shared" si="995"/>
        <v>5743.15</v>
      </c>
      <c r="BD155" s="91">
        <f t="shared" si="995"/>
        <v>5743.15</v>
      </c>
      <c r="BE155" s="91">
        <f t="shared" si="995"/>
        <v>5743.15</v>
      </c>
      <c r="BF155" s="91">
        <f t="shared" si="995"/>
        <v>5743.15</v>
      </c>
      <c r="BG155" s="91">
        <f t="shared" si="995"/>
        <v>5743.15</v>
      </c>
      <c r="BH155" s="91">
        <f t="shared" si="995"/>
        <v>5743.15</v>
      </c>
      <c r="BI155" s="91">
        <f t="shared" si="995"/>
        <v>5743.15</v>
      </c>
      <c r="BJ155" s="91">
        <f t="shared" si="995"/>
        <v>5743.15</v>
      </c>
      <c r="BK155" s="163">
        <f t="shared" si="995"/>
        <v>5743.15</v>
      </c>
      <c r="BL155" s="91">
        <f t="shared" si="995"/>
        <v>5743.15</v>
      </c>
      <c r="BM155" s="91">
        <f t="shared" si="995"/>
        <v>5743.15</v>
      </c>
      <c r="BN155" s="91">
        <f t="shared" si="995"/>
        <v>5743.15</v>
      </c>
      <c r="BO155" s="91">
        <f t="shared" si="995"/>
        <v>5743.15</v>
      </c>
      <c r="BP155" s="91">
        <f t="shared" si="995"/>
        <v>5743.15</v>
      </c>
      <c r="BQ155" s="91">
        <f t="shared" si="995"/>
        <v>5743.15</v>
      </c>
      <c r="BR155" s="91">
        <f t="shared" si="995"/>
        <v>5743.15</v>
      </c>
      <c r="BS155" s="91">
        <f t="shared" si="995"/>
        <v>5743.15</v>
      </c>
      <c r="BT155" s="91">
        <f t="shared" si="995"/>
        <v>5743.15</v>
      </c>
      <c r="BU155" s="91">
        <f t="shared" si="995"/>
        <v>5743.15</v>
      </c>
      <c r="BV155" s="91">
        <f t="shared" si="995"/>
        <v>5743.15</v>
      </c>
      <c r="BW155" s="163">
        <f t="shared" si="995"/>
        <v>5743.15</v>
      </c>
      <c r="BX155" s="91">
        <f t="shared" si="995"/>
        <v>5743.15</v>
      </c>
      <c r="BY155" s="91">
        <f t="shared" si="995"/>
        <v>5743.15</v>
      </c>
      <c r="BZ155" s="91">
        <f t="shared" si="995"/>
        <v>5743.15</v>
      </c>
      <c r="CA155" s="91">
        <f t="shared" si="995"/>
        <v>5743.15</v>
      </c>
      <c r="CB155" s="91">
        <f t="shared" si="995"/>
        <v>5743.15</v>
      </c>
      <c r="CC155" s="91">
        <f t="shared" si="995"/>
        <v>5743.15</v>
      </c>
      <c r="CD155" s="91">
        <f t="shared" si="995"/>
        <v>5743.15</v>
      </c>
      <c r="CE155" s="91">
        <f t="shared" si="995"/>
        <v>5743.15</v>
      </c>
      <c r="CF155" s="91">
        <f t="shared" si="995"/>
        <v>5743.15</v>
      </c>
      <c r="CG155" s="91">
        <f t="shared" si="995"/>
        <v>5743.15</v>
      </c>
      <c r="CH155" s="91">
        <f t="shared" si="995"/>
        <v>5743.15</v>
      </c>
      <c r="CI155" s="163">
        <f t="shared" si="995"/>
        <v>5743.15</v>
      </c>
      <c r="CJ155" s="91">
        <f t="shared" si="995"/>
        <v>5743.15</v>
      </c>
      <c r="CK155" s="91">
        <f t="shared" si="995"/>
        <v>5743.15</v>
      </c>
      <c r="CL155" s="91">
        <f t="shared" si="995"/>
        <v>5743.15</v>
      </c>
      <c r="CM155" s="91">
        <f t="shared" si="995"/>
        <v>5743.15</v>
      </c>
      <c r="CN155" s="91">
        <f t="shared" si="995"/>
        <v>5743.15</v>
      </c>
      <c r="CO155" s="91">
        <f t="shared" si="995"/>
        <v>5743.15</v>
      </c>
      <c r="CP155" s="91">
        <f t="shared" si="995"/>
        <v>5743.15</v>
      </c>
      <c r="CQ155" s="91">
        <f t="shared" ref="CQ155:DG155" si="996">+CP155</f>
        <v>5743.15</v>
      </c>
      <c r="CR155" s="91">
        <f t="shared" si="996"/>
        <v>5743.15</v>
      </c>
      <c r="CS155" s="91">
        <f t="shared" si="996"/>
        <v>5743.15</v>
      </c>
      <c r="CT155" s="91">
        <f t="shared" si="996"/>
        <v>5743.15</v>
      </c>
      <c r="CU155" s="163">
        <f t="shared" si="996"/>
        <v>5743.15</v>
      </c>
      <c r="CV155" s="91">
        <f t="shared" si="996"/>
        <v>5743.15</v>
      </c>
      <c r="CW155" s="91">
        <f t="shared" si="996"/>
        <v>5743.15</v>
      </c>
      <c r="CX155" s="91">
        <f t="shared" si="996"/>
        <v>5743.15</v>
      </c>
      <c r="CY155" s="91">
        <f t="shared" si="996"/>
        <v>5743.15</v>
      </c>
      <c r="CZ155" s="91">
        <f t="shared" si="996"/>
        <v>5743.15</v>
      </c>
      <c r="DA155" s="91">
        <f t="shared" si="996"/>
        <v>5743.15</v>
      </c>
      <c r="DB155" s="91">
        <f t="shared" si="996"/>
        <v>5743.15</v>
      </c>
      <c r="DC155" s="91">
        <f t="shared" si="996"/>
        <v>5743.15</v>
      </c>
      <c r="DD155" s="91">
        <f t="shared" si="996"/>
        <v>5743.15</v>
      </c>
      <c r="DE155" s="91">
        <f t="shared" si="996"/>
        <v>5743.15</v>
      </c>
      <c r="DF155" s="91">
        <f t="shared" si="996"/>
        <v>5743.15</v>
      </c>
      <c r="DG155" s="91">
        <f t="shared" si="996"/>
        <v>5743.15</v>
      </c>
    </row>
    <row r="156" spans="1:111" x14ac:dyDescent="0.3">
      <c r="A156" s="5"/>
      <c r="B156" s="6" t="s">
        <v>284</v>
      </c>
      <c r="C156" s="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>
        <v>9899.4599999999991</v>
      </c>
      <c r="Q156" s="36">
        <v>9899.4599999999991</v>
      </c>
      <c r="R156" s="36">
        <v>9899.4599999999991</v>
      </c>
      <c r="S156" s="36">
        <v>10399.459999999999</v>
      </c>
      <c r="T156" s="36">
        <v>10399.459999999999</v>
      </c>
      <c r="U156" s="36">
        <v>10399.459999999999</v>
      </c>
      <c r="V156" s="36">
        <v>11593.15</v>
      </c>
      <c r="W156" s="36">
        <v>11593.15</v>
      </c>
      <c r="X156" s="36">
        <v>11773.34</v>
      </c>
      <c r="Y156" s="36">
        <v>11773.34</v>
      </c>
      <c r="Z156" s="36">
        <v>11773.34</v>
      </c>
      <c r="AA156" s="36">
        <v>11773.34</v>
      </c>
      <c r="AB156" s="36">
        <v>11773.34</v>
      </c>
      <c r="AC156" s="36">
        <v>11773.34</v>
      </c>
      <c r="AD156" s="36">
        <v>11773.34</v>
      </c>
      <c r="AE156" s="36">
        <v>11773.34</v>
      </c>
      <c r="AF156" s="36">
        <v>11773.34</v>
      </c>
      <c r="AG156" s="36">
        <v>11773.34</v>
      </c>
      <c r="AH156" s="36">
        <v>11773.34</v>
      </c>
      <c r="AI156" s="36">
        <v>11773.34</v>
      </c>
      <c r="AJ156" s="167">
        <v>11773.34</v>
      </c>
      <c r="AK156" s="36">
        <f t="shared" ref="AK156" si="997">SUM(AK153:AK155)</f>
        <v>11773.34</v>
      </c>
      <c r="AL156" s="36">
        <f t="shared" ref="AL156:CO156" si="998">SUM(AL153:AL155)</f>
        <v>11773.34</v>
      </c>
      <c r="AM156" s="167">
        <f t="shared" si="998"/>
        <v>11773.34</v>
      </c>
      <c r="AN156" s="36">
        <f t="shared" si="998"/>
        <v>11773.34</v>
      </c>
      <c r="AO156" s="36">
        <f t="shared" si="998"/>
        <v>11773.34</v>
      </c>
      <c r="AP156" s="36">
        <f t="shared" si="998"/>
        <v>11773.34</v>
      </c>
      <c r="AQ156" s="36">
        <f t="shared" si="998"/>
        <v>11773.34</v>
      </c>
      <c r="AR156" s="36">
        <f t="shared" si="998"/>
        <v>11773.34</v>
      </c>
      <c r="AS156" s="36">
        <f t="shared" si="998"/>
        <v>11773.34</v>
      </c>
      <c r="AT156" s="36">
        <f t="shared" si="998"/>
        <v>11773.34</v>
      </c>
      <c r="AU156" s="36">
        <f t="shared" si="998"/>
        <v>11773.34</v>
      </c>
      <c r="AV156" s="36">
        <f t="shared" si="998"/>
        <v>11773.34</v>
      </c>
      <c r="AW156" s="36">
        <f t="shared" si="998"/>
        <v>11773.34</v>
      </c>
      <c r="AX156" s="36">
        <f t="shared" si="998"/>
        <v>11773.34</v>
      </c>
      <c r="AY156" s="167">
        <f t="shared" si="998"/>
        <v>11773.34</v>
      </c>
      <c r="AZ156" s="36">
        <f t="shared" si="998"/>
        <v>11773.34</v>
      </c>
      <c r="BA156" s="36">
        <f t="shared" si="998"/>
        <v>11773.34</v>
      </c>
      <c r="BB156" s="36">
        <f t="shared" si="998"/>
        <v>11773.34</v>
      </c>
      <c r="BC156" s="36">
        <f t="shared" si="998"/>
        <v>11773.34</v>
      </c>
      <c r="BD156" s="36">
        <f t="shared" si="998"/>
        <v>11773.34</v>
      </c>
      <c r="BE156" s="36">
        <f t="shared" si="998"/>
        <v>11773.34</v>
      </c>
      <c r="BF156" s="36">
        <f t="shared" si="998"/>
        <v>11773.34</v>
      </c>
      <c r="BG156" s="36">
        <f t="shared" si="998"/>
        <v>11773.34</v>
      </c>
      <c r="BH156" s="36">
        <f t="shared" si="998"/>
        <v>11773.34</v>
      </c>
      <c r="BI156" s="36">
        <f t="shared" si="998"/>
        <v>11773.34</v>
      </c>
      <c r="BJ156" s="36">
        <f t="shared" si="998"/>
        <v>11773.34</v>
      </c>
      <c r="BK156" s="167">
        <f t="shared" si="998"/>
        <v>11773.34</v>
      </c>
      <c r="BL156" s="36">
        <f t="shared" si="998"/>
        <v>11773.34</v>
      </c>
      <c r="BM156" s="36">
        <f t="shared" si="998"/>
        <v>11773.34</v>
      </c>
      <c r="BN156" s="36">
        <f t="shared" si="998"/>
        <v>11773.34</v>
      </c>
      <c r="BO156" s="36">
        <f t="shared" si="998"/>
        <v>11773.34</v>
      </c>
      <c r="BP156" s="36">
        <f t="shared" si="998"/>
        <v>11773.34</v>
      </c>
      <c r="BQ156" s="36">
        <f t="shared" si="998"/>
        <v>11773.34</v>
      </c>
      <c r="BR156" s="36">
        <f t="shared" si="998"/>
        <v>11773.34</v>
      </c>
      <c r="BS156" s="36">
        <f t="shared" si="998"/>
        <v>11773.34</v>
      </c>
      <c r="BT156" s="36">
        <f t="shared" si="998"/>
        <v>11773.34</v>
      </c>
      <c r="BU156" s="36">
        <f t="shared" si="998"/>
        <v>11773.34</v>
      </c>
      <c r="BV156" s="36">
        <f t="shared" si="998"/>
        <v>11773.34</v>
      </c>
      <c r="BW156" s="167">
        <f t="shared" si="998"/>
        <v>11773.34</v>
      </c>
      <c r="BX156" s="36">
        <f t="shared" si="998"/>
        <v>11773.34</v>
      </c>
      <c r="BY156" s="36">
        <f t="shared" si="998"/>
        <v>11773.34</v>
      </c>
      <c r="BZ156" s="36">
        <f t="shared" si="998"/>
        <v>11773.34</v>
      </c>
      <c r="CA156" s="36">
        <f t="shared" si="998"/>
        <v>11773.34</v>
      </c>
      <c r="CB156" s="36">
        <f t="shared" si="998"/>
        <v>11773.34</v>
      </c>
      <c r="CC156" s="36">
        <f t="shared" si="998"/>
        <v>11773.34</v>
      </c>
      <c r="CD156" s="36">
        <f t="shared" si="998"/>
        <v>11773.34</v>
      </c>
      <c r="CE156" s="36">
        <f t="shared" si="998"/>
        <v>11773.34</v>
      </c>
      <c r="CF156" s="36">
        <f t="shared" si="998"/>
        <v>11773.34</v>
      </c>
      <c r="CG156" s="36">
        <f t="shared" si="998"/>
        <v>11773.34</v>
      </c>
      <c r="CH156" s="36">
        <f t="shared" si="998"/>
        <v>11773.34</v>
      </c>
      <c r="CI156" s="167">
        <f t="shared" si="998"/>
        <v>11773.34</v>
      </c>
      <c r="CJ156" s="36">
        <f t="shared" si="998"/>
        <v>11773.34</v>
      </c>
      <c r="CK156" s="36">
        <f t="shared" si="998"/>
        <v>11773.34</v>
      </c>
      <c r="CL156" s="36">
        <f t="shared" si="998"/>
        <v>11773.34</v>
      </c>
      <c r="CM156" s="36">
        <f t="shared" si="998"/>
        <v>11773.34</v>
      </c>
      <c r="CN156" s="36">
        <f t="shared" si="998"/>
        <v>11773.34</v>
      </c>
      <c r="CO156" s="36">
        <f t="shared" si="998"/>
        <v>11773.34</v>
      </c>
      <c r="CP156" s="36">
        <f t="shared" ref="CP156:DG156" si="999">SUM(CP153:CP155)</f>
        <v>11773.34</v>
      </c>
      <c r="CQ156" s="36">
        <f t="shared" si="999"/>
        <v>11773.34</v>
      </c>
      <c r="CR156" s="36">
        <f t="shared" si="999"/>
        <v>11773.34</v>
      </c>
      <c r="CS156" s="36">
        <f t="shared" si="999"/>
        <v>11773.34</v>
      </c>
      <c r="CT156" s="36">
        <f t="shared" si="999"/>
        <v>11773.34</v>
      </c>
      <c r="CU156" s="167">
        <f t="shared" si="999"/>
        <v>11773.34</v>
      </c>
      <c r="CV156" s="36">
        <f t="shared" si="999"/>
        <v>11773.34</v>
      </c>
      <c r="CW156" s="36">
        <f t="shared" si="999"/>
        <v>11773.34</v>
      </c>
      <c r="CX156" s="36">
        <f t="shared" si="999"/>
        <v>11773.34</v>
      </c>
      <c r="CY156" s="36">
        <f t="shared" si="999"/>
        <v>11773.34</v>
      </c>
      <c r="CZ156" s="36">
        <f t="shared" si="999"/>
        <v>11773.34</v>
      </c>
      <c r="DA156" s="36">
        <f t="shared" si="999"/>
        <v>11773.34</v>
      </c>
      <c r="DB156" s="36">
        <f t="shared" si="999"/>
        <v>11773.34</v>
      </c>
      <c r="DC156" s="36">
        <f t="shared" si="999"/>
        <v>11773.34</v>
      </c>
      <c r="DD156" s="36">
        <f t="shared" si="999"/>
        <v>11773.34</v>
      </c>
      <c r="DE156" s="36">
        <f t="shared" si="999"/>
        <v>11773.34</v>
      </c>
      <c r="DF156" s="36">
        <f t="shared" si="999"/>
        <v>11773.34</v>
      </c>
      <c r="DG156" s="36">
        <f t="shared" si="999"/>
        <v>11773.34</v>
      </c>
    </row>
    <row r="157" spans="1:111" x14ac:dyDescent="0.3">
      <c r="B157" s="1" t="s">
        <v>26</v>
      </c>
      <c r="C157" s="1"/>
      <c r="D157" s="91"/>
      <c r="E157" s="91"/>
      <c r="F157" s="91"/>
      <c r="G157" s="91"/>
      <c r="H157" s="91"/>
      <c r="I157" s="91"/>
      <c r="J157" s="90"/>
      <c r="K157" s="90"/>
      <c r="L157" s="90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163"/>
      <c r="AK157" s="206"/>
      <c r="AL157" s="91"/>
      <c r="AM157" s="163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163"/>
      <c r="AZ157" s="91"/>
      <c r="BA157" s="91"/>
      <c r="BB157" s="91"/>
      <c r="BC157" s="91"/>
      <c r="BD157" s="91"/>
      <c r="BE157" s="91"/>
      <c r="BF157" s="91"/>
      <c r="BG157" s="91"/>
      <c r="BH157" s="91"/>
      <c r="BI157" s="91"/>
      <c r="BJ157" s="91"/>
      <c r="BK157" s="163"/>
      <c r="BL157" s="91"/>
      <c r="BM157" s="91"/>
      <c r="BN157" s="91"/>
      <c r="BO157" s="91"/>
      <c r="BP157" s="91"/>
      <c r="BQ157" s="91"/>
      <c r="BR157" s="91"/>
      <c r="BS157" s="91"/>
      <c r="BT157" s="91"/>
      <c r="BU157" s="91"/>
      <c r="BV157" s="91"/>
      <c r="BW157" s="163"/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163"/>
      <c r="CJ157" s="91"/>
      <c r="CK157" s="91"/>
      <c r="CL157" s="91"/>
      <c r="CM157" s="91"/>
      <c r="CN157" s="91"/>
      <c r="CO157" s="91"/>
      <c r="CP157" s="91"/>
      <c r="CQ157" s="91"/>
      <c r="CR157" s="91"/>
      <c r="CS157" s="91"/>
      <c r="CT157" s="91"/>
      <c r="CU157" s="163"/>
      <c r="CV157" s="91"/>
      <c r="CW157" s="91"/>
      <c r="CX157" s="91"/>
      <c r="CY157" s="91"/>
      <c r="CZ157" s="91"/>
      <c r="DA157" s="91"/>
      <c r="DB157" s="91"/>
      <c r="DC157" s="91"/>
      <c r="DD157" s="91"/>
      <c r="DE157" s="91"/>
      <c r="DF157" s="91"/>
      <c r="DG157" s="91"/>
    </row>
    <row r="158" spans="1:111" s="3" customFormat="1" x14ac:dyDescent="0.3">
      <c r="A158"/>
      <c r="B158" s="1" t="s">
        <v>27</v>
      </c>
      <c r="C158" s="1"/>
      <c r="D158" s="91"/>
      <c r="E158" s="91"/>
      <c r="F158" s="91"/>
      <c r="G158" s="91"/>
      <c r="H158" s="91"/>
      <c r="I158" s="91"/>
      <c r="J158" s="90"/>
      <c r="K158" s="90"/>
      <c r="L158" s="90"/>
      <c r="M158" s="91"/>
      <c r="N158" s="91"/>
      <c r="O158" s="91"/>
      <c r="P158" s="91">
        <v>-6487.38</v>
      </c>
      <c r="Q158" s="91">
        <v>-6487.38</v>
      </c>
      <c r="R158" s="91">
        <v>-6487.38</v>
      </c>
      <c r="S158" s="91">
        <v>-6487.38</v>
      </c>
      <c r="T158" s="91">
        <v>-6487.38</v>
      </c>
      <c r="U158" s="91">
        <v>-6487.38</v>
      </c>
      <c r="V158" s="91">
        <v>-6487.38</v>
      </c>
      <c r="W158" s="91">
        <v>-6487.38</v>
      </c>
      <c r="X158" s="91">
        <v>-6487.38</v>
      </c>
      <c r="Y158" s="91">
        <v>-6487.38</v>
      </c>
      <c r="Z158" s="91">
        <v>-6487.38</v>
      </c>
      <c r="AA158" s="91">
        <v>-6487.38</v>
      </c>
      <c r="AB158" s="91">
        <v>74222.559999999998</v>
      </c>
      <c r="AC158" s="91">
        <v>74222.559999999998</v>
      </c>
      <c r="AD158" s="91">
        <v>74222.559999999998</v>
      </c>
      <c r="AE158" s="91">
        <v>74222.559999999998</v>
      </c>
      <c r="AF158" s="91">
        <v>74222.559999999998</v>
      </c>
      <c r="AG158" s="91">
        <v>74222.559999999998</v>
      </c>
      <c r="AH158" s="91">
        <v>74222.559999999998</v>
      </c>
      <c r="AI158" s="91">
        <v>74222.559999999998</v>
      </c>
      <c r="AJ158" s="163">
        <v>74222.559999999998</v>
      </c>
      <c r="AK158" s="206">
        <f t="shared" ref="AK158" si="1000">+AJ158</f>
        <v>74222.559999999998</v>
      </c>
      <c r="AL158" s="91">
        <f t="shared" ref="AL158:CA158" si="1001">AK158</f>
        <v>74222.559999999998</v>
      </c>
      <c r="AM158" s="163">
        <f t="shared" si="1001"/>
        <v>74222.559999999998</v>
      </c>
      <c r="AN158" s="206">
        <f>AM158+AM159</f>
        <v>269801.39761666668</v>
      </c>
      <c r="AO158" s="91">
        <f t="shared" si="1001"/>
        <v>269801.39761666668</v>
      </c>
      <c r="AP158" s="91">
        <f t="shared" si="1001"/>
        <v>269801.39761666668</v>
      </c>
      <c r="AQ158" s="91">
        <f t="shared" si="1001"/>
        <v>269801.39761666668</v>
      </c>
      <c r="AR158" s="91">
        <f t="shared" si="1001"/>
        <v>269801.39761666668</v>
      </c>
      <c r="AS158" s="91">
        <f t="shared" si="1001"/>
        <v>269801.39761666668</v>
      </c>
      <c r="AT158" s="91">
        <f t="shared" si="1001"/>
        <v>269801.39761666668</v>
      </c>
      <c r="AU158" s="91">
        <f t="shared" si="1001"/>
        <v>269801.39761666668</v>
      </c>
      <c r="AV158" s="91">
        <f t="shared" si="1001"/>
        <v>269801.39761666668</v>
      </c>
      <c r="AW158" s="91">
        <f t="shared" si="1001"/>
        <v>269801.39761666668</v>
      </c>
      <c r="AX158" s="91">
        <f t="shared" si="1001"/>
        <v>269801.39761666668</v>
      </c>
      <c r="AY158" s="163">
        <f t="shared" si="1001"/>
        <v>269801.39761666668</v>
      </c>
      <c r="AZ158" s="206">
        <f>AY158+AY159</f>
        <v>830621.04397049127</v>
      </c>
      <c r="BA158" s="91">
        <f t="shared" si="1001"/>
        <v>830621.04397049127</v>
      </c>
      <c r="BB158" s="91">
        <f t="shared" si="1001"/>
        <v>830621.04397049127</v>
      </c>
      <c r="BC158" s="91">
        <f t="shared" si="1001"/>
        <v>830621.04397049127</v>
      </c>
      <c r="BD158" s="91">
        <f t="shared" si="1001"/>
        <v>830621.04397049127</v>
      </c>
      <c r="BE158" s="91">
        <f t="shared" si="1001"/>
        <v>830621.04397049127</v>
      </c>
      <c r="BF158" s="91">
        <f t="shared" si="1001"/>
        <v>830621.04397049127</v>
      </c>
      <c r="BG158" s="91">
        <f t="shared" si="1001"/>
        <v>830621.04397049127</v>
      </c>
      <c r="BH158" s="91">
        <f t="shared" si="1001"/>
        <v>830621.04397049127</v>
      </c>
      <c r="BI158" s="91">
        <f t="shared" si="1001"/>
        <v>830621.04397049127</v>
      </c>
      <c r="BJ158" s="91">
        <f t="shared" si="1001"/>
        <v>830621.04397049127</v>
      </c>
      <c r="BK158" s="163">
        <f t="shared" si="1001"/>
        <v>830621.04397049127</v>
      </c>
      <c r="BL158" s="206">
        <f>BK158+BK159</f>
        <v>1467065.1437101404</v>
      </c>
      <c r="BM158" s="91">
        <f t="shared" si="1001"/>
        <v>1467065.1437101404</v>
      </c>
      <c r="BN158" s="91">
        <f t="shared" si="1001"/>
        <v>1467065.1437101404</v>
      </c>
      <c r="BO158" s="91">
        <f t="shared" si="1001"/>
        <v>1467065.1437101404</v>
      </c>
      <c r="BP158" s="91">
        <f t="shared" si="1001"/>
        <v>1467065.1437101404</v>
      </c>
      <c r="BQ158" s="91">
        <f t="shared" si="1001"/>
        <v>1467065.1437101404</v>
      </c>
      <c r="BR158" s="91">
        <f t="shared" si="1001"/>
        <v>1467065.1437101404</v>
      </c>
      <c r="BS158" s="91">
        <f t="shared" si="1001"/>
        <v>1467065.1437101404</v>
      </c>
      <c r="BT158" s="91">
        <f t="shared" si="1001"/>
        <v>1467065.1437101404</v>
      </c>
      <c r="BU158" s="91">
        <f t="shared" si="1001"/>
        <v>1467065.1437101404</v>
      </c>
      <c r="BV158" s="91">
        <f t="shared" si="1001"/>
        <v>1467065.1437101404</v>
      </c>
      <c r="BW158" s="163">
        <f t="shared" si="1001"/>
        <v>1467065.1437101404</v>
      </c>
      <c r="BX158" s="206">
        <f>BW158+BW159</f>
        <v>2862509.603018004</v>
      </c>
      <c r="BY158" s="91">
        <f t="shared" si="1001"/>
        <v>2862509.603018004</v>
      </c>
      <c r="BZ158" s="91">
        <f t="shared" si="1001"/>
        <v>2862509.603018004</v>
      </c>
      <c r="CA158" s="91">
        <f t="shared" si="1001"/>
        <v>2862509.603018004</v>
      </c>
      <c r="CB158" s="91">
        <f t="shared" ref="CB158:DG158" si="1002">CA158</f>
        <v>2862509.603018004</v>
      </c>
      <c r="CC158" s="91">
        <f t="shared" si="1002"/>
        <v>2862509.603018004</v>
      </c>
      <c r="CD158" s="91">
        <f t="shared" si="1002"/>
        <v>2862509.603018004</v>
      </c>
      <c r="CE158" s="91">
        <f t="shared" si="1002"/>
        <v>2862509.603018004</v>
      </c>
      <c r="CF158" s="91">
        <f t="shared" si="1002"/>
        <v>2862509.603018004</v>
      </c>
      <c r="CG158" s="91">
        <f t="shared" si="1002"/>
        <v>2862509.603018004</v>
      </c>
      <c r="CH158" s="91">
        <f t="shared" si="1002"/>
        <v>2862509.603018004</v>
      </c>
      <c r="CI158" s="163">
        <f t="shared" si="1002"/>
        <v>2862509.603018004</v>
      </c>
      <c r="CJ158" s="206">
        <f>CI158+CI159</f>
        <v>4528237.222262159</v>
      </c>
      <c r="CK158" s="91">
        <f t="shared" si="1002"/>
        <v>4528237.222262159</v>
      </c>
      <c r="CL158" s="91">
        <f t="shared" si="1002"/>
        <v>4528237.222262159</v>
      </c>
      <c r="CM158" s="91">
        <f t="shared" si="1002"/>
        <v>4528237.222262159</v>
      </c>
      <c r="CN158" s="91">
        <f t="shared" si="1002"/>
        <v>4528237.222262159</v>
      </c>
      <c r="CO158" s="91">
        <f t="shared" si="1002"/>
        <v>4528237.222262159</v>
      </c>
      <c r="CP158" s="91">
        <f t="shared" si="1002"/>
        <v>4528237.222262159</v>
      </c>
      <c r="CQ158" s="91">
        <f t="shared" si="1002"/>
        <v>4528237.222262159</v>
      </c>
      <c r="CR158" s="91">
        <f t="shared" si="1002"/>
        <v>4528237.222262159</v>
      </c>
      <c r="CS158" s="91">
        <f t="shared" si="1002"/>
        <v>4528237.222262159</v>
      </c>
      <c r="CT158" s="91">
        <f t="shared" si="1002"/>
        <v>4528237.222262159</v>
      </c>
      <c r="CU158" s="163">
        <f t="shared" si="1002"/>
        <v>4528237.222262159</v>
      </c>
      <c r="CV158" s="206">
        <f>CU158+CU159</f>
        <v>6755678.9568879316</v>
      </c>
      <c r="CW158" s="91">
        <f t="shared" si="1002"/>
        <v>6755678.9568879316</v>
      </c>
      <c r="CX158" s="91">
        <f t="shared" si="1002"/>
        <v>6755678.9568879316</v>
      </c>
      <c r="CY158" s="91">
        <f t="shared" si="1002"/>
        <v>6755678.9568879316</v>
      </c>
      <c r="CZ158" s="91">
        <f t="shared" si="1002"/>
        <v>6755678.9568879316</v>
      </c>
      <c r="DA158" s="91">
        <f t="shared" si="1002"/>
        <v>6755678.9568879316</v>
      </c>
      <c r="DB158" s="91">
        <f t="shared" si="1002"/>
        <v>6755678.9568879316</v>
      </c>
      <c r="DC158" s="91">
        <f t="shared" si="1002"/>
        <v>6755678.9568879316</v>
      </c>
      <c r="DD158" s="91">
        <f t="shared" si="1002"/>
        <v>6755678.9568879316</v>
      </c>
      <c r="DE158" s="91">
        <f t="shared" si="1002"/>
        <v>6755678.9568879316</v>
      </c>
      <c r="DF158" s="91">
        <f t="shared" si="1002"/>
        <v>6755678.9568879316</v>
      </c>
      <c r="DG158" s="91">
        <f t="shared" si="1002"/>
        <v>6755678.9568879316</v>
      </c>
    </row>
    <row r="159" spans="1:111" x14ac:dyDescent="0.3">
      <c r="B159" s="1" t="s">
        <v>28</v>
      </c>
      <c r="C159" s="1"/>
      <c r="D159" s="91"/>
      <c r="E159" s="91">
        <f>+E89</f>
        <v>-12</v>
      </c>
      <c r="F159" s="91">
        <f t="shared" ref="F159:N159" si="1003">+F89+E159</f>
        <v>-23.83</v>
      </c>
      <c r="G159" s="91">
        <f t="shared" si="1003"/>
        <v>-35.83</v>
      </c>
      <c r="H159" s="91">
        <f t="shared" si="1003"/>
        <v>-167.82999999999998</v>
      </c>
      <c r="I159" s="91">
        <f t="shared" si="1003"/>
        <v>-985.19</v>
      </c>
      <c r="J159" s="91">
        <f t="shared" si="1003"/>
        <v>-997.19</v>
      </c>
      <c r="K159" s="91">
        <f t="shared" si="1003"/>
        <v>-1210.19</v>
      </c>
      <c r="L159" s="91">
        <f t="shared" si="1003"/>
        <v>-3090.69</v>
      </c>
      <c r="M159" s="91">
        <f t="shared" si="1003"/>
        <v>-3353.9900000000002</v>
      </c>
      <c r="N159" s="91">
        <f t="shared" si="1003"/>
        <v>-3576.9900000000002</v>
      </c>
      <c r="O159" s="91">
        <v>-6487.38</v>
      </c>
      <c r="P159" s="91">
        <f>+P89</f>
        <v>-1759.16</v>
      </c>
      <c r="Q159" s="91">
        <f t="shared" ref="Q159:AA159" si="1004">+Q89+P159</f>
        <v>-2226.34</v>
      </c>
      <c r="R159" s="91">
        <f t="shared" si="1004"/>
        <v>-3752.12</v>
      </c>
      <c r="S159" s="91">
        <f t="shared" si="1004"/>
        <v>-4351.1099999999997</v>
      </c>
      <c r="T159" s="91">
        <f t="shared" si="1004"/>
        <v>-6412</v>
      </c>
      <c r="U159" s="91">
        <f t="shared" si="1004"/>
        <v>-10292.07</v>
      </c>
      <c r="V159" s="91">
        <f t="shared" si="1004"/>
        <v>-12323.02</v>
      </c>
      <c r="W159" s="91">
        <f t="shared" si="1004"/>
        <v>-33951.449999999997</v>
      </c>
      <c r="X159" s="91">
        <f t="shared" si="1004"/>
        <v>-37979.509999999995</v>
      </c>
      <c r="Y159" s="91">
        <f t="shared" si="1004"/>
        <v>29140.5</v>
      </c>
      <c r="Z159" s="91">
        <f t="shared" si="1004"/>
        <v>69037.50999999998</v>
      </c>
      <c r="AA159" s="91">
        <f t="shared" si="1004"/>
        <v>80709.939999999988</v>
      </c>
      <c r="AB159" s="91">
        <f>+AB89</f>
        <v>-67320.260000000009</v>
      </c>
      <c r="AC159" s="91">
        <f t="shared" ref="AC159:AM159" si="1005">+AC89+AB159</f>
        <v>24926.459999999992</v>
      </c>
      <c r="AD159" s="91">
        <f t="shared" si="1005"/>
        <v>30662.179999999993</v>
      </c>
      <c r="AE159" s="91">
        <f t="shared" si="1005"/>
        <v>1805.0699999999924</v>
      </c>
      <c r="AF159" s="91">
        <f t="shared" si="1005"/>
        <v>54837.279999999999</v>
      </c>
      <c r="AG159" s="91">
        <f t="shared" si="1005"/>
        <v>24337.730000000003</v>
      </c>
      <c r="AH159" s="91">
        <f t="shared" si="1005"/>
        <v>19337.850000000002</v>
      </c>
      <c r="AI159" s="91">
        <f t="shared" si="1005"/>
        <v>21218</v>
      </c>
      <c r="AJ159" s="163">
        <f t="shared" si="1005"/>
        <v>32084.740000000005</v>
      </c>
      <c r="AK159" s="91">
        <f t="shared" si="1005"/>
        <v>92812.640950000001</v>
      </c>
      <c r="AL159" s="91">
        <f t="shared" si="1005"/>
        <v>110167.69761666667</v>
      </c>
      <c r="AM159" s="163">
        <f t="shared" si="1005"/>
        <v>195578.83761666669</v>
      </c>
      <c r="AN159" s="91">
        <f>+AN89</f>
        <v>-32068.08336562074</v>
      </c>
      <c r="AO159" s="91">
        <f t="shared" ref="AO159:AY159" si="1006">+AO89+AN159</f>
        <v>-54978.089379655954</v>
      </c>
      <c r="AP159" s="91">
        <f t="shared" si="1006"/>
        <v>-110758.39876719983</v>
      </c>
      <c r="AQ159" s="91">
        <f t="shared" si="1006"/>
        <v>36110.88529239333</v>
      </c>
      <c r="AR159" s="91">
        <f t="shared" si="1006"/>
        <v>148730.89358557656</v>
      </c>
      <c r="AS159" s="91">
        <f t="shared" si="1006"/>
        <v>237894.49751916167</v>
      </c>
      <c r="AT159" s="91">
        <f t="shared" si="1006"/>
        <v>95334.344449237222</v>
      </c>
      <c r="AU159" s="91">
        <f t="shared" si="1006"/>
        <v>135594.43916190811</v>
      </c>
      <c r="AV159" s="91">
        <f t="shared" si="1006"/>
        <v>60070.531721754116</v>
      </c>
      <c r="AW159" s="91">
        <f t="shared" si="1006"/>
        <v>348788.8131150768</v>
      </c>
      <c r="AX159" s="91">
        <f t="shared" si="1006"/>
        <v>565666.77578900394</v>
      </c>
      <c r="AY159" s="163">
        <f t="shared" si="1006"/>
        <v>560819.64635382465</v>
      </c>
      <c r="AZ159" s="91">
        <f>+AZ89</f>
        <v>-164145.52283997537</v>
      </c>
      <c r="BA159" s="91">
        <f t="shared" ref="BA159:BK159" si="1007">+BA89+AZ159</f>
        <v>-52366.061994623014</v>
      </c>
      <c r="BB159" s="91">
        <f t="shared" si="1007"/>
        <v>-107863.48037264464</v>
      </c>
      <c r="BC159" s="91">
        <f t="shared" si="1007"/>
        <v>-57472.57540635809</v>
      </c>
      <c r="BD159" s="91">
        <f t="shared" si="1007"/>
        <v>99603.941979508818</v>
      </c>
      <c r="BE159" s="91">
        <f t="shared" si="1007"/>
        <v>57249.076451372857</v>
      </c>
      <c r="BF159" s="91">
        <f t="shared" si="1007"/>
        <v>25572.429872991241</v>
      </c>
      <c r="BG159" s="91">
        <f t="shared" si="1007"/>
        <v>-26865.003588426443</v>
      </c>
      <c r="BH159" s="91">
        <f t="shared" si="1007"/>
        <v>362762.00557929534</v>
      </c>
      <c r="BI159" s="91">
        <f t="shared" si="1007"/>
        <v>745827.9108737132</v>
      </c>
      <c r="BJ159" s="91">
        <f t="shared" si="1007"/>
        <v>823918.10051384335</v>
      </c>
      <c r="BK159" s="163">
        <f t="shared" si="1007"/>
        <v>636444.0997396491</v>
      </c>
      <c r="BL159" s="91">
        <f>+BL89</f>
        <v>191201.69815251045</v>
      </c>
      <c r="BM159" s="91">
        <f t="shared" ref="BM159:BW159" si="1008">+BM89+BL159</f>
        <v>148235.30651853039</v>
      </c>
      <c r="BN159" s="91">
        <f t="shared" si="1008"/>
        <v>270886.54800809955</v>
      </c>
      <c r="BO159" s="91">
        <f t="shared" si="1008"/>
        <v>198954.81690652648</v>
      </c>
      <c r="BP159" s="91">
        <f t="shared" si="1008"/>
        <v>472133.50265652651</v>
      </c>
      <c r="BQ159" s="91">
        <f t="shared" si="1008"/>
        <v>424935.88956542936</v>
      </c>
      <c r="BR159" s="91">
        <f t="shared" si="1008"/>
        <v>391262.11585787399</v>
      </c>
      <c r="BS159" s="91">
        <f t="shared" si="1008"/>
        <v>334569.79249036545</v>
      </c>
      <c r="BT159" s="91">
        <f t="shared" si="1008"/>
        <v>880104.32978569344</v>
      </c>
      <c r="BU159" s="91">
        <f t="shared" si="1008"/>
        <v>1443045.2479322315</v>
      </c>
      <c r="BV159" s="91">
        <f t="shared" si="1008"/>
        <v>1608643.4334164984</v>
      </c>
      <c r="BW159" s="163">
        <f t="shared" si="1008"/>
        <v>1395444.4593078636</v>
      </c>
      <c r="BX159" s="91">
        <f>+BX89</f>
        <v>288498.13265645807</v>
      </c>
      <c r="BY159" s="91">
        <f t="shared" ref="BY159:CI159" si="1009">+BY89+BX159</f>
        <v>236424.66232252994</v>
      </c>
      <c r="BZ159" s="91">
        <f t="shared" si="1009"/>
        <v>445800.21233620244</v>
      </c>
      <c r="CA159" s="91">
        <f t="shared" si="1009"/>
        <v>360307.0584953294</v>
      </c>
      <c r="CB159" s="91">
        <f t="shared" si="1009"/>
        <v>672422.91221949598</v>
      </c>
      <c r="CC159" s="91">
        <f t="shared" si="1009"/>
        <v>613906.39813923545</v>
      </c>
      <c r="CD159" s="91">
        <f t="shared" si="1009"/>
        <v>571875.84022333391</v>
      </c>
      <c r="CE159" s="91">
        <f t="shared" si="1009"/>
        <v>501082.75964902854</v>
      </c>
      <c r="CF159" s="91">
        <f t="shared" si="1009"/>
        <v>1125928.8921982143</v>
      </c>
      <c r="CG159" s="91">
        <f t="shared" si="1009"/>
        <v>1760382.8781027356</v>
      </c>
      <c r="CH159" s="91">
        <f t="shared" si="1009"/>
        <v>1928553.5007306153</v>
      </c>
      <c r="CI159" s="163">
        <f t="shared" si="1009"/>
        <v>1665727.6192441548</v>
      </c>
      <c r="CJ159" s="91">
        <f>+CJ89</f>
        <v>322802.83384313871</v>
      </c>
      <c r="CK159" s="91">
        <f t="shared" ref="CK159:CU159" si="1010">+CK89+CJ159</f>
        <v>260327.74092887912</v>
      </c>
      <c r="CL159" s="91">
        <f t="shared" si="1010"/>
        <v>486418.1653655126</v>
      </c>
      <c r="CM159" s="91">
        <f t="shared" si="1010"/>
        <v>384185.56967347465</v>
      </c>
      <c r="CN159" s="91">
        <f t="shared" si="1010"/>
        <v>801379.44483071635</v>
      </c>
      <c r="CO159" s="91">
        <f t="shared" si="1010"/>
        <v>732232.86023242399</v>
      </c>
      <c r="CP159" s="91">
        <f t="shared" si="1010"/>
        <v>684821.7208395804</v>
      </c>
      <c r="CQ159" s="91">
        <f t="shared" si="1010"/>
        <v>602389.4281237321</v>
      </c>
      <c r="CR159" s="91">
        <f t="shared" si="1010"/>
        <v>1437546.1518122475</v>
      </c>
      <c r="CS159" s="91">
        <f t="shared" si="1010"/>
        <v>2298112.6921949321</v>
      </c>
      <c r="CT159" s="91">
        <f t="shared" si="1010"/>
        <v>2551875.028481815</v>
      </c>
      <c r="CU159" s="163">
        <f t="shared" si="1010"/>
        <v>2227441.7346257726</v>
      </c>
      <c r="CV159" s="91">
        <f>+CV89</f>
        <v>928761.09564014385</v>
      </c>
      <c r="CW159" s="91">
        <f t="shared" ref="CW159:DG159" si="1011">+CW89+CV159</f>
        <v>836087.28112689883</v>
      </c>
      <c r="CX159" s="91">
        <f t="shared" si="1011"/>
        <v>1153731.2475488088</v>
      </c>
      <c r="CY159" s="91">
        <f t="shared" si="1011"/>
        <v>960094.65482227365</v>
      </c>
      <c r="CZ159" s="91">
        <f t="shared" si="1011"/>
        <v>1889439.9703425746</v>
      </c>
      <c r="DA159" s="91">
        <f t="shared" si="1011"/>
        <v>2775797.0658958787</v>
      </c>
      <c r="DB159" s="91">
        <f t="shared" si="1011"/>
        <v>2979617.1165342205</v>
      </c>
      <c r="DC159" s="91">
        <f t="shared" si="1011"/>
        <v>2621414.4110010518</v>
      </c>
      <c r="DD159" s="91">
        <f t="shared" si="1011"/>
        <v>3071077.7463126699</v>
      </c>
      <c r="DE159" s="91">
        <f t="shared" si="1011"/>
        <v>2967490.4914881904</v>
      </c>
      <c r="DF159" s="91">
        <f t="shared" si="1011"/>
        <v>3325935.2126900507</v>
      </c>
      <c r="DG159" s="91">
        <f t="shared" si="1011"/>
        <v>3172245.4036989035</v>
      </c>
    </row>
    <row r="160" spans="1:111" x14ac:dyDescent="0.3">
      <c r="A160" s="5"/>
      <c r="B160" s="6" t="s">
        <v>29</v>
      </c>
      <c r="C160" s="6"/>
      <c r="D160" s="36">
        <f t="shared" ref="D160:AF160" si="1012">+SUM(D157:D159)+D156+D149</f>
        <v>0</v>
      </c>
      <c r="E160" s="36">
        <f t="shared" si="1012"/>
        <v>0</v>
      </c>
      <c r="F160" s="36">
        <f t="shared" si="1012"/>
        <v>0</v>
      </c>
      <c r="G160" s="36">
        <f t="shared" si="1012"/>
        <v>99.999999999999986</v>
      </c>
      <c r="H160" s="36">
        <f t="shared" si="1012"/>
        <v>100.00000000000006</v>
      </c>
      <c r="I160" s="36">
        <f t="shared" si="1012"/>
        <v>100</v>
      </c>
      <c r="J160" s="36">
        <f t="shared" si="1012"/>
        <v>1600</v>
      </c>
      <c r="K160" s="36">
        <f t="shared" si="1012"/>
        <v>1399</v>
      </c>
      <c r="L160" s="36">
        <f t="shared" si="1012"/>
        <v>280.5</v>
      </c>
      <c r="M160" s="36">
        <f t="shared" si="1012"/>
        <v>329.19999999999982</v>
      </c>
      <c r="N160" s="36">
        <f t="shared" si="1012"/>
        <v>118.19999999999982</v>
      </c>
      <c r="O160" s="36">
        <f t="shared" si="1012"/>
        <v>307.8100000000004</v>
      </c>
      <c r="P160" s="36">
        <f t="shared" si="1012"/>
        <v>1652.9199999999983</v>
      </c>
      <c r="Q160" s="36">
        <f t="shared" si="1012"/>
        <v>1185.739999999998</v>
      </c>
      <c r="R160" s="36">
        <f t="shared" si="1012"/>
        <v>-340.04000000000087</v>
      </c>
      <c r="S160" s="36">
        <f t="shared" si="1012"/>
        <v>-439.03000000000065</v>
      </c>
      <c r="T160" s="36">
        <f t="shared" si="1012"/>
        <v>-2499.9200000000019</v>
      </c>
      <c r="U160" s="36">
        <f t="shared" si="1012"/>
        <v>-6379.9900000000016</v>
      </c>
      <c r="V160" s="36">
        <f t="shared" si="1012"/>
        <v>-7217.2500000000018</v>
      </c>
      <c r="W160" s="36">
        <f t="shared" si="1012"/>
        <v>-28845.679999999993</v>
      </c>
      <c r="X160" s="36">
        <f t="shared" si="1012"/>
        <v>-32693.549999999992</v>
      </c>
      <c r="Y160" s="36">
        <f t="shared" si="1012"/>
        <v>34426.46</v>
      </c>
      <c r="Z160" s="36">
        <f t="shared" si="1012"/>
        <v>64323.469999999987</v>
      </c>
      <c r="AA160" s="36">
        <f t="shared" si="1012"/>
        <v>65995.89999999998</v>
      </c>
      <c r="AB160" s="36">
        <f t="shared" si="1012"/>
        <v>-1324.3600000000115</v>
      </c>
      <c r="AC160" s="36">
        <f t="shared" si="1012"/>
        <v>70922.359999999986</v>
      </c>
      <c r="AD160" s="36">
        <f t="shared" si="1012"/>
        <v>76658.079999999987</v>
      </c>
      <c r="AE160" s="36">
        <f t="shared" si="1012"/>
        <v>-2199.0300000000134</v>
      </c>
      <c r="AF160" s="36">
        <f t="shared" si="1012"/>
        <v>50833.179999999993</v>
      </c>
      <c r="AG160" s="36">
        <f t="shared" ref="AG160:AH160" si="1013">+SUM(AG157:AG159)+AG156+AG149</f>
        <v>20333.630000000005</v>
      </c>
      <c r="AH160" s="36">
        <f t="shared" si="1013"/>
        <v>15333.75</v>
      </c>
      <c r="AI160" s="36">
        <f t="shared" ref="AI160:AJ160" si="1014">+SUM(AI157:AI159)+AI156+AI149</f>
        <v>17213.899999999994</v>
      </c>
      <c r="AJ160" s="167">
        <f t="shared" si="1014"/>
        <v>28080.639999999999</v>
      </c>
      <c r="AK160" s="36">
        <f t="shared" ref="AK160" si="1015">+SUM(AK157:AK159)+AK156+AK149</f>
        <v>88808.540949999995</v>
      </c>
      <c r="AL160" s="36">
        <f t="shared" ref="AL160:BO160" si="1016">+SUM(AL157:AL159)+AL156+AL149</f>
        <v>106163.59761666667</v>
      </c>
      <c r="AM160" s="167">
        <f t="shared" si="1016"/>
        <v>184978.96972389688</v>
      </c>
      <c r="AN160" s="36">
        <f t="shared" si="1016"/>
        <v>152910.8863582761</v>
      </c>
      <c r="AO160" s="36">
        <f t="shared" si="1016"/>
        <v>130000.8803442409</v>
      </c>
      <c r="AP160" s="36">
        <f t="shared" si="1016"/>
        <v>74220.570956697018</v>
      </c>
      <c r="AQ160" s="36">
        <f t="shared" si="1016"/>
        <v>221089.85501629021</v>
      </c>
      <c r="AR160" s="36">
        <f t="shared" si="1016"/>
        <v>333709.86330947344</v>
      </c>
      <c r="AS160" s="36">
        <f t="shared" si="1016"/>
        <v>422873.46724305855</v>
      </c>
      <c r="AT160" s="36">
        <f t="shared" si="1016"/>
        <v>280313.3141731341</v>
      </c>
      <c r="AU160" s="36">
        <f t="shared" si="1016"/>
        <v>320573.40888580499</v>
      </c>
      <c r="AV160" s="36">
        <f t="shared" si="1016"/>
        <v>245049.501445651</v>
      </c>
      <c r="AW160" s="36">
        <f t="shared" si="1016"/>
        <v>533767.78283897368</v>
      </c>
      <c r="AX160" s="36">
        <f t="shared" si="1016"/>
        <v>750645.74551290064</v>
      </c>
      <c r="AY160" s="167">
        <f t="shared" si="1016"/>
        <v>689631.55334848631</v>
      </c>
      <c r="AZ160" s="36">
        <f t="shared" si="1016"/>
        <v>525486.030508511</v>
      </c>
      <c r="BA160" s="36">
        <f t="shared" si="1016"/>
        <v>637265.49135386327</v>
      </c>
      <c r="BB160" s="36">
        <f t="shared" si="1016"/>
        <v>581768.0729758417</v>
      </c>
      <c r="BC160" s="36">
        <f t="shared" si="1016"/>
        <v>632158.9779421282</v>
      </c>
      <c r="BD160" s="36">
        <f t="shared" si="1016"/>
        <v>789235.49532799516</v>
      </c>
      <c r="BE160" s="36">
        <f t="shared" si="1016"/>
        <v>746880.62979985913</v>
      </c>
      <c r="BF160" s="36">
        <f t="shared" si="1016"/>
        <v>715203.9832214776</v>
      </c>
      <c r="BG160" s="36">
        <f t="shared" si="1016"/>
        <v>662766.54976005992</v>
      </c>
      <c r="BH160" s="36">
        <f t="shared" si="1016"/>
        <v>1052393.5589277819</v>
      </c>
      <c r="BI160" s="36">
        <f t="shared" si="1016"/>
        <v>1435459.4642221997</v>
      </c>
      <c r="BJ160" s="36">
        <f t="shared" si="1016"/>
        <v>1513549.6538623297</v>
      </c>
      <c r="BK160" s="167">
        <f t="shared" si="1016"/>
        <v>1155049.6868577274</v>
      </c>
      <c r="BL160" s="36">
        <f t="shared" si="1016"/>
        <v>1346251.3850102378</v>
      </c>
      <c r="BM160" s="36">
        <f t="shared" si="1016"/>
        <v>1303284.9933762578</v>
      </c>
      <c r="BN160" s="36">
        <f t="shared" si="1016"/>
        <v>1425936.2348658266</v>
      </c>
      <c r="BO160" s="36">
        <f t="shared" si="1016"/>
        <v>1354004.5037642536</v>
      </c>
      <c r="BP160" s="36">
        <f t="shared" ref="BP160:CU160" si="1017">+SUM(BP157:BP159)+BP156+BP149</f>
        <v>1627183.1895142538</v>
      </c>
      <c r="BQ160" s="36">
        <f t="shared" si="1017"/>
        <v>1579985.5764231565</v>
      </c>
      <c r="BR160" s="36">
        <f t="shared" si="1017"/>
        <v>1546311.8027156014</v>
      </c>
      <c r="BS160" s="36">
        <f t="shared" si="1017"/>
        <v>1489619.4793480928</v>
      </c>
      <c r="BT160" s="36">
        <f t="shared" si="1017"/>
        <v>2035154.0166434203</v>
      </c>
      <c r="BU160" s="36">
        <f t="shared" si="1017"/>
        <v>2598094.9347899589</v>
      </c>
      <c r="BV160" s="36">
        <f t="shared" si="1017"/>
        <v>2763693.1202742257</v>
      </c>
      <c r="BW160" s="167">
        <f t="shared" si="1017"/>
        <v>2282664.6850980837</v>
      </c>
      <c r="BX160" s="36">
        <f t="shared" si="1017"/>
        <v>2571162.8177545415</v>
      </c>
      <c r="BY160" s="36">
        <f t="shared" si="1017"/>
        <v>2519089.3474206133</v>
      </c>
      <c r="BZ160" s="36">
        <f t="shared" si="1017"/>
        <v>2728464.8974342858</v>
      </c>
      <c r="CA160" s="36">
        <f t="shared" si="1017"/>
        <v>2642971.7435934125</v>
      </c>
      <c r="CB160" s="36">
        <f t="shared" si="1017"/>
        <v>2955087.5973175792</v>
      </c>
      <c r="CC160" s="36">
        <f t="shared" si="1017"/>
        <v>2896571.0832373193</v>
      </c>
      <c r="CD160" s="36">
        <f t="shared" si="1017"/>
        <v>2854540.5253214175</v>
      </c>
      <c r="CE160" s="36">
        <f t="shared" si="1017"/>
        <v>2783747.4447471118</v>
      </c>
      <c r="CF160" s="36">
        <f t="shared" si="1017"/>
        <v>3408593.577296298</v>
      </c>
      <c r="CG160" s="36">
        <f t="shared" si="1017"/>
        <v>4043047.5632008184</v>
      </c>
      <c r="CH160" s="36">
        <f t="shared" si="1017"/>
        <v>4211218.1858286988</v>
      </c>
      <c r="CI160" s="167">
        <f t="shared" si="1017"/>
        <v>3621580.2103150692</v>
      </c>
      <c r="CJ160" s="36">
        <f t="shared" si="1017"/>
        <v>3944383.0441582082</v>
      </c>
      <c r="CK160" s="36">
        <f t="shared" si="1017"/>
        <v>3881907.9512439482</v>
      </c>
      <c r="CL160" s="36">
        <f t="shared" si="1017"/>
        <v>4107998.3756805817</v>
      </c>
      <c r="CM160" s="36">
        <f t="shared" si="1017"/>
        <v>4005765.7799885441</v>
      </c>
      <c r="CN160" s="36">
        <f t="shared" si="1017"/>
        <v>4422959.6551457858</v>
      </c>
      <c r="CO160" s="36">
        <f t="shared" si="1017"/>
        <v>4353813.0705474932</v>
      </c>
      <c r="CP160" s="36">
        <f t="shared" si="1017"/>
        <v>4306401.9311546497</v>
      </c>
      <c r="CQ160" s="36">
        <f t="shared" si="1017"/>
        <v>4223969.6384388013</v>
      </c>
      <c r="CR160" s="36">
        <f t="shared" si="1017"/>
        <v>5059126.3621273171</v>
      </c>
      <c r="CS160" s="36">
        <f t="shared" si="1017"/>
        <v>5919692.9025100013</v>
      </c>
      <c r="CT160" s="36">
        <f t="shared" si="1017"/>
        <v>6173455.2387968842</v>
      </c>
      <c r="CU160" s="167">
        <f t="shared" si="1017"/>
        <v>5419015.3153575277</v>
      </c>
      <c r="CV160" s="36">
        <f t="shared" ref="CV160:DG160" si="1018">+SUM(CV157:CV159)+CV156+CV149</f>
        <v>6347776.410997672</v>
      </c>
      <c r="CW160" s="36">
        <f t="shared" si="1018"/>
        <v>6255102.5964844264</v>
      </c>
      <c r="CX160" s="36">
        <f t="shared" si="1018"/>
        <v>6572746.562906336</v>
      </c>
      <c r="CY160" s="36">
        <f t="shared" si="1018"/>
        <v>6379109.9701798018</v>
      </c>
      <c r="CZ160" s="36">
        <f t="shared" si="1018"/>
        <v>7308455.2857001033</v>
      </c>
      <c r="DA160" s="36">
        <f t="shared" si="1018"/>
        <v>8194812.3812534064</v>
      </c>
      <c r="DB160" s="36">
        <f t="shared" si="1018"/>
        <v>8398632.4318917487</v>
      </c>
      <c r="DC160" s="36">
        <f t="shared" si="1018"/>
        <v>8040429.7263585795</v>
      </c>
      <c r="DD160" s="36">
        <f t="shared" si="1018"/>
        <v>8490093.0616701972</v>
      </c>
      <c r="DE160" s="36">
        <f t="shared" si="1018"/>
        <v>8386505.806845719</v>
      </c>
      <c r="DF160" s="36">
        <f t="shared" si="1018"/>
        <v>8744950.5280475784</v>
      </c>
      <c r="DG160" s="36">
        <f t="shared" si="1018"/>
        <v>7893477.3401000313</v>
      </c>
    </row>
    <row r="161" spans="1:111" x14ac:dyDescent="0.3">
      <c r="A161" s="3"/>
      <c r="B161" s="4" t="s">
        <v>30</v>
      </c>
      <c r="C161" s="4"/>
      <c r="D161" s="37">
        <f t="shared" ref="D161:AF161" si="1019">D160+D144</f>
        <v>0</v>
      </c>
      <c r="E161" s="37">
        <f t="shared" si="1019"/>
        <v>0</v>
      </c>
      <c r="F161" s="37">
        <f t="shared" si="1019"/>
        <v>0</v>
      </c>
      <c r="G161" s="37">
        <f t="shared" si="1019"/>
        <v>99.999999999999986</v>
      </c>
      <c r="H161" s="37">
        <f t="shared" si="1019"/>
        <v>100.00000000000006</v>
      </c>
      <c r="I161" s="37">
        <f t="shared" si="1019"/>
        <v>100</v>
      </c>
      <c r="J161" s="37">
        <f t="shared" si="1019"/>
        <v>1600</v>
      </c>
      <c r="K161" s="37">
        <f t="shared" si="1019"/>
        <v>1399</v>
      </c>
      <c r="L161" s="37">
        <f t="shared" si="1019"/>
        <v>280.5</v>
      </c>
      <c r="M161" s="37">
        <f t="shared" si="1019"/>
        <v>329.19999999999982</v>
      </c>
      <c r="N161" s="37">
        <f t="shared" si="1019"/>
        <v>118.19999999999982</v>
      </c>
      <c r="O161" s="37">
        <f t="shared" si="1019"/>
        <v>307.8100000000004</v>
      </c>
      <c r="P161" s="37">
        <f t="shared" si="1019"/>
        <v>1685.4099999999983</v>
      </c>
      <c r="Q161" s="37">
        <f t="shared" si="1019"/>
        <v>1215.7899999999979</v>
      </c>
      <c r="R161" s="37">
        <f t="shared" si="1019"/>
        <v>888.599999999999</v>
      </c>
      <c r="S161" s="37">
        <f t="shared" si="1019"/>
        <v>721.96999999999935</v>
      </c>
      <c r="T161" s="37">
        <f t="shared" si="1019"/>
        <v>75385.05</v>
      </c>
      <c r="U161" s="37">
        <f t="shared" si="1019"/>
        <v>71768.56</v>
      </c>
      <c r="V161" s="37">
        <f t="shared" si="1019"/>
        <v>71854.92</v>
      </c>
      <c r="W161" s="37">
        <f t="shared" si="1019"/>
        <v>51317.030000000013</v>
      </c>
      <c r="X161" s="37">
        <f t="shared" si="1019"/>
        <v>48758.800000000017</v>
      </c>
      <c r="Y161" s="37">
        <f t="shared" si="1019"/>
        <v>118050.04999999999</v>
      </c>
      <c r="Z161" s="37">
        <f t="shared" si="1019"/>
        <v>143860.09999999998</v>
      </c>
      <c r="AA161" s="37">
        <f t="shared" si="1019"/>
        <v>194649.22999999998</v>
      </c>
      <c r="AB161" s="37">
        <f t="shared" si="1019"/>
        <v>95197.939999999988</v>
      </c>
      <c r="AC161" s="37">
        <f t="shared" si="1019"/>
        <v>146721.93</v>
      </c>
      <c r="AD161" s="37">
        <f t="shared" si="1019"/>
        <v>152555.53999999998</v>
      </c>
      <c r="AE161" s="37">
        <f t="shared" si="1019"/>
        <v>97184.299999999988</v>
      </c>
      <c r="AF161" s="37">
        <f t="shared" si="1019"/>
        <v>80293.639999999985</v>
      </c>
      <c r="AG161" s="37">
        <f t="shared" ref="AG161:AH161" si="1020">AG160+AG144</f>
        <v>69509.600000000006</v>
      </c>
      <c r="AH161" s="37">
        <f t="shared" si="1020"/>
        <v>42799.97</v>
      </c>
      <c r="AI161" s="37">
        <f t="shared" ref="AI161:AJ161" si="1021">AI160+AI144</f>
        <v>20509.539999999994</v>
      </c>
      <c r="AJ161" s="164">
        <f t="shared" si="1021"/>
        <v>33227.020000000004</v>
      </c>
      <c r="AK161" s="37">
        <f t="shared" ref="AK161" si="1022">AK160+AK144</f>
        <v>196263.65957006419</v>
      </c>
      <c r="AL161" s="37">
        <f t="shared" ref="AL161:BO161" si="1023">AL160+AL144</f>
        <v>201169.78984688816</v>
      </c>
      <c r="AM161" s="164">
        <f t="shared" si="1023"/>
        <v>357367.21483698022</v>
      </c>
      <c r="AN161" s="37">
        <f t="shared" si="1023"/>
        <v>349296.46651691041</v>
      </c>
      <c r="AO161" s="37">
        <f t="shared" si="1023"/>
        <v>328567.06726021564</v>
      </c>
      <c r="AP161" s="37">
        <f t="shared" si="1023"/>
        <v>256095.86130759321</v>
      </c>
      <c r="AQ161" s="37">
        <f t="shared" si="1023"/>
        <v>560853.04833893036</v>
      </c>
      <c r="AR161" s="37">
        <f t="shared" si="1023"/>
        <v>859413.71428526286</v>
      </c>
      <c r="AS161" s="37">
        <f t="shared" si="1023"/>
        <v>1063153.1535586228</v>
      </c>
      <c r="AT161" s="37">
        <f t="shared" si="1023"/>
        <v>705065.17007227987</v>
      </c>
      <c r="AU161" s="37">
        <f t="shared" si="1023"/>
        <v>739720.06057103584</v>
      </c>
      <c r="AV161" s="37">
        <f t="shared" si="1023"/>
        <v>552541.87085586798</v>
      </c>
      <c r="AW161" s="37">
        <f t="shared" si="1023"/>
        <v>1178343.9123274898</v>
      </c>
      <c r="AX161" s="37">
        <f t="shared" si="1023"/>
        <v>1536406.7295099422</v>
      </c>
      <c r="AY161" s="164">
        <f t="shared" si="1023"/>
        <v>1361431.4717157707</v>
      </c>
      <c r="AZ161" s="37">
        <f t="shared" si="1023"/>
        <v>870683.80197569705</v>
      </c>
      <c r="BA161" s="37">
        <f t="shared" si="1023"/>
        <v>994758.63474619575</v>
      </c>
      <c r="BB161" s="37">
        <f t="shared" si="1023"/>
        <v>828887.47770076687</v>
      </c>
      <c r="BC161" s="37">
        <f t="shared" si="1023"/>
        <v>945057.17969699751</v>
      </c>
      <c r="BD161" s="37">
        <f t="shared" si="1023"/>
        <v>1151442.4397525999</v>
      </c>
      <c r="BE161" s="37">
        <f t="shared" si="1023"/>
        <v>1063549.2070365967</v>
      </c>
      <c r="BF161" s="37">
        <f t="shared" si="1023"/>
        <v>1033838.7436170308</v>
      </c>
      <c r="BG161" s="37">
        <f t="shared" si="1023"/>
        <v>941650.26061147521</v>
      </c>
      <c r="BH161" s="37">
        <f t="shared" si="1023"/>
        <v>1719499.7415635777</v>
      </c>
      <c r="BI161" s="37">
        <f t="shared" si="1023"/>
        <v>2445547.7591144266</v>
      </c>
      <c r="BJ161" s="37">
        <f t="shared" si="1023"/>
        <v>2388627.8153995555</v>
      </c>
      <c r="BK161" s="164">
        <f t="shared" si="1023"/>
        <v>1572012.5058539615</v>
      </c>
      <c r="BL161" s="37">
        <f t="shared" si="1023"/>
        <v>1792723.8873617104</v>
      </c>
      <c r="BM161" s="37">
        <f t="shared" si="1023"/>
        <v>1630446.4900171617</v>
      </c>
      <c r="BN161" s="37">
        <f t="shared" si="1023"/>
        <v>1800834.8248770116</v>
      </c>
      <c r="BO161" s="37">
        <f t="shared" si="1023"/>
        <v>1516417.6031667893</v>
      </c>
      <c r="BP161" s="37">
        <f t="shared" ref="BP161:CU161" si="1024">BP160+BP144</f>
        <v>2057455.6401686356</v>
      </c>
      <c r="BQ161" s="37">
        <f t="shared" si="1024"/>
        <v>1988771.0901238066</v>
      </c>
      <c r="BR161" s="37">
        <f t="shared" si="1024"/>
        <v>1947258.4839225612</v>
      </c>
      <c r="BS161" s="37">
        <f t="shared" si="1024"/>
        <v>1828531.539764409</v>
      </c>
      <c r="BT161" s="37">
        <f t="shared" si="1024"/>
        <v>2913804.1561569199</v>
      </c>
      <c r="BU161" s="37">
        <f t="shared" si="1024"/>
        <v>3920497.8960673749</v>
      </c>
      <c r="BV161" s="37">
        <f t="shared" si="1024"/>
        <v>3878050.1675186036</v>
      </c>
      <c r="BW161" s="164">
        <f t="shared" si="1024"/>
        <v>2785463.4094225289</v>
      </c>
      <c r="BX161" s="37">
        <f t="shared" si="1024"/>
        <v>3126298.1054499331</v>
      </c>
      <c r="BY161" s="37">
        <f t="shared" si="1024"/>
        <v>2926097.6473512365</v>
      </c>
      <c r="BZ161" s="37">
        <f t="shared" si="1024"/>
        <v>3172088.0247327564</v>
      </c>
      <c r="CA161" s="37">
        <f t="shared" si="1024"/>
        <v>2821799.1888494156</v>
      </c>
      <c r="CB161" s="37">
        <f t="shared" si="1024"/>
        <v>3443452.666592299</v>
      </c>
      <c r="CC161" s="37">
        <f t="shared" si="1024"/>
        <v>3360173.839300605</v>
      </c>
      <c r="CD161" s="37">
        <f t="shared" si="1024"/>
        <v>3308670.9736077981</v>
      </c>
      <c r="CE161" s="37">
        <f t="shared" si="1024"/>
        <v>3169499.714795378</v>
      </c>
      <c r="CF161" s="37">
        <f t="shared" si="1024"/>
        <v>4413524.5395741519</v>
      </c>
      <c r="CG161" s="37">
        <f t="shared" si="1024"/>
        <v>5570124.6653072713</v>
      </c>
      <c r="CH161" s="37">
        <f t="shared" si="1024"/>
        <v>5507689.7843360826</v>
      </c>
      <c r="CI161" s="164">
        <f t="shared" si="1024"/>
        <v>4206338.0527691953</v>
      </c>
      <c r="CJ161" s="37">
        <f t="shared" si="1024"/>
        <v>4582857.2615099242</v>
      </c>
      <c r="CK161" s="37">
        <f t="shared" si="1024"/>
        <v>4342896.8467923244</v>
      </c>
      <c r="CL161" s="37">
        <f t="shared" si="1024"/>
        <v>4623239.8666369263</v>
      </c>
      <c r="CM161" s="37">
        <f t="shared" si="1024"/>
        <v>4204890.0827722037</v>
      </c>
      <c r="CN161" s="37">
        <f t="shared" si="1024"/>
        <v>5034042.4729285296</v>
      </c>
      <c r="CO161" s="37">
        <f t="shared" si="1024"/>
        <v>4933386.2535233553</v>
      </c>
      <c r="CP161" s="37">
        <f t="shared" si="1024"/>
        <v>4881713.2662439933</v>
      </c>
      <c r="CQ161" s="37">
        <f t="shared" si="1024"/>
        <v>4705915.9960690392</v>
      </c>
      <c r="CR161" s="37">
        <f t="shared" si="1024"/>
        <v>6363293.1790074408</v>
      </c>
      <c r="CS161" s="37">
        <f t="shared" si="1024"/>
        <v>7902521.1717134472</v>
      </c>
      <c r="CT161" s="37">
        <f t="shared" si="1024"/>
        <v>7841121.372023101</v>
      </c>
      <c r="CU161" s="164">
        <f t="shared" si="1024"/>
        <v>6152018.0586816249</v>
      </c>
      <c r="CV161" s="37">
        <f t="shared" ref="CV161:DG161" si="1025">CV160+CV144</f>
        <v>7638159.6052269684</v>
      </c>
      <c r="CW161" s="37">
        <f t="shared" si="1025"/>
        <v>7297174.2949794168</v>
      </c>
      <c r="CX161" s="37">
        <f t="shared" si="1025"/>
        <v>7661581.3615200799</v>
      </c>
      <c r="CY161" s="37">
        <f t="shared" si="1025"/>
        <v>6948648.0711902604</v>
      </c>
      <c r="CZ161" s="37">
        <f t="shared" si="1025"/>
        <v>8735712.4634698089</v>
      </c>
      <c r="DA161" s="37">
        <f t="shared" si="1025"/>
        <v>10370165.746735951</v>
      </c>
      <c r="DB161" s="37">
        <f t="shared" si="1025"/>
        <v>10239556.082376733</v>
      </c>
      <c r="DC161" s="37">
        <f t="shared" si="1025"/>
        <v>8883984.6053625736</v>
      </c>
      <c r="DD161" s="37">
        <f t="shared" si="1025"/>
        <v>9375148.6221981496</v>
      </c>
      <c r="DE161" s="37">
        <f t="shared" si="1025"/>
        <v>8988134.5296543092</v>
      </c>
      <c r="DF161" s="37">
        <f t="shared" si="1025"/>
        <v>9473427.6568964794</v>
      </c>
      <c r="DG161" s="37">
        <f t="shared" si="1025"/>
        <v>8138937.0764871417</v>
      </c>
    </row>
    <row r="162" spans="1:111" s="3" customFormat="1" ht="24" customHeight="1" x14ac:dyDescent="0.3">
      <c r="A162"/>
      <c r="B162" s="1"/>
      <c r="C162" s="40" t="s">
        <v>39</v>
      </c>
      <c r="D162" s="39">
        <f t="shared" ref="D162:AF162" si="1026">D161-D112</f>
        <v>0</v>
      </c>
      <c r="E162" s="39">
        <f t="shared" si="1026"/>
        <v>0</v>
      </c>
      <c r="F162" s="39">
        <f t="shared" si="1026"/>
        <v>0</v>
      </c>
      <c r="G162" s="39">
        <f t="shared" si="1026"/>
        <v>0</v>
      </c>
      <c r="H162" s="39">
        <f t="shared" si="1026"/>
        <v>0</v>
      </c>
      <c r="I162" s="39">
        <f t="shared" si="1026"/>
        <v>0</v>
      </c>
      <c r="J162" s="39">
        <f t="shared" si="1026"/>
        <v>0</v>
      </c>
      <c r="K162" s="39">
        <f t="shared" si="1026"/>
        <v>0</v>
      </c>
      <c r="L162" s="39">
        <f t="shared" si="1026"/>
        <v>0</v>
      </c>
      <c r="M162" s="39">
        <f t="shared" si="1026"/>
        <v>0</v>
      </c>
      <c r="N162" s="39">
        <f t="shared" si="1026"/>
        <v>-1.8474111129762605E-13</v>
      </c>
      <c r="O162" s="39">
        <f t="shared" si="1026"/>
        <v>0</v>
      </c>
      <c r="P162" s="39">
        <f t="shared" si="1026"/>
        <v>-1.8189894035458565E-12</v>
      </c>
      <c r="Q162" s="39">
        <f t="shared" si="1026"/>
        <v>-2.0463630789890885E-12</v>
      </c>
      <c r="R162" s="39">
        <f t="shared" si="1026"/>
        <v>-1.0231815394945443E-12</v>
      </c>
      <c r="S162" s="39">
        <f t="shared" si="1026"/>
        <v>0</v>
      </c>
      <c r="T162" s="39">
        <f t="shared" si="1026"/>
        <v>0</v>
      </c>
      <c r="U162" s="39">
        <f t="shared" si="1026"/>
        <v>0</v>
      </c>
      <c r="V162" s="39">
        <f t="shared" si="1026"/>
        <v>0</v>
      </c>
      <c r="W162" s="39">
        <f t="shared" si="1026"/>
        <v>0</v>
      </c>
      <c r="X162" s="39">
        <f t="shared" si="1026"/>
        <v>0</v>
      </c>
      <c r="Y162" s="39">
        <f t="shared" si="1026"/>
        <v>0</v>
      </c>
      <c r="Z162" s="39">
        <f t="shared" si="1026"/>
        <v>0</v>
      </c>
      <c r="AA162" s="39">
        <f t="shared" si="1026"/>
        <v>0</v>
      </c>
      <c r="AB162" s="39">
        <f t="shared" si="1026"/>
        <v>0</v>
      </c>
      <c r="AC162" s="39">
        <f t="shared" si="1026"/>
        <v>0</v>
      </c>
      <c r="AD162" s="39">
        <f t="shared" si="1026"/>
        <v>0</v>
      </c>
      <c r="AE162" s="39">
        <f t="shared" si="1026"/>
        <v>0</v>
      </c>
      <c r="AF162" s="39">
        <f t="shared" si="1026"/>
        <v>0</v>
      </c>
      <c r="AG162" s="39">
        <f t="shared" ref="AG162:AH162" si="1027">AG161-AG112</f>
        <v>0</v>
      </c>
      <c r="AH162" s="39">
        <f t="shared" si="1027"/>
        <v>0</v>
      </c>
      <c r="AI162" s="39">
        <f t="shared" ref="AI162:AJ162" si="1028">AI161-AI112</f>
        <v>0</v>
      </c>
      <c r="AJ162" s="165">
        <f t="shared" si="1028"/>
        <v>0</v>
      </c>
      <c r="AK162" s="39">
        <f t="shared" ref="AK162" si="1029">AK161-AK112</f>
        <v>0</v>
      </c>
      <c r="AL162" s="39">
        <f t="shared" ref="AL162:BO162" si="1030">AL161-AL112</f>
        <v>0</v>
      </c>
      <c r="AM162" s="165">
        <f t="shared" si="1030"/>
        <v>0</v>
      </c>
      <c r="AN162" s="39">
        <f t="shared" si="1030"/>
        <v>0</v>
      </c>
      <c r="AO162" s="39">
        <f t="shared" si="1030"/>
        <v>0</v>
      </c>
      <c r="AP162" s="39">
        <f t="shared" si="1030"/>
        <v>0</v>
      </c>
      <c r="AQ162" s="39">
        <f t="shared" si="1030"/>
        <v>0</v>
      </c>
      <c r="AR162" s="39">
        <f t="shared" si="1030"/>
        <v>0</v>
      </c>
      <c r="AS162" s="39">
        <f t="shared" si="1030"/>
        <v>0</v>
      </c>
      <c r="AT162" s="39">
        <f t="shared" si="1030"/>
        <v>0</v>
      </c>
      <c r="AU162" s="39">
        <f t="shared" si="1030"/>
        <v>0</v>
      </c>
      <c r="AV162" s="39">
        <f t="shared" si="1030"/>
        <v>0</v>
      </c>
      <c r="AW162" s="39">
        <f t="shared" si="1030"/>
        <v>0</v>
      </c>
      <c r="AX162" s="39">
        <f t="shared" si="1030"/>
        <v>0</v>
      </c>
      <c r="AY162" s="165">
        <f t="shared" si="1030"/>
        <v>0</v>
      </c>
      <c r="AZ162" s="39">
        <f t="shared" si="1030"/>
        <v>0</v>
      </c>
      <c r="BA162" s="39">
        <f t="shared" si="1030"/>
        <v>0</v>
      </c>
      <c r="BB162" s="39">
        <f t="shared" si="1030"/>
        <v>0</v>
      </c>
      <c r="BC162" s="39">
        <f t="shared" si="1030"/>
        <v>0</v>
      </c>
      <c r="BD162" s="39">
        <f t="shared" si="1030"/>
        <v>0</v>
      </c>
      <c r="BE162" s="39">
        <f t="shared" si="1030"/>
        <v>0</v>
      </c>
      <c r="BF162" s="39">
        <f t="shared" si="1030"/>
        <v>0</v>
      </c>
      <c r="BG162" s="39">
        <f t="shared" si="1030"/>
        <v>0</v>
      </c>
      <c r="BH162" s="39">
        <f t="shared" si="1030"/>
        <v>0</v>
      </c>
      <c r="BI162" s="39">
        <f t="shared" si="1030"/>
        <v>0</v>
      </c>
      <c r="BJ162" s="39">
        <f t="shared" si="1030"/>
        <v>0</v>
      </c>
      <c r="BK162" s="165">
        <f t="shared" si="1030"/>
        <v>0</v>
      </c>
      <c r="BL162" s="39">
        <f t="shared" si="1030"/>
        <v>0</v>
      </c>
      <c r="BM162" s="39">
        <f t="shared" si="1030"/>
        <v>0</v>
      </c>
      <c r="BN162" s="39">
        <f t="shared" si="1030"/>
        <v>0</v>
      </c>
      <c r="BO162" s="39">
        <f t="shared" si="1030"/>
        <v>0</v>
      </c>
      <c r="BP162" s="39">
        <f t="shared" ref="BP162:CU162" si="1031">BP161-BP112</f>
        <v>0</v>
      </c>
      <c r="BQ162" s="39">
        <f t="shared" si="1031"/>
        <v>0</v>
      </c>
      <c r="BR162" s="39">
        <f t="shared" si="1031"/>
        <v>0</v>
      </c>
      <c r="BS162" s="39">
        <f t="shared" si="1031"/>
        <v>0</v>
      </c>
      <c r="BT162" s="39">
        <f t="shared" si="1031"/>
        <v>0</v>
      </c>
      <c r="BU162" s="39">
        <f t="shared" si="1031"/>
        <v>0</v>
      </c>
      <c r="BV162" s="39">
        <f t="shared" si="1031"/>
        <v>0</v>
      </c>
      <c r="BW162" s="165">
        <f t="shared" si="1031"/>
        <v>0</v>
      </c>
      <c r="BX162" s="39">
        <f t="shared" si="1031"/>
        <v>0</v>
      </c>
      <c r="BY162" s="39">
        <f t="shared" si="1031"/>
        <v>0</v>
      </c>
      <c r="BZ162" s="39">
        <f t="shared" si="1031"/>
        <v>0</v>
      </c>
      <c r="CA162" s="39">
        <f t="shared" si="1031"/>
        <v>0</v>
      </c>
      <c r="CB162" s="39">
        <f t="shared" si="1031"/>
        <v>0</v>
      </c>
      <c r="CC162" s="39">
        <f t="shared" si="1031"/>
        <v>0</v>
      </c>
      <c r="CD162" s="39">
        <f t="shared" si="1031"/>
        <v>0</v>
      </c>
      <c r="CE162" s="39">
        <f t="shared" si="1031"/>
        <v>0</v>
      </c>
      <c r="CF162" s="39">
        <f t="shared" si="1031"/>
        <v>0</v>
      </c>
      <c r="CG162" s="39">
        <f t="shared" si="1031"/>
        <v>0</v>
      </c>
      <c r="CH162" s="39">
        <f t="shared" si="1031"/>
        <v>0</v>
      </c>
      <c r="CI162" s="165">
        <f t="shared" si="1031"/>
        <v>0</v>
      </c>
      <c r="CJ162" s="39">
        <f t="shared" si="1031"/>
        <v>0</v>
      </c>
      <c r="CK162" s="39">
        <f t="shared" si="1031"/>
        <v>0</v>
      </c>
      <c r="CL162" s="39">
        <f t="shared" si="1031"/>
        <v>0</v>
      </c>
      <c r="CM162" s="39">
        <f t="shared" si="1031"/>
        <v>0</v>
      </c>
      <c r="CN162" s="39">
        <f t="shared" si="1031"/>
        <v>0</v>
      </c>
      <c r="CO162" s="39">
        <f t="shared" si="1031"/>
        <v>0</v>
      </c>
      <c r="CP162" s="39">
        <f t="shared" si="1031"/>
        <v>0</v>
      </c>
      <c r="CQ162" s="39">
        <f t="shared" si="1031"/>
        <v>0</v>
      </c>
      <c r="CR162" s="39">
        <f t="shared" si="1031"/>
        <v>0</v>
      </c>
      <c r="CS162" s="39">
        <f t="shared" si="1031"/>
        <v>0</v>
      </c>
      <c r="CT162" s="39">
        <f t="shared" si="1031"/>
        <v>0</v>
      </c>
      <c r="CU162" s="165">
        <f t="shared" si="1031"/>
        <v>0</v>
      </c>
      <c r="CV162" s="39">
        <f t="shared" ref="CV162:DG162" si="1032">CV161-CV112</f>
        <v>0</v>
      </c>
      <c r="CW162" s="39">
        <f t="shared" si="1032"/>
        <v>0</v>
      </c>
      <c r="CX162" s="39">
        <f t="shared" si="1032"/>
        <v>0</v>
      </c>
      <c r="CY162" s="39">
        <f t="shared" si="1032"/>
        <v>0</v>
      </c>
      <c r="CZ162" s="39">
        <f t="shared" si="1032"/>
        <v>0</v>
      </c>
      <c r="DA162" s="39">
        <f t="shared" si="1032"/>
        <v>0</v>
      </c>
      <c r="DB162" s="39">
        <f t="shared" si="1032"/>
        <v>0</v>
      </c>
      <c r="DC162" s="39">
        <f t="shared" si="1032"/>
        <v>0</v>
      </c>
      <c r="DD162" s="39">
        <f t="shared" si="1032"/>
        <v>0</v>
      </c>
      <c r="DE162" s="39">
        <f t="shared" si="1032"/>
        <v>0</v>
      </c>
      <c r="DF162" s="39">
        <f t="shared" si="1032"/>
        <v>0</v>
      </c>
      <c r="DG162" s="39">
        <f t="shared" si="1032"/>
        <v>0</v>
      </c>
    </row>
    <row r="163" spans="1:111" x14ac:dyDescent="0.3">
      <c r="P163" s="137"/>
      <c r="Q163" s="137"/>
      <c r="R163" s="137"/>
      <c r="AJ163" s="162"/>
      <c r="AM163" s="162"/>
      <c r="AY163" s="162"/>
      <c r="BK163" s="162"/>
      <c r="BW163" s="162"/>
      <c r="CI163" s="162"/>
      <c r="CU163" s="162"/>
    </row>
    <row r="164" spans="1:11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70"/>
      <c r="AK164" s="15"/>
      <c r="AL164" s="15"/>
      <c r="AM164" s="170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70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70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70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70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70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</row>
    <row r="165" spans="1:111" x14ac:dyDescent="0.3">
      <c r="AJ165" s="162"/>
      <c r="AM165" s="162"/>
      <c r="AY165" s="162"/>
      <c r="BK165" s="162"/>
      <c r="BW165" s="162"/>
      <c r="CI165" s="162"/>
      <c r="CU165" s="162"/>
    </row>
    <row r="166" spans="1:111" x14ac:dyDescent="0.3">
      <c r="B166" s="1" t="s">
        <v>12</v>
      </c>
      <c r="D166" s="91"/>
      <c r="E166" s="91">
        <f t="shared" ref="E166:AG166" si="1033">E89</f>
        <v>-12</v>
      </c>
      <c r="F166" s="91">
        <f t="shared" si="1033"/>
        <v>-11.83</v>
      </c>
      <c r="G166" s="91">
        <f t="shared" si="1033"/>
        <v>-12</v>
      </c>
      <c r="H166" s="91">
        <f t="shared" si="1033"/>
        <v>-132</v>
      </c>
      <c r="I166" s="91">
        <f t="shared" si="1033"/>
        <v>-817.36</v>
      </c>
      <c r="J166" s="91">
        <f t="shared" si="1033"/>
        <v>-12</v>
      </c>
      <c r="K166" s="91">
        <f t="shared" si="1033"/>
        <v>-213</v>
      </c>
      <c r="L166" s="91">
        <f t="shared" si="1033"/>
        <v>-1880.5</v>
      </c>
      <c r="M166" s="91">
        <f t="shared" si="1033"/>
        <v>-263.3</v>
      </c>
      <c r="N166" s="91">
        <f t="shared" si="1033"/>
        <v>-223</v>
      </c>
      <c r="O166" s="91">
        <f t="shared" si="1033"/>
        <v>-2910.3900000000003</v>
      </c>
      <c r="P166" s="91">
        <f t="shared" si="1033"/>
        <v>-1759.16</v>
      </c>
      <c r="Q166" s="91">
        <f t="shared" si="1033"/>
        <v>-467.18</v>
      </c>
      <c r="R166" s="91">
        <f t="shared" si="1033"/>
        <v>-1525.78</v>
      </c>
      <c r="S166" s="91">
        <f t="shared" si="1033"/>
        <v>-598.99</v>
      </c>
      <c r="T166" s="91">
        <f t="shared" si="1033"/>
        <v>-2060.8900000000003</v>
      </c>
      <c r="U166" s="91">
        <f t="shared" si="1033"/>
        <v>-3880.07</v>
      </c>
      <c r="V166" s="91">
        <f t="shared" si="1033"/>
        <v>-2030.9500000000003</v>
      </c>
      <c r="W166" s="91">
        <f t="shared" si="1033"/>
        <v>-21628.43</v>
      </c>
      <c r="X166" s="91">
        <f t="shared" si="1033"/>
        <v>-4028.06</v>
      </c>
      <c r="Y166" s="91">
        <f t="shared" si="1033"/>
        <v>67120.009999999995</v>
      </c>
      <c r="Z166" s="91">
        <f t="shared" si="1033"/>
        <v>39897.00999999998</v>
      </c>
      <c r="AA166" s="91">
        <f t="shared" si="1033"/>
        <v>11672.430000000004</v>
      </c>
      <c r="AB166" s="91">
        <f t="shared" si="1033"/>
        <v>-67320.260000000009</v>
      </c>
      <c r="AC166" s="91">
        <f t="shared" si="1033"/>
        <v>92246.720000000001</v>
      </c>
      <c r="AD166" s="91">
        <f t="shared" si="1033"/>
        <v>5735.720000000003</v>
      </c>
      <c r="AE166" s="91">
        <f t="shared" si="1033"/>
        <v>-28857.11</v>
      </c>
      <c r="AF166" s="91">
        <f t="shared" si="1033"/>
        <v>53032.210000000006</v>
      </c>
      <c r="AG166" s="91">
        <f t="shared" si="1033"/>
        <v>-30499.549999999996</v>
      </c>
      <c r="AH166" s="91">
        <f t="shared" ref="AH166:AI166" si="1034">AH89</f>
        <v>-4999.88</v>
      </c>
      <c r="AI166" s="91">
        <f t="shared" si="1034"/>
        <v>1880.1499999999996</v>
      </c>
      <c r="AJ166" s="163">
        <f t="shared" ref="AJ166" si="1035">AJ89</f>
        <v>10866.740000000005</v>
      </c>
      <c r="AK166" s="91">
        <f t="shared" ref="AK166:BP166" si="1036">AK89</f>
        <v>60727.900950000003</v>
      </c>
      <c r="AL166" s="91">
        <f t="shared" si="1036"/>
        <v>17355.056666666667</v>
      </c>
      <c r="AM166" s="163">
        <f t="shared" si="1036"/>
        <v>85411.14</v>
      </c>
      <c r="AN166" s="91">
        <f t="shared" si="1036"/>
        <v>-32068.08336562074</v>
      </c>
      <c r="AO166" s="91">
        <f t="shared" si="1036"/>
        <v>-22910.006014035218</v>
      </c>
      <c r="AP166" s="91">
        <f t="shared" si="1036"/>
        <v>-55780.309387543879</v>
      </c>
      <c r="AQ166" s="91">
        <f t="shared" si="1036"/>
        <v>146869.28405959316</v>
      </c>
      <c r="AR166" s="91">
        <f t="shared" si="1036"/>
        <v>112620.00829318321</v>
      </c>
      <c r="AS166" s="91">
        <f t="shared" si="1036"/>
        <v>89163.603933585095</v>
      </c>
      <c r="AT166" s="91">
        <f t="shared" si="1036"/>
        <v>-142560.15306992445</v>
      </c>
      <c r="AU166" s="91">
        <f t="shared" si="1036"/>
        <v>40260.094712670878</v>
      </c>
      <c r="AV166" s="91">
        <f t="shared" si="1036"/>
        <v>-75523.907440153998</v>
      </c>
      <c r="AW166" s="91">
        <f t="shared" si="1036"/>
        <v>288718.28139332269</v>
      </c>
      <c r="AX166" s="91">
        <f t="shared" si="1036"/>
        <v>216877.96267392713</v>
      </c>
      <c r="AY166" s="163">
        <f t="shared" si="1036"/>
        <v>-4847.1294351793331</v>
      </c>
      <c r="AZ166" s="91">
        <f t="shared" si="1036"/>
        <v>-164145.52283997537</v>
      </c>
      <c r="BA166" s="91">
        <f t="shared" si="1036"/>
        <v>111779.46084535235</v>
      </c>
      <c r="BB166" s="91">
        <f t="shared" si="1036"/>
        <v>-55497.418378021619</v>
      </c>
      <c r="BC166" s="91">
        <f t="shared" si="1036"/>
        <v>50390.904966286551</v>
      </c>
      <c r="BD166" s="91">
        <f t="shared" si="1036"/>
        <v>157076.5173858669</v>
      </c>
      <c r="BE166" s="91">
        <f t="shared" si="1036"/>
        <v>-42354.865528135961</v>
      </c>
      <c r="BF166" s="91">
        <f t="shared" si="1036"/>
        <v>-31676.646578381617</v>
      </c>
      <c r="BG166" s="91">
        <f t="shared" si="1036"/>
        <v>-52437.433461417684</v>
      </c>
      <c r="BH166" s="91">
        <f t="shared" si="1036"/>
        <v>389627.00916772179</v>
      </c>
      <c r="BI166" s="91">
        <f t="shared" si="1036"/>
        <v>383065.90529441781</v>
      </c>
      <c r="BJ166" s="91">
        <f t="shared" si="1036"/>
        <v>78090.189640130091</v>
      </c>
      <c r="BK166" s="163">
        <f t="shared" si="1036"/>
        <v>-187474.00077419431</v>
      </c>
      <c r="BL166" s="91">
        <f t="shared" si="1036"/>
        <v>191201.69815251045</v>
      </c>
      <c r="BM166" s="91">
        <f t="shared" si="1036"/>
        <v>-42966.391633980056</v>
      </c>
      <c r="BN166" s="91">
        <f t="shared" si="1036"/>
        <v>122651.24148956919</v>
      </c>
      <c r="BO166" s="91">
        <f t="shared" si="1036"/>
        <v>-71931.731101573067</v>
      </c>
      <c r="BP166" s="91">
        <f t="shared" si="1036"/>
        <v>273178.68575</v>
      </c>
      <c r="BQ166" s="91">
        <f t="shared" ref="BQ166:CV166" si="1037">BQ89</f>
        <v>-47197.613091097133</v>
      </c>
      <c r="BR166" s="91">
        <f t="shared" si="1037"/>
        <v>-33673.773707555389</v>
      </c>
      <c r="BS166" s="91">
        <f t="shared" si="1037"/>
        <v>-56692.323367508514</v>
      </c>
      <c r="BT166" s="91">
        <f t="shared" si="1037"/>
        <v>545534.53729532799</v>
      </c>
      <c r="BU166" s="91">
        <f t="shared" si="1037"/>
        <v>562940.91814653808</v>
      </c>
      <c r="BV166" s="91">
        <f t="shared" si="1037"/>
        <v>165598.1854842669</v>
      </c>
      <c r="BW166" s="163">
        <f t="shared" si="1037"/>
        <v>-213198.97410863466</v>
      </c>
      <c r="BX166" s="91">
        <f t="shared" si="1037"/>
        <v>288498.13265645807</v>
      </c>
      <c r="BY166" s="91">
        <f t="shared" si="1037"/>
        <v>-52073.470333928111</v>
      </c>
      <c r="BZ166" s="91">
        <f t="shared" si="1037"/>
        <v>209375.5500136725</v>
      </c>
      <c r="CA166" s="91">
        <f t="shared" si="1037"/>
        <v>-85493.153840873041</v>
      </c>
      <c r="CB166" s="91">
        <f t="shared" si="1037"/>
        <v>312115.85372416663</v>
      </c>
      <c r="CC166" s="91">
        <f t="shared" si="1037"/>
        <v>-58516.514080260575</v>
      </c>
      <c r="CD166" s="91">
        <f t="shared" si="1037"/>
        <v>-42030.557915901503</v>
      </c>
      <c r="CE166" s="91">
        <f t="shared" si="1037"/>
        <v>-70793.080574305364</v>
      </c>
      <c r="CF166" s="91">
        <f t="shared" si="1037"/>
        <v>624846.13254918566</v>
      </c>
      <c r="CG166" s="91">
        <f t="shared" si="1037"/>
        <v>634453.98590452119</v>
      </c>
      <c r="CH166" s="91">
        <f t="shared" si="1037"/>
        <v>168170.62262787975</v>
      </c>
      <c r="CI166" s="163">
        <f t="shared" si="1037"/>
        <v>-262825.88148646057</v>
      </c>
      <c r="CJ166" s="91">
        <f t="shared" si="1037"/>
        <v>322802.83384313871</v>
      </c>
      <c r="CK166" s="91">
        <f t="shared" si="1037"/>
        <v>-62475.092914259578</v>
      </c>
      <c r="CL166" s="91">
        <f t="shared" si="1037"/>
        <v>226090.4244366335</v>
      </c>
      <c r="CM166" s="91">
        <f t="shared" si="1037"/>
        <v>-102232.59569203795</v>
      </c>
      <c r="CN166" s="91">
        <f t="shared" si="1037"/>
        <v>417193.87515724165</v>
      </c>
      <c r="CO166" s="91">
        <f t="shared" si="1037"/>
        <v>-69146.584598292364</v>
      </c>
      <c r="CP166" s="91">
        <f t="shared" si="1037"/>
        <v>-47411.139392843535</v>
      </c>
      <c r="CQ166" s="91">
        <f t="shared" si="1037"/>
        <v>-82432.292715848365</v>
      </c>
      <c r="CR166" s="91">
        <f t="shared" si="1037"/>
        <v>835156.72368851549</v>
      </c>
      <c r="CS166" s="91">
        <f t="shared" si="1037"/>
        <v>860566.54038268491</v>
      </c>
      <c r="CT166" s="91">
        <f t="shared" si="1037"/>
        <v>253762.33628688302</v>
      </c>
      <c r="CU166" s="163">
        <f t="shared" si="1037"/>
        <v>-324433.29385604244</v>
      </c>
      <c r="CV166" s="91">
        <f t="shared" si="1037"/>
        <v>928761.09564014385</v>
      </c>
      <c r="CW166" s="91">
        <f t="shared" ref="CW166:DG166" si="1038">CW89</f>
        <v>-92673.814513245015</v>
      </c>
      <c r="CX166" s="91">
        <f t="shared" si="1038"/>
        <v>317643.96642190992</v>
      </c>
      <c r="CY166" s="91">
        <f t="shared" si="1038"/>
        <v>-193636.59272653516</v>
      </c>
      <c r="CZ166" s="91">
        <f t="shared" si="1038"/>
        <v>929345.315520301</v>
      </c>
      <c r="DA166" s="91">
        <f t="shared" si="1038"/>
        <v>886357.0955533043</v>
      </c>
      <c r="DB166" s="91">
        <f t="shared" si="1038"/>
        <v>203820.05063834199</v>
      </c>
      <c r="DC166" s="91">
        <f t="shared" si="1038"/>
        <v>-358202.70553316851</v>
      </c>
      <c r="DD166" s="91">
        <f t="shared" si="1038"/>
        <v>449663.33531161799</v>
      </c>
      <c r="DE166" s="91">
        <f t="shared" si="1038"/>
        <v>-103587.25482447947</v>
      </c>
      <c r="DF166" s="91">
        <f t="shared" si="1038"/>
        <v>358444.72120186011</v>
      </c>
      <c r="DG166" s="91">
        <f t="shared" si="1038"/>
        <v>-153689.80899114703</v>
      </c>
    </row>
    <row r="167" spans="1:111" x14ac:dyDescent="0.3">
      <c r="B167" s="11" t="s">
        <v>32</v>
      </c>
      <c r="D167" s="91"/>
      <c r="E167" s="91">
        <f t="shared" ref="E167:AJ167" si="1039">-(E105-D105)</f>
        <v>0</v>
      </c>
      <c r="F167" s="91">
        <f t="shared" si="1039"/>
        <v>0</v>
      </c>
      <c r="G167" s="91">
        <f t="shared" si="1039"/>
        <v>0</v>
      </c>
      <c r="H167" s="91">
        <f t="shared" si="1039"/>
        <v>0</v>
      </c>
      <c r="I167" s="91">
        <f t="shared" si="1039"/>
        <v>0</v>
      </c>
      <c r="J167" s="91">
        <f t="shared" si="1039"/>
        <v>0</v>
      </c>
      <c r="K167" s="91">
        <f t="shared" si="1039"/>
        <v>0</v>
      </c>
      <c r="L167" s="91">
        <f t="shared" si="1039"/>
        <v>0</v>
      </c>
      <c r="M167" s="91">
        <f t="shared" si="1039"/>
        <v>0</v>
      </c>
      <c r="N167" s="91">
        <f t="shared" si="1039"/>
        <v>0</v>
      </c>
      <c r="O167" s="91">
        <f t="shared" si="1039"/>
        <v>0</v>
      </c>
      <c r="P167" s="91">
        <f t="shared" si="1039"/>
        <v>0</v>
      </c>
      <c r="Q167" s="91">
        <f t="shared" si="1039"/>
        <v>0</v>
      </c>
      <c r="R167" s="91">
        <f t="shared" si="1039"/>
        <v>0</v>
      </c>
      <c r="S167" s="91">
        <f t="shared" si="1039"/>
        <v>0</v>
      </c>
      <c r="T167" s="91">
        <f t="shared" si="1039"/>
        <v>0</v>
      </c>
      <c r="U167" s="91">
        <f t="shared" si="1039"/>
        <v>0</v>
      </c>
      <c r="V167" s="91">
        <f t="shared" si="1039"/>
        <v>0</v>
      </c>
      <c r="W167" s="91">
        <f t="shared" si="1039"/>
        <v>0</v>
      </c>
      <c r="X167" s="91">
        <f t="shared" si="1039"/>
        <v>0</v>
      </c>
      <c r="Y167" s="91">
        <f t="shared" si="1039"/>
        <v>0</v>
      </c>
      <c r="Z167" s="91">
        <f t="shared" si="1039"/>
        <v>0</v>
      </c>
      <c r="AA167" s="91">
        <f t="shared" si="1039"/>
        <v>0</v>
      </c>
      <c r="AB167" s="91">
        <f t="shared" si="1039"/>
        <v>0</v>
      </c>
      <c r="AC167" s="91">
        <f t="shared" si="1039"/>
        <v>0</v>
      </c>
      <c r="AD167" s="91">
        <f t="shared" si="1039"/>
        <v>0</v>
      </c>
      <c r="AE167" s="91">
        <f t="shared" si="1039"/>
        <v>-14766</v>
      </c>
      <c r="AF167" s="91">
        <f t="shared" si="1039"/>
        <v>2201</v>
      </c>
      <c r="AG167" s="91">
        <f t="shared" si="1039"/>
        <v>12165</v>
      </c>
      <c r="AH167" s="91">
        <f t="shared" si="1039"/>
        <v>-1100</v>
      </c>
      <c r="AI167" s="91">
        <f t="shared" si="1039"/>
        <v>1500</v>
      </c>
      <c r="AJ167" s="163">
        <f t="shared" si="1039"/>
        <v>0</v>
      </c>
      <c r="AK167" s="91">
        <f t="shared" ref="AK167:BP167" si="1040">-(AK105-AJ105)</f>
        <v>-27048.982381216949</v>
      </c>
      <c r="AL167" s="91">
        <f t="shared" si="1040"/>
        <v>16648.657870952247</v>
      </c>
      <c r="AM167" s="163">
        <f t="shared" si="1040"/>
        <v>5822.0451954012951</v>
      </c>
      <c r="AN167" s="91">
        <f t="shared" si="1040"/>
        <v>-9156.558629726811</v>
      </c>
      <c r="AO167" s="91">
        <f t="shared" si="1040"/>
        <v>0</v>
      </c>
      <c r="AP167" s="91">
        <f t="shared" si="1040"/>
        <v>0</v>
      </c>
      <c r="AQ167" s="91">
        <f t="shared" si="1040"/>
        <v>0</v>
      </c>
      <c r="AR167" s="91">
        <f t="shared" si="1040"/>
        <v>0</v>
      </c>
      <c r="AS167" s="91">
        <f t="shared" si="1040"/>
        <v>0</v>
      </c>
      <c r="AT167" s="91">
        <f t="shared" si="1040"/>
        <v>0</v>
      </c>
      <c r="AU167" s="91">
        <f t="shared" si="1040"/>
        <v>0</v>
      </c>
      <c r="AV167" s="91">
        <f t="shared" si="1040"/>
        <v>0</v>
      </c>
      <c r="AW167" s="91">
        <f t="shared" si="1040"/>
        <v>0</v>
      </c>
      <c r="AX167" s="91">
        <f t="shared" si="1040"/>
        <v>0</v>
      </c>
      <c r="AY167" s="163">
        <f t="shared" si="1040"/>
        <v>0</v>
      </c>
      <c r="AZ167" s="91">
        <f t="shared" si="1040"/>
        <v>0</v>
      </c>
      <c r="BA167" s="91">
        <f t="shared" si="1040"/>
        <v>0</v>
      </c>
      <c r="BB167" s="91">
        <f t="shared" si="1040"/>
        <v>0</v>
      </c>
      <c r="BC167" s="91">
        <f t="shared" si="1040"/>
        <v>0</v>
      </c>
      <c r="BD167" s="91">
        <f t="shared" si="1040"/>
        <v>0</v>
      </c>
      <c r="BE167" s="91">
        <f t="shared" si="1040"/>
        <v>0</v>
      </c>
      <c r="BF167" s="91">
        <f t="shared" si="1040"/>
        <v>-4578.2793148634082</v>
      </c>
      <c r="BG167" s="91">
        <f t="shared" si="1040"/>
        <v>0</v>
      </c>
      <c r="BH167" s="91">
        <f t="shared" si="1040"/>
        <v>0</v>
      </c>
      <c r="BI167" s="91">
        <f t="shared" si="1040"/>
        <v>0</v>
      </c>
      <c r="BJ167" s="91">
        <f t="shared" si="1040"/>
        <v>0</v>
      </c>
      <c r="BK167" s="163">
        <f t="shared" si="1040"/>
        <v>0</v>
      </c>
      <c r="BL167" s="91">
        <f t="shared" si="1040"/>
        <v>-4578.2793148634046</v>
      </c>
      <c r="BM167" s="91">
        <f t="shared" si="1040"/>
        <v>0</v>
      </c>
      <c r="BN167" s="91">
        <f t="shared" si="1040"/>
        <v>0</v>
      </c>
      <c r="BO167" s="91">
        <f t="shared" si="1040"/>
        <v>0</v>
      </c>
      <c r="BP167" s="91">
        <f t="shared" si="1040"/>
        <v>0</v>
      </c>
      <c r="BQ167" s="91">
        <f t="shared" ref="BQ167:CV167" si="1041">-(BQ105-BP105)</f>
        <v>0</v>
      </c>
      <c r="BR167" s="91">
        <f t="shared" si="1041"/>
        <v>0</v>
      </c>
      <c r="BS167" s="91">
        <f t="shared" si="1041"/>
        <v>0</v>
      </c>
      <c r="BT167" s="91">
        <f t="shared" si="1041"/>
        <v>0</v>
      </c>
      <c r="BU167" s="91">
        <f t="shared" si="1041"/>
        <v>0</v>
      </c>
      <c r="BV167" s="91">
        <f t="shared" si="1041"/>
        <v>0</v>
      </c>
      <c r="BW167" s="163">
        <f t="shared" si="1041"/>
        <v>0</v>
      </c>
      <c r="BX167" s="91">
        <f t="shared" si="1041"/>
        <v>-4578.2793148634046</v>
      </c>
      <c r="BY167" s="91">
        <f t="shared" si="1041"/>
        <v>0</v>
      </c>
      <c r="BZ167" s="91">
        <f t="shared" si="1041"/>
        <v>0</v>
      </c>
      <c r="CA167" s="91">
        <f t="shared" si="1041"/>
        <v>0</v>
      </c>
      <c r="CB167" s="91">
        <f t="shared" si="1041"/>
        <v>0</v>
      </c>
      <c r="CC167" s="91">
        <f t="shared" si="1041"/>
        <v>0</v>
      </c>
      <c r="CD167" s="91">
        <f t="shared" si="1041"/>
        <v>0</v>
      </c>
      <c r="CE167" s="91">
        <f t="shared" si="1041"/>
        <v>0</v>
      </c>
      <c r="CF167" s="91">
        <f t="shared" si="1041"/>
        <v>0</v>
      </c>
      <c r="CG167" s="91">
        <f t="shared" si="1041"/>
        <v>0</v>
      </c>
      <c r="CH167" s="91">
        <f t="shared" si="1041"/>
        <v>0</v>
      </c>
      <c r="CI167" s="163">
        <f t="shared" si="1041"/>
        <v>0</v>
      </c>
      <c r="CJ167" s="91">
        <f t="shared" si="1041"/>
        <v>-4578.2793148634046</v>
      </c>
      <c r="CK167" s="91">
        <f t="shared" si="1041"/>
        <v>0</v>
      </c>
      <c r="CL167" s="91">
        <f t="shared" si="1041"/>
        <v>0</v>
      </c>
      <c r="CM167" s="91">
        <f t="shared" si="1041"/>
        <v>0</v>
      </c>
      <c r="CN167" s="91">
        <f t="shared" si="1041"/>
        <v>0</v>
      </c>
      <c r="CO167" s="91">
        <f t="shared" si="1041"/>
        <v>0</v>
      </c>
      <c r="CP167" s="91">
        <f t="shared" si="1041"/>
        <v>-4578.2793148634119</v>
      </c>
      <c r="CQ167" s="91">
        <f t="shared" si="1041"/>
        <v>0</v>
      </c>
      <c r="CR167" s="91">
        <f t="shared" si="1041"/>
        <v>0</v>
      </c>
      <c r="CS167" s="91">
        <f t="shared" si="1041"/>
        <v>0</v>
      </c>
      <c r="CT167" s="91">
        <f t="shared" si="1041"/>
        <v>0</v>
      </c>
      <c r="CU167" s="163">
        <f t="shared" si="1041"/>
        <v>0</v>
      </c>
      <c r="CV167" s="91">
        <f t="shared" si="1041"/>
        <v>0</v>
      </c>
      <c r="CW167" s="91">
        <f t="shared" ref="CW167:DG167" si="1042">-(CW105-CV105)</f>
        <v>0</v>
      </c>
      <c r="CX167" s="91">
        <f t="shared" si="1042"/>
        <v>0</v>
      </c>
      <c r="CY167" s="91">
        <f t="shared" si="1042"/>
        <v>0</v>
      </c>
      <c r="CZ167" s="91">
        <f t="shared" si="1042"/>
        <v>0</v>
      </c>
      <c r="DA167" s="91">
        <f t="shared" si="1042"/>
        <v>0</v>
      </c>
      <c r="DB167" s="91">
        <f t="shared" si="1042"/>
        <v>-4578.2793148634009</v>
      </c>
      <c r="DC167" s="91">
        <f t="shared" si="1042"/>
        <v>0</v>
      </c>
      <c r="DD167" s="91">
        <f t="shared" si="1042"/>
        <v>0</v>
      </c>
      <c r="DE167" s="91">
        <f t="shared" si="1042"/>
        <v>0</v>
      </c>
      <c r="DF167" s="91">
        <f t="shared" si="1042"/>
        <v>0</v>
      </c>
      <c r="DG167" s="91">
        <f t="shared" si="1042"/>
        <v>0</v>
      </c>
    </row>
    <row r="168" spans="1:111" x14ac:dyDescent="0.3">
      <c r="B168" s="1" t="s">
        <v>33</v>
      </c>
      <c r="D168" s="91"/>
      <c r="E168" s="91">
        <f t="shared" ref="E168:AI168" si="1043">E144-D144-(E110-D110)</f>
        <v>0</v>
      </c>
      <c r="F168" s="91">
        <f t="shared" si="1043"/>
        <v>0</v>
      </c>
      <c r="G168" s="91">
        <f t="shared" si="1043"/>
        <v>0</v>
      </c>
      <c r="H168" s="91">
        <f t="shared" si="1043"/>
        <v>0</v>
      </c>
      <c r="I168" s="91">
        <f t="shared" si="1043"/>
        <v>0</v>
      </c>
      <c r="J168" s="91">
        <f t="shared" si="1043"/>
        <v>0</v>
      </c>
      <c r="K168" s="91">
        <f t="shared" si="1043"/>
        <v>0</v>
      </c>
      <c r="L168" s="91">
        <f t="shared" si="1043"/>
        <v>0</v>
      </c>
      <c r="M168" s="91">
        <f t="shared" si="1043"/>
        <v>0</v>
      </c>
      <c r="N168" s="91">
        <f t="shared" si="1043"/>
        <v>0</v>
      </c>
      <c r="O168" s="91">
        <f t="shared" si="1043"/>
        <v>0</v>
      </c>
      <c r="P168" s="91">
        <f t="shared" si="1043"/>
        <v>32.49</v>
      </c>
      <c r="Q168" s="91">
        <f t="shared" si="1043"/>
        <v>-2.4400000000000013</v>
      </c>
      <c r="R168" s="91">
        <f t="shared" si="1043"/>
        <v>1198.5899999999999</v>
      </c>
      <c r="S168" s="91">
        <f t="shared" si="1043"/>
        <v>-67.639999999999873</v>
      </c>
      <c r="T168" s="91">
        <f t="shared" si="1043"/>
        <v>76723.97</v>
      </c>
      <c r="U168" s="91">
        <f t="shared" si="1043"/>
        <v>263.58000000000175</v>
      </c>
      <c r="V168" s="91">
        <f t="shared" si="1043"/>
        <v>923.61999999999534</v>
      </c>
      <c r="W168" s="91">
        <f t="shared" si="1043"/>
        <v>1090.5400000000081</v>
      </c>
      <c r="X168" s="91">
        <f t="shared" si="1043"/>
        <v>1289.6399999999994</v>
      </c>
      <c r="Y168" s="91">
        <f t="shared" si="1043"/>
        <v>2171.2399999999907</v>
      </c>
      <c r="Z168" s="91">
        <f t="shared" si="1043"/>
        <v>-4086.9600000000064</v>
      </c>
      <c r="AA168" s="91">
        <f t="shared" si="1043"/>
        <v>49116.700000000012</v>
      </c>
      <c r="AB168" s="91">
        <f t="shared" si="1043"/>
        <v>-32131.03</v>
      </c>
      <c r="AC168" s="91">
        <f t="shared" si="1043"/>
        <v>-20722.729999999996</v>
      </c>
      <c r="AD168" s="91">
        <f t="shared" si="1043"/>
        <v>97.889999999999418</v>
      </c>
      <c r="AE168" s="91">
        <f t="shared" si="1043"/>
        <v>23485.869999999995</v>
      </c>
      <c r="AF168" s="91">
        <f t="shared" si="1043"/>
        <v>-83922.87</v>
      </c>
      <c r="AG168" s="91">
        <f t="shared" si="1043"/>
        <v>9145.510000000002</v>
      </c>
      <c r="AH168" s="91">
        <f t="shared" si="1043"/>
        <v>-11139.75</v>
      </c>
      <c r="AI168" s="91">
        <f t="shared" si="1043"/>
        <v>-10170.580000000002</v>
      </c>
      <c r="AJ168" s="163">
        <f>AJ144-AI144-(AJ110-AI110)</f>
        <v>1850.7400000000011</v>
      </c>
      <c r="AK168" s="91">
        <f t="shared" ref="AK168:BP168" si="1044">AK144-AJ144-(AK110-AJ110)</f>
        <v>102308.73862006419</v>
      </c>
      <c r="AL168" s="91">
        <f t="shared" si="1044"/>
        <v>-12448.926389842702</v>
      </c>
      <c r="AM168" s="163">
        <f t="shared" si="1044"/>
        <v>77382.05288286187</v>
      </c>
      <c r="AN168" s="91">
        <f t="shared" si="1044"/>
        <v>23997.33504555095</v>
      </c>
      <c r="AO168" s="91">
        <f t="shared" si="1044"/>
        <v>2180.606757340458</v>
      </c>
      <c r="AP168" s="91">
        <f t="shared" si="1044"/>
        <v>-16690.896565078583</v>
      </c>
      <c r="AQ168" s="91">
        <f t="shared" si="1044"/>
        <v>157887.90297174401</v>
      </c>
      <c r="AR168" s="91">
        <f t="shared" si="1044"/>
        <v>185940.65765314928</v>
      </c>
      <c r="AS168" s="91">
        <f t="shared" si="1044"/>
        <v>114575.83533977484</v>
      </c>
      <c r="AT168" s="91">
        <f t="shared" si="1044"/>
        <v>-215527.83041641861</v>
      </c>
      <c r="AU168" s="91">
        <f t="shared" si="1044"/>
        <v>-5605.2042139148689</v>
      </c>
      <c r="AV168" s="91">
        <f t="shared" si="1044"/>
        <v>-111654.28227501386</v>
      </c>
      <c r="AW168" s="91">
        <f t="shared" si="1044"/>
        <v>337083.76007829903</v>
      </c>
      <c r="AX168" s="91">
        <f t="shared" si="1044"/>
        <v>141184.85450852558</v>
      </c>
      <c r="AY168" s="163">
        <f t="shared" si="1044"/>
        <v>-113961.06562975724</v>
      </c>
      <c r="AZ168" s="91">
        <f t="shared" si="1044"/>
        <v>-326602.14690009831</v>
      </c>
      <c r="BA168" s="91">
        <f t="shared" si="1044"/>
        <v>12295.371925146377</v>
      </c>
      <c r="BB168" s="91">
        <f t="shared" si="1044"/>
        <v>-110373.73866740731</v>
      </c>
      <c r="BC168" s="91">
        <f t="shared" si="1044"/>
        <v>65778.797029944195</v>
      </c>
      <c r="BD168" s="91">
        <f t="shared" si="1044"/>
        <v>49308.742669735511</v>
      </c>
      <c r="BE168" s="91">
        <f t="shared" si="1044"/>
        <v>-45538.367187867116</v>
      </c>
      <c r="BF168" s="91">
        <f t="shared" si="1044"/>
        <v>1966.1831588155474</v>
      </c>
      <c r="BG168" s="91">
        <f t="shared" si="1044"/>
        <v>-39751.049544137903</v>
      </c>
      <c r="BH168" s="91">
        <f t="shared" si="1044"/>
        <v>388222.47178438044</v>
      </c>
      <c r="BI168" s="91">
        <f t="shared" si="1044"/>
        <v>342982.11225643102</v>
      </c>
      <c r="BJ168" s="91">
        <f t="shared" si="1044"/>
        <v>-135010.13335500075</v>
      </c>
      <c r="BK168" s="163">
        <f t="shared" si="1044"/>
        <v>-458115.3425409919</v>
      </c>
      <c r="BL168" s="91">
        <f t="shared" si="1044"/>
        <v>29509.68335523858</v>
      </c>
      <c r="BM168" s="91">
        <f t="shared" si="1044"/>
        <v>-119311.00571056874</v>
      </c>
      <c r="BN168" s="91">
        <f t="shared" si="1044"/>
        <v>47737.09337028116</v>
      </c>
      <c r="BO168" s="91">
        <f t="shared" si="1044"/>
        <v>-212485.49060864939</v>
      </c>
      <c r="BP168" s="91">
        <f t="shared" si="1044"/>
        <v>267859.35125184612</v>
      </c>
      <c r="BQ168" s="91">
        <f t="shared" ref="BQ168:CV168" si="1045">BQ144-BP144-(BQ110-BP110)</f>
        <v>-21486.936953731754</v>
      </c>
      <c r="BR168" s="91">
        <f t="shared" si="1045"/>
        <v>-7838.8324936904828</v>
      </c>
      <c r="BS168" s="91">
        <f t="shared" si="1045"/>
        <v>-62034.620790643501</v>
      </c>
      <c r="BT168" s="91">
        <f t="shared" si="1045"/>
        <v>539738.07909718319</v>
      </c>
      <c r="BU168" s="91">
        <f t="shared" si="1045"/>
        <v>443752.82176391664</v>
      </c>
      <c r="BV168" s="91">
        <f t="shared" si="1045"/>
        <v>-208045.91403303808</v>
      </c>
      <c r="BW168" s="163">
        <f t="shared" si="1045"/>
        <v>-611558.32291993243</v>
      </c>
      <c r="BX168" s="91">
        <f t="shared" si="1045"/>
        <v>52336.563370946154</v>
      </c>
      <c r="BY168" s="91">
        <f t="shared" si="1045"/>
        <v>-148126.98776476842</v>
      </c>
      <c r="BZ168" s="91">
        <f t="shared" si="1045"/>
        <v>36614.827367847436</v>
      </c>
      <c r="CA168" s="91">
        <f t="shared" si="1045"/>
        <v>-264795.68204246764</v>
      </c>
      <c r="CB168" s="91">
        <f t="shared" si="1045"/>
        <v>309537.62401871663</v>
      </c>
      <c r="CC168" s="91">
        <f t="shared" si="1045"/>
        <v>-24762.313211433822</v>
      </c>
      <c r="CD168" s="91">
        <f t="shared" si="1045"/>
        <v>-9472.3077769050724</v>
      </c>
      <c r="CE168" s="91">
        <f t="shared" si="1045"/>
        <v>-68378.178238114284</v>
      </c>
      <c r="CF168" s="91">
        <f t="shared" si="1045"/>
        <v>619178.69222958782</v>
      </c>
      <c r="CG168" s="91">
        <f t="shared" si="1045"/>
        <v>522146.13982859871</v>
      </c>
      <c r="CH168" s="91">
        <f t="shared" si="1045"/>
        <v>-230605.50359906885</v>
      </c>
      <c r="CI168" s="163">
        <f t="shared" si="1045"/>
        <v>-711713.75605325773</v>
      </c>
      <c r="CJ168" s="91">
        <f t="shared" si="1045"/>
        <v>53716.374897589325</v>
      </c>
      <c r="CK168" s="91">
        <f t="shared" si="1045"/>
        <v>-177485.32180333952</v>
      </c>
      <c r="CL168" s="91">
        <f t="shared" si="1045"/>
        <v>54252.59540796862</v>
      </c>
      <c r="CM168" s="91">
        <f t="shared" si="1045"/>
        <v>-316117.18817268492</v>
      </c>
      <c r="CN168" s="91">
        <f t="shared" si="1045"/>
        <v>411958.51499908353</v>
      </c>
      <c r="CO168" s="91">
        <f t="shared" si="1045"/>
        <v>-31509.634806881309</v>
      </c>
      <c r="CP168" s="91">
        <f t="shared" si="1045"/>
        <v>-4261.8478865186917</v>
      </c>
      <c r="CQ168" s="91">
        <f t="shared" si="1045"/>
        <v>-93364.977459105314</v>
      </c>
      <c r="CR168" s="91">
        <f t="shared" si="1045"/>
        <v>822220.4592498854</v>
      </c>
      <c r="CS168" s="91">
        <f t="shared" si="1045"/>
        <v>678661.45232332242</v>
      </c>
      <c r="CT168" s="91">
        <f t="shared" si="1045"/>
        <v>-315162.1359772291</v>
      </c>
      <c r="CU168" s="163">
        <f t="shared" si="1045"/>
        <v>-934663.38990211952</v>
      </c>
      <c r="CV168" s="91">
        <f t="shared" si="1045"/>
        <v>557380.45090519916</v>
      </c>
      <c r="CW168" s="91">
        <f t="shared" ref="CW168:DG168" si="1046">CW144-CV144-(CW110-CV110)</f>
        <v>-248311.49573430582</v>
      </c>
      <c r="CX168" s="91">
        <f t="shared" si="1046"/>
        <v>46763.100118753267</v>
      </c>
      <c r="CY168" s="91">
        <f t="shared" si="1046"/>
        <v>-519296.69760328508</v>
      </c>
      <c r="CZ168" s="91">
        <f t="shared" si="1046"/>
        <v>857719.07675924664</v>
      </c>
      <c r="DA168" s="91">
        <f t="shared" si="1046"/>
        <v>748096.18771283864</v>
      </c>
      <c r="DB168" s="91">
        <f t="shared" si="1046"/>
        <v>-334429.71499755839</v>
      </c>
      <c r="DC168" s="91">
        <f t="shared" si="1046"/>
        <v>-997368.7714809922</v>
      </c>
      <c r="DD168" s="91">
        <f t="shared" si="1046"/>
        <v>41500.681523958221</v>
      </c>
      <c r="DE168" s="91">
        <f t="shared" si="1046"/>
        <v>-283426.83771936083</v>
      </c>
      <c r="DF168" s="91">
        <f t="shared" si="1046"/>
        <v>126848.40604031039</v>
      </c>
      <c r="DG168" s="91">
        <f t="shared" si="1046"/>
        <v>-483017.39246179105</v>
      </c>
    </row>
    <row r="169" spans="1:111" x14ac:dyDescent="0.3">
      <c r="B169" s="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163"/>
      <c r="AK169" s="91"/>
      <c r="AL169" s="91"/>
      <c r="AM169" s="163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163"/>
      <c r="AZ169" s="91"/>
      <c r="BA169" s="91"/>
      <c r="BB169" s="91"/>
      <c r="BC169" s="91"/>
      <c r="BD169" s="91"/>
      <c r="BE169" s="91"/>
      <c r="BF169" s="91"/>
      <c r="BG169" s="91"/>
      <c r="BH169" s="91"/>
      <c r="BI169" s="91"/>
      <c r="BJ169" s="91"/>
      <c r="BK169" s="163"/>
      <c r="BL169" s="91"/>
      <c r="BM169" s="91"/>
      <c r="BN169" s="91"/>
      <c r="BO169" s="91"/>
      <c r="BP169" s="91"/>
      <c r="BQ169" s="91"/>
      <c r="BR169" s="91"/>
      <c r="BS169" s="91"/>
      <c r="BT169" s="91"/>
      <c r="BU169" s="91"/>
      <c r="BV169" s="91"/>
      <c r="BW169" s="163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163"/>
      <c r="CJ169" s="91"/>
      <c r="CK169" s="91"/>
      <c r="CL169" s="91"/>
      <c r="CM169" s="91"/>
      <c r="CN169" s="91"/>
      <c r="CO169" s="91"/>
      <c r="CP169" s="91"/>
      <c r="CQ169" s="91"/>
      <c r="CR169" s="91"/>
      <c r="CS169" s="91"/>
      <c r="CT169" s="91"/>
      <c r="CU169" s="163"/>
      <c r="CV169" s="91"/>
      <c r="CW169" s="91"/>
      <c r="CX169" s="91"/>
      <c r="CY169" s="91"/>
      <c r="CZ169" s="91"/>
      <c r="DA169" s="91"/>
      <c r="DB169" s="91"/>
      <c r="DC169" s="91"/>
      <c r="DD169" s="91"/>
      <c r="DE169" s="91"/>
      <c r="DF169" s="91"/>
      <c r="DG169" s="91"/>
    </row>
    <row r="170" spans="1:111" s="3" customFormat="1" x14ac:dyDescent="0.3">
      <c r="A170"/>
      <c r="B170" s="4" t="s">
        <v>31</v>
      </c>
      <c r="D170" s="10"/>
      <c r="E170" s="10">
        <f t="shared" ref="E170:AG170" si="1047">SUM(E166:E168)</f>
        <v>-12</v>
      </c>
      <c r="F170" s="10">
        <f t="shared" si="1047"/>
        <v>-11.83</v>
      </c>
      <c r="G170" s="10">
        <f t="shared" si="1047"/>
        <v>-12</v>
      </c>
      <c r="H170" s="10">
        <f t="shared" si="1047"/>
        <v>-132</v>
      </c>
      <c r="I170" s="10">
        <f t="shared" si="1047"/>
        <v>-817.36</v>
      </c>
      <c r="J170" s="10">
        <f t="shared" si="1047"/>
        <v>-12</v>
      </c>
      <c r="K170" s="10">
        <f t="shared" si="1047"/>
        <v>-213</v>
      </c>
      <c r="L170" s="10">
        <f t="shared" si="1047"/>
        <v>-1880.5</v>
      </c>
      <c r="M170" s="10">
        <f t="shared" si="1047"/>
        <v>-263.3</v>
      </c>
      <c r="N170" s="10">
        <f t="shared" si="1047"/>
        <v>-223</v>
      </c>
      <c r="O170" s="10">
        <f t="shared" si="1047"/>
        <v>-2910.3900000000003</v>
      </c>
      <c r="P170" s="10">
        <f t="shared" si="1047"/>
        <v>-1726.67</v>
      </c>
      <c r="Q170" s="10">
        <f t="shared" si="1047"/>
        <v>-469.62</v>
      </c>
      <c r="R170" s="10">
        <f t="shared" si="1047"/>
        <v>-327.19000000000005</v>
      </c>
      <c r="S170" s="10">
        <f t="shared" si="1047"/>
        <v>-666.62999999999988</v>
      </c>
      <c r="T170" s="10">
        <f t="shared" si="1047"/>
        <v>74663.08</v>
      </c>
      <c r="U170" s="10">
        <f t="shared" si="1047"/>
        <v>-3616.4899999999984</v>
      </c>
      <c r="V170" s="10">
        <f t="shared" si="1047"/>
        <v>-1107.3300000000049</v>
      </c>
      <c r="W170" s="10">
        <f t="shared" si="1047"/>
        <v>-20537.889999999992</v>
      </c>
      <c r="X170" s="10">
        <f t="shared" si="1047"/>
        <v>-2738.4200000000005</v>
      </c>
      <c r="Y170" s="10">
        <f t="shared" si="1047"/>
        <v>69291.249999999985</v>
      </c>
      <c r="Z170" s="10">
        <f t="shared" si="1047"/>
        <v>35810.049999999974</v>
      </c>
      <c r="AA170" s="10">
        <f t="shared" si="1047"/>
        <v>60789.130000000019</v>
      </c>
      <c r="AB170" s="10">
        <f t="shared" si="1047"/>
        <v>-99451.290000000008</v>
      </c>
      <c r="AC170" s="10">
        <f t="shared" si="1047"/>
        <v>71523.990000000005</v>
      </c>
      <c r="AD170" s="10">
        <f t="shared" si="1047"/>
        <v>5833.6100000000024</v>
      </c>
      <c r="AE170" s="10">
        <f t="shared" si="1047"/>
        <v>-20137.240000000005</v>
      </c>
      <c r="AF170" s="10">
        <f t="shared" si="1047"/>
        <v>-28689.659999999989</v>
      </c>
      <c r="AG170" s="10">
        <f t="shared" si="1047"/>
        <v>-9189.0399999999936</v>
      </c>
      <c r="AH170" s="10">
        <f t="shared" ref="AH170:AI170" si="1048">SUM(AH166:AH168)</f>
        <v>-17239.63</v>
      </c>
      <c r="AI170" s="10">
        <f t="shared" si="1048"/>
        <v>-6790.4300000000021</v>
      </c>
      <c r="AJ170" s="171">
        <f t="shared" ref="AJ170" si="1049">SUM(AJ166:AJ168)</f>
        <v>12717.480000000007</v>
      </c>
      <c r="AK170" s="10">
        <f t="shared" ref="AK170:BP170" si="1050">SUM(AK166:AK168)</f>
        <v>135987.65718884725</v>
      </c>
      <c r="AL170" s="10">
        <f t="shared" si="1050"/>
        <v>21554.788147776213</v>
      </c>
      <c r="AM170" s="171">
        <f t="shared" si="1050"/>
        <v>168615.23807826318</v>
      </c>
      <c r="AN170" s="10">
        <f t="shared" si="1050"/>
        <v>-17227.306949796599</v>
      </c>
      <c r="AO170" s="10">
        <f t="shared" si="1050"/>
        <v>-20729.39925669476</v>
      </c>
      <c r="AP170" s="10">
        <f t="shared" si="1050"/>
        <v>-72471.205952622462</v>
      </c>
      <c r="AQ170" s="10">
        <f t="shared" si="1050"/>
        <v>304757.18703133718</v>
      </c>
      <c r="AR170" s="10">
        <f t="shared" si="1050"/>
        <v>298560.6659463325</v>
      </c>
      <c r="AS170" s="10">
        <f t="shared" si="1050"/>
        <v>203739.43927335995</v>
      </c>
      <c r="AT170" s="10">
        <f t="shared" si="1050"/>
        <v>-358087.98348634306</v>
      </c>
      <c r="AU170" s="10">
        <f t="shared" si="1050"/>
        <v>34654.890498756009</v>
      </c>
      <c r="AV170" s="10">
        <f t="shared" si="1050"/>
        <v>-187178.18971516786</v>
      </c>
      <c r="AW170" s="10">
        <f t="shared" si="1050"/>
        <v>625802.04147162172</v>
      </c>
      <c r="AX170" s="10">
        <f t="shared" si="1050"/>
        <v>358062.81718245271</v>
      </c>
      <c r="AY170" s="171">
        <f t="shared" si="1050"/>
        <v>-118808.19506493658</v>
      </c>
      <c r="AZ170" s="10">
        <f t="shared" si="1050"/>
        <v>-490747.66974007367</v>
      </c>
      <c r="BA170" s="10">
        <f t="shared" si="1050"/>
        <v>124074.83277049873</v>
      </c>
      <c r="BB170" s="10">
        <f t="shared" si="1050"/>
        <v>-165871.15704542893</v>
      </c>
      <c r="BC170" s="10">
        <f t="shared" si="1050"/>
        <v>116169.70199623075</v>
      </c>
      <c r="BD170" s="10">
        <f t="shared" si="1050"/>
        <v>206385.26005560241</v>
      </c>
      <c r="BE170" s="10">
        <f t="shared" si="1050"/>
        <v>-87893.232716003084</v>
      </c>
      <c r="BF170" s="10">
        <f t="shared" si="1050"/>
        <v>-34288.742734429477</v>
      </c>
      <c r="BG170" s="10">
        <f t="shared" si="1050"/>
        <v>-92188.483005555579</v>
      </c>
      <c r="BH170" s="10">
        <f t="shared" si="1050"/>
        <v>777849.48095210223</v>
      </c>
      <c r="BI170" s="10">
        <f t="shared" si="1050"/>
        <v>726048.01755084889</v>
      </c>
      <c r="BJ170" s="10">
        <f t="shared" si="1050"/>
        <v>-56919.943714870664</v>
      </c>
      <c r="BK170" s="171">
        <f t="shared" si="1050"/>
        <v>-645589.34331518621</v>
      </c>
      <c r="BL170" s="10">
        <f t="shared" si="1050"/>
        <v>216133.10219288562</v>
      </c>
      <c r="BM170" s="10">
        <f t="shared" si="1050"/>
        <v>-162277.39734454881</v>
      </c>
      <c r="BN170" s="10">
        <f t="shared" si="1050"/>
        <v>170388.33485985035</v>
      </c>
      <c r="BO170" s="10">
        <f t="shared" si="1050"/>
        <v>-284417.22171022242</v>
      </c>
      <c r="BP170" s="10">
        <f t="shared" si="1050"/>
        <v>541038.03700184613</v>
      </c>
      <c r="BQ170" s="10">
        <f t="shared" ref="BQ170:CV170" si="1051">SUM(BQ166:BQ168)</f>
        <v>-68684.55004482888</v>
      </c>
      <c r="BR170" s="10">
        <f t="shared" si="1051"/>
        <v>-41512.606201245871</v>
      </c>
      <c r="BS170" s="10">
        <f t="shared" si="1051"/>
        <v>-118726.94415815201</v>
      </c>
      <c r="BT170" s="10">
        <f t="shared" si="1051"/>
        <v>1085272.6163925112</v>
      </c>
      <c r="BU170" s="10">
        <f t="shared" si="1051"/>
        <v>1006693.7399104547</v>
      </c>
      <c r="BV170" s="10">
        <f t="shared" si="1051"/>
        <v>-42447.728548771178</v>
      </c>
      <c r="BW170" s="171">
        <f t="shared" si="1051"/>
        <v>-824757.29702856706</v>
      </c>
      <c r="BX170" s="10">
        <f t="shared" si="1051"/>
        <v>336256.41671254084</v>
      </c>
      <c r="BY170" s="10">
        <f t="shared" si="1051"/>
        <v>-200200.45809869654</v>
      </c>
      <c r="BZ170" s="10">
        <f t="shared" si="1051"/>
        <v>245990.37738151994</v>
      </c>
      <c r="CA170" s="10">
        <f t="shared" si="1051"/>
        <v>-350288.83588334068</v>
      </c>
      <c r="CB170" s="10">
        <f t="shared" si="1051"/>
        <v>621653.47774288326</v>
      </c>
      <c r="CC170" s="10">
        <f t="shared" si="1051"/>
        <v>-83278.827291694397</v>
      </c>
      <c r="CD170" s="10">
        <f t="shared" si="1051"/>
        <v>-51502.865692806576</v>
      </c>
      <c r="CE170" s="10">
        <f t="shared" si="1051"/>
        <v>-139171.25881241966</v>
      </c>
      <c r="CF170" s="10">
        <f t="shared" si="1051"/>
        <v>1244024.8247787734</v>
      </c>
      <c r="CG170" s="10">
        <f t="shared" si="1051"/>
        <v>1156600.1257331199</v>
      </c>
      <c r="CH170" s="10">
        <f t="shared" si="1051"/>
        <v>-62434.880971189094</v>
      </c>
      <c r="CI170" s="171">
        <f t="shared" si="1051"/>
        <v>-974539.6375397183</v>
      </c>
      <c r="CJ170" s="10">
        <f t="shared" si="1051"/>
        <v>371940.92942586466</v>
      </c>
      <c r="CK170" s="10">
        <f t="shared" si="1051"/>
        <v>-239960.41471759911</v>
      </c>
      <c r="CL170" s="10">
        <f t="shared" si="1051"/>
        <v>280343.01984460209</v>
      </c>
      <c r="CM170" s="10">
        <f t="shared" si="1051"/>
        <v>-418349.78386472288</v>
      </c>
      <c r="CN170" s="10">
        <f t="shared" si="1051"/>
        <v>829152.39015632519</v>
      </c>
      <c r="CO170" s="10">
        <f t="shared" si="1051"/>
        <v>-100656.21940517367</v>
      </c>
      <c r="CP170" s="10">
        <f t="shared" si="1051"/>
        <v>-56251.266594225643</v>
      </c>
      <c r="CQ170" s="10">
        <f t="shared" si="1051"/>
        <v>-175797.27017495368</v>
      </c>
      <c r="CR170" s="10">
        <f t="shared" si="1051"/>
        <v>1657377.1829384009</v>
      </c>
      <c r="CS170" s="10">
        <f t="shared" si="1051"/>
        <v>1539227.9927060073</v>
      </c>
      <c r="CT170" s="10">
        <f t="shared" si="1051"/>
        <v>-61399.799690346088</v>
      </c>
      <c r="CU170" s="171">
        <f t="shared" si="1051"/>
        <v>-1259096.683758162</v>
      </c>
      <c r="CV170" s="10">
        <f t="shared" si="1051"/>
        <v>1486141.546545343</v>
      </c>
      <c r="CW170" s="10">
        <f t="shared" ref="CW170:DG170" si="1052">SUM(CW166:CW168)</f>
        <v>-340985.31024755083</v>
      </c>
      <c r="CX170" s="10">
        <f t="shared" si="1052"/>
        <v>364407.06654066319</v>
      </c>
      <c r="CY170" s="10">
        <f t="shared" si="1052"/>
        <v>-712933.29032982024</v>
      </c>
      <c r="CZ170" s="10">
        <f t="shared" si="1052"/>
        <v>1787064.3922795476</v>
      </c>
      <c r="DA170" s="10">
        <f t="shared" si="1052"/>
        <v>1634453.2832661429</v>
      </c>
      <c r="DB170" s="10">
        <f t="shared" si="1052"/>
        <v>-135187.94367407981</v>
      </c>
      <c r="DC170" s="10">
        <f t="shared" si="1052"/>
        <v>-1355571.4770141607</v>
      </c>
      <c r="DD170" s="10">
        <f t="shared" si="1052"/>
        <v>491164.01683557621</v>
      </c>
      <c r="DE170" s="10">
        <f t="shared" si="1052"/>
        <v>-387014.09254384029</v>
      </c>
      <c r="DF170" s="10">
        <f t="shared" si="1052"/>
        <v>485293.12724217051</v>
      </c>
      <c r="DG170" s="10">
        <f t="shared" si="1052"/>
        <v>-636707.20145293814</v>
      </c>
    </row>
    <row r="171" spans="1:111" x14ac:dyDescent="0.3">
      <c r="AJ171" s="162"/>
      <c r="AM171" s="162"/>
      <c r="AY171" s="162"/>
      <c r="BK171" s="162"/>
      <c r="BW171" s="162"/>
      <c r="CI171" s="162"/>
      <c r="CU171" s="162"/>
    </row>
    <row r="172" spans="1:111" x14ac:dyDescent="0.3">
      <c r="AJ172" s="162"/>
      <c r="AM172" s="162"/>
      <c r="AY172" s="162"/>
      <c r="BK172" s="162"/>
      <c r="BW172" s="162"/>
      <c r="CI172" s="162"/>
      <c r="CU172" s="162"/>
    </row>
    <row r="173" spans="1:111" x14ac:dyDescent="0.3">
      <c r="B173" s="1" t="s">
        <v>34</v>
      </c>
      <c r="E173" s="91">
        <f t="shared" ref="E173:AJ173" si="1053">(E149-D149)+(E156-D156)</f>
        <v>12</v>
      </c>
      <c r="F173" s="91">
        <f t="shared" si="1053"/>
        <v>11.829999999999998</v>
      </c>
      <c r="G173" s="91">
        <f t="shared" si="1053"/>
        <v>111.99999999999999</v>
      </c>
      <c r="H173" s="91">
        <f t="shared" si="1053"/>
        <v>132.00000000000006</v>
      </c>
      <c r="I173" s="91">
        <f t="shared" si="1053"/>
        <v>817.36</v>
      </c>
      <c r="J173" s="91">
        <f t="shared" si="1053"/>
        <v>1512</v>
      </c>
      <c r="K173" s="91">
        <f t="shared" si="1053"/>
        <v>12</v>
      </c>
      <c r="L173" s="91">
        <f t="shared" si="1053"/>
        <v>762</v>
      </c>
      <c r="M173" s="91">
        <f t="shared" si="1053"/>
        <v>312</v>
      </c>
      <c r="N173" s="91">
        <f t="shared" si="1053"/>
        <v>12</v>
      </c>
      <c r="O173" s="91">
        <f t="shared" si="1053"/>
        <v>3100.0000000000005</v>
      </c>
      <c r="P173" s="289">
        <f t="shared" si="1053"/>
        <v>3104.2699999999986</v>
      </c>
      <c r="Q173" s="91">
        <f t="shared" si="1053"/>
        <v>0</v>
      </c>
      <c r="R173" s="91">
        <f t="shared" si="1053"/>
        <v>0</v>
      </c>
      <c r="S173" s="91">
        <f t="shared" si="1053"/>
        <v>500</v>
      </c>
      <c r="T173" s="91">
        <f t="shared" si="1053"/>
        <v>0</v>
      </c>
      <c r="U173" s="91">
        <f t="shared" si="1053"/>
        <v>0</v>
      </c>
      <c r="V173" s="91">
        <f t="shared" si="1053"/>
        <v>1193.6900000000005</v>
      </c>
      <c r="W173" s="91">
        <f t="shared" si="1053"/>
        <v>0</v>
      </c>
      <c r="X173" s="91">
        <f t="shared" si="1053"/>
        <v>180.19000000000051</v>
      </c>
      <c r="Y173" s="91">
        <f t="shared" si="1053"/>
        <v>0</v>
      </c>
      <c r="Z173" s="91">
        <f t="shared" si="1053"/>
        <v>-10000</v>
      </c>
      <c r="AA173" s="91">
        <f t="shared" si="1053"/>
        <v>-10000</v>
      </c>
      <c r="AB173" s="91">
        <f t="shared" si="1053"/>
        <v>0</v>
      </c>
      <c r="AC173" s="91">
        <f t="shared" si="1053"/>
        <v>-20000</v>
      </c>
      <c r="AD173" s="91">
        <f t="shared" si="1053"/>
        <v>0</v>
      </c>
      <c r="AE173" s="91">
        <f t="shared" si="1053"/>
        <v>-50000</v>
      </c>
      <c r="AF173" s="91">
        <f t="shared" si="1053"/>
        <v>0</v>
      </c>
      <c r="AG173" s="91">
        <f t="shared" si="1053"/>
        <v>0</v>
      </c>
      <c r="AH173" s="91">
        <f t="shared" si="1053"/>
        <v>0</v>
      </c>
      <c r="AI173" s="91">
        <f t="shared" si="1053"/>
        <v>0</v>
      </c>
      <c r="AJ173" s="163">
        <f t="shared" si="1053"/>
        <v>0</v>
      </c>
      <c r="AK173" s="91">
        <f t="shared" ref="AK173:BP173" si="1054">(AK149-AJ149)+(AK156-AJ156)</f>
        <v>0</v>
      </c>
      <c r="AL173" s="91">
        <f t="shared" si="1054"/>
        <v>0</v>
      </c>
      <c r="AM173" s="163">
        <f t="shared" si="1054"/>
        <v>-6595.7678927698289</v>
      </c>
      <c r="AN173" s="91">
        <f t="shared" si="1054"/>
        <v>0</v>
      </c>
      <c r="AO173" s="91">
        <f t="shared" si="1054"/>
        <v>0</v>
      </c>
      <c r="AP173" s="91">
        <f t="shared" si="1054"/>
        <v>0</v>
      </c>
      <c r="AQ173" s="91">
        <f t="shared" si="1054"/>
        <v>0</v>
      </c>
      <c r="AR173" s="91">
        <f t="shared" si="1054"/>
        <v>0</v>
      </c>
      <c r="AS173" s="91">
        <f t="shared" si="1054"/>
        <v>0</v>
      </c>
      <c r="AT173" s="91">
        <f t="shared" si="1054"/>
        <v>0</v>
      </c>
      <c r="AU173" s="91">
        <f t="shared" si="1054"/>
        <v>0</v>
      </c>
      <c r="AV173" s="91">
        <f t="shared" si="1054"/>
        <v>0</v>
      </c>
      <c r="AW173" s="91">
        <f t="shared" si="1054"/>
        <v>0</v>
      </c>
      <c r="AX173" s="91">
        <f t="shared" si="1054"/>
        <v>0</v>
      </c>
      <c r="AY173" s="163">
        <f t="shared" si="1054"/>
        <v>-56167.062729235098</v>
      </c>
      <c r="AZ173" s="91">
        <f t="shared" si="1054"/>
        <v>0</v>
      </c>
      <c r="BA173" s="91">
        <f t="shared" si="1054"/>
        <v>0</v>
      </c>
      <c r="BB173" s="91">
        <f t="shared" si="1054"/>
        <v>0</v>
      </c>
      <c r="BC173" s="91">
        <f t="shared" si="1054"/>
        <v>0</v>
      </c>
      <c r="BD173" s="91">
        <f t="shared" si="1054"/>
        <v>0</v>
      </c>
      <c r="BE173" s="91">
        <f t="shared" si="1054"/>
        <v>0</v>
      </c>
      <c r="BF173" s="91">
        <f t="shared" si="1054"/>
        <v>0</v>
      </c>
      <c r="BG173" s="91">
        <f t="shared" si="1054"/>
        <v>0</v>
      </c>
      <c r="BH173" s="91">
        <f t="shared" si="1054"/>
        <v>0</v>
      </c>
      <c r="BI173" s="91">
        <f t="shared" si="1054"/>
        <v>0</v>
      </c>
      <c r="BJ173" s="91">
        <f t="shared" si="1054"/>
        <v>0</v>
      </c>
      <c r="BK173" s="163">
        <f t="shared" si="1054"/>
        <v>-171025.96623040829</v>
      </c>
      <c r="BL173" s="91">
        <f t="shared" si="1054"/>
        <v>0</v>
      </c>
      <c r="BM173" s="91">
        <f t="shared" si="1054"/>
        <v>0</v>
      </c>
      <c r="BN173" s="91">
        <f t="shared" si="1054"/>
        <v>0</v>
      </c>
      <c r="BO173" s="91">
        <f t="shared" si="1054"/>
        <v>0</v>
      </c>
      <c r="BP173" s="91">
        <f t="shared" si="1054"/>
        <v>0</v>
      </c>
      <c r="BQ173" s="91">
        <f t="shared" ref="BQ173:CV173" si="1055">(BQ149-BP149)+(BQ156-BP156)</f>
        <v>0</v>
      </c>
      <c r="BR173" s="91">
        <f t="shared" si="1055"/>
        <v>0</v>
      </c>
      <c r="BS173" s="91">
        <f t="shared" si="1055"/>
        <v>0</v>
      </c>
      <c r="BT173" s="91">
        <f t="shared" si="1055"/>
        <v>0</v>
      </c>
      <c r="BU173" s="91">
        <f t="shared" si="1055"/>
        <v>0</v>
      </c>
      <c r="BV173" s="91">
        <f t="shared" si="1055"/>
        <v>0</v>
      </c>
      <c r="BW173" s="163">
        <f t="shared" si="1055"/>
        <v>-267829.46106750716</v>
      </c>
      <c r="BX173" s="91">
        <f t="shared" si="1055"/>
        <v>0</v>
      </c>
      <c r="BY173" s="91">
        <f t="shared" si="1055"/>
        <v>0</v>
      </c>
      <c r="BZ173" s="91">
        <f t="shared" si="1055"/>
        <v>0</v>
      </c>
      <c r="CA173" s="91">
        <f t="shared" si="1055"/>
        <v>0</v>
      </c>
      <c r="CB173" s="91">
        <f t="shared" si="1055"/>
        <v>0</v>
      </c>
      <c r="CC173" s="91">
        <f t="shared" si="1055"/>
        <v>0</v>
      </c>
      <c r="CD173" s="91">
        <f t="shared" si="1055"/>
        <v>0</v>
      </c>
      <c r="CE173" s="91">
        <f t="shared" si="1055"/>
        <v>0</v>
      </c>
      <c r="CF173" s="91">
        <f t="shared" si="1055"/>
        <v>0</v>
      </c>
      <c r="CG173" s="91">
        <f t="shared" si="1055"/>
        <v>0</v>
      </c>
      <c r="CH173" s="91">
        <f t="shared" si="1055"/>
        <v>0</v>
      </c>
      <c r="CI173" s="163">
        <f t="shared" si="1055"/>
        <v>-326812.09402716905</v>
      </c>
      <c r="CJ173" s="91">
        <f t="shared" si="1055"/>
        <v>0</v>
      </c>
      <c r="CK173" s="91">
        <f t="shared" si="1055"/>
        <v>0</v>
      </c>
      <c r="CL173" s="91">
        <f t="shared" si="1055"/>
        <v>0</v>
      </c>
      <c r="CM173" s="91">
        <f t="shared" si="1055"/>
        <v>0</v>
      </c>
      <c r="CN173" s="91">
        <f t="shared" si="1055"/>
        <v>0</v>
      </c>
      <c r="CO173" s="91">
        <f t="shared" si="1055"/>
        <v>0</v>
      </c>
      <c r="CP173" s="91">
        <f t="shared" si="1055"/>
        <v>0</v>
      </c>
      <c r="CQ173" s="91">
        <f t="shared" si="1055"/>
        <v>0</v>
      </c>
      <c r="CR173" s="91">
        <f t="shared" si="1055"/>
        <v>0</v>
      </c>
      <c r="CS173" s="91">
        <f t="shared" si="1055"/>
        <v>0</v>
      </c>
      <c r="CT173" s="91">
        <f t="shared" si="1055"/>
        <v>0</v>
      </c>
      <c r="CU173" s="163">
        <f t="shared" si="1055"/>
        <v>-430006.62958331453</v>
      </c>
      <c r="CV173" s="91">
        <f t="shared" si="1055"/>
        <v>0</v>
      </c>
      <c r="CW173" s="91">
        <f t="shared" ref="CW173:DG173" si="1056">(CW149-CV149)+(CW156-CV156)</f>
        <v>0</v>
      </c>
      <c r="CX173" s="91">
        <f t="shared" si="1056"/>
        <v>0</v>
      </c>
      <c r="CY173" s="91">
        <f t="shared" si="1056"/>
        <v>0</v>
      </c>
      <c r="CZ173" s="91">
        <f t="shared" si="1056"/>
        <v>0</v>
      </c>
      <c r="DA173" s="91">
        <f t="shared" si="1056"/>
        <v>0</v>
      </c>
      <c r="DB173" s="91">
        <f t="shared" si="1056"/>
        <v>0</v>
      </c>
      <c r="DC173" s="91">
        <f t="shared" si="1056"/>
        <v>0</v>
      </c>
      <c r="DD173" s="91">
        <f t="shared" si="1056"/>
        <v>0</v>
      </c>
      <c r="DE173" s="91">
        <f t="shared" si="1056"/>
        <v>0</v>
      </c>
      <c r="DF173" s="91">
        <f t="shared" si="1056"/>
        <v>0</v>
      </c>
      <c r="DG173" s="91">
        <f t="shared" si="1056"/>
        <v>-697783.37895639986</v>
      </c>
    </row>
    <row r="174" spans="1:111" x14ac:dyDescent="0.3">
      <c r="A174" s="3"/>
      <c r="B174" s="4" t="s">
        <v>35</v>
      </c>
      <c r="C174" s="3"/>
      <c r="D174" s="10"/>
      <c r="E174" s="10">
        <f>E173</f>
        <v>12</v>
      </c>
      <c r="F174" s="10">
        <f t="shared" ref="F174:P174" si="1057">F173</f>
        <v>11.829999999999998</v>
      </c>
      <c r="G174" s="10">
        <f t="shared" si="1057"/>
        <v>111.99999999999999</v>
      </c>
      <c r="H174" s="10">
        <f t="shared" si="1057"/>
        <v>132.00000000000006</v>
      </c>
      <c r="I174" s="10">
        <f t="shared" si="1057"/>
        <v>817.36</v>
      </c>
      <c r="J174" s="10">
        <f t="shared" si="1057"/>
        <v>1512</v>
      </c>
      <c r="K174" s="10">
        <f t="shared" si="1057"/>
        <v>12</v>
      </c>
      <c r="L174" s="10">
        <f t="shared" si="1057"/>
        <v>762</v>
      </c>
      <c r="M174" s="10">
        <f t="shared" si="1057"/>
        <v>312</v>
      </c>
      <c r="N174" s="10">
        <f t="shared" si="1057"/>
        <v>12</v>
      </c>
      <c r="O174" s="10">
        <f t="shared" si="1057"/>
        <v>3100.0000000000005</v>
      </c>
      <c r="P174" s="10">
        <f t="shared" si="1057"/>
        <v>3104.2699999999986</v>
      </c>
      <c r="Q174" s="10">
        <f t="shared" ref="Q174:BQ174" si="1058">Q173</f>
        <v>0</v>
      </c>
      <c r="R174" s="10">
        <f t="shared" si="1058"/>
        <v>0</v>
      </c>
      <c r="S174" s="10">
        <f t="shared" si="1058"/>
        <v>500</v>
      </c>
      <c r="T174" s="10">
        <f t="shared" si="1058"/>
        <v>0</v>
      </c>
      <c r="U174" s="10">
        <f t="shared" si="1058"/>
        <v>0</v>
      </c>
      <c r="V174" s="10">
        <f t="shared" si="1058"/>
        <v>1193.6900000000005</v>
      </c>
      <c r="W174" s="10">
        <f t="shared" si="1058"/>
        <v>0</v>
      </c>
      <c r="X174" s="10">
        <f t="shared" si="1058"/>
        <v>180.19000000000051</v>
      </c>
      <c r="Y174" s="10">
        <f t="shared" si="1058"/>
        <v>0</v>
      </c>
      <c r="Z174" s="10">
        <f t="shared" si="1058"/>
        <v>-10000</v>
      </c>
      <c r="AA174" s="10">
        <f t="shared" ref="AA174:AB174" si="1059">AA173</f>
        <v>-10000</v>
      </c>
      <c r="AB174" s="10">
        <f t="shared" si="1059"/>
        <v>0</v>
      </c>
      <c r="AC174" s="10">
        <f t="shared" ref="AC174" si="1060">AC173</f>
        <v>-20000</v>
      </c>
      <c r="AD174" s="10">
        <f t="shared" si="1058"/>
        <v>0</v>
      </c>
      <c r="AE174" s="10">
        <f t="shared" si="1058"/>
        <v>-50000</v>
      </c>
      <c r="AF174" s="10">
        <f t="shared" ref="AF174" si="1061">AF173</f>
        <v>0</v>
      </c>
      <c r="AG174" s="10">
        <f t="shared" ref="AG174:AH174" si="1062">AG173</f>
        <v>0</v>
      </c>
      <c r="AH174" s="10">
        <f t="shared" si="1062"/>
        <v>0</v>
      </c>
      <c r="AI174" s="10">
        <f t="shared" ref="AI174" si="1063">AI173</f>
        <v>0</v>
      </c>
      <c r="AJ174" s="171">
        <f t="shared" ref="AJ174" si="1064">AJ173</f>
        <v>0</v>
      </c>
      <c r="AK174" s="10">
        <f t="shared" si="1058"/>
        <v>0</v>
      </c>
      <c r="AL174" s="10">
        <f t="shared" si="1058"/>
        <v>0</v>
      </c>
      <c r="AM174" s="171">
        <f t="shared" si="1058"/>
        <v>-6595.7678927698289</v>
      </c>
      <c r="AN174" s="10">
        <f t="shared" si="1058"/>
        <v>0</v>
      </c>
      <c r="AO174" s="10">
        <f t="shared" si="1058"/>
        <v>0</v>
      </c>
      <c r="AP174" s="10">
        <f t="shared" si="1058"/>
        <v>0</v>
      </c>
      <c r="AQ174" s="10">
        <f t="shared" si="1058"/>
        <v>0</v>
      </c>
      <c r="AR174" s="10">
        <f t="shared" si="1058"/>
        <v>0</v>
      </c>
      <c r="AS174" s="10">
        <f t="shared" si="1058"/>
        <v>0</v>
      </c>
      <c r="AT174" s="10">
        <f t="shared" si="1058"/>
        <v>0</v>
      </c>
      <c r="AU174" s="10">
        <f t="shared" si="1058"/>
        <v>0</v>
      </c>
      <c r="AV174" s="10">
        <f t="shared" si="1058"/>
        <v>0</v>
      </c>
      <c r="AW174" s="10">
        <f t="shared" si="1058"/>
        <v>0</v>
      </c>
      <c r="AX174" s="10">
        <f t="shared" si="1058"/>
        <v>0</v>
      </c>
      <c r="AY174" s="171">
        <f t="shared" si="1058"/>
        <v>-56167.062729235098</v>
      </c>
      <c r="AZ174" s="10">
        <f t="shared" si="1058"/>
        <v>0</v>
      </c>
      <c r="BA174" s="10">
        <f t="shared" si="1058"/>
        <v>0</v>
      </c>
      <c r="BB174" s="10">
        <f t="shared" si="1058"/>
        <v>0</v>
      </c>
      <c r="BC174" s="10">
        <f t="shared" si="1058"/>
        <v>0</v>
      </c>
      <c r="BD174" s="10">
        <f t="shared" si="1058"/>
        <v>0</v>
      </c>
      <c r="BE174" s="10">
        <f t="shared" si="1058"/>
        <v>0</v>
      </c>
      <c r="BF174" s="10">
        <f t="shared" si="1058"/>
        <v>0</v>
      </c>
      <c r="BG174" s="10">
        <f t="shared" si="1058"/>
        <v>0</v>
      </c>
      <c r="BH174" s="10">
        <f t="shared" si="1058"/>
        <v>0</v>
      </c>
      <c r="BI174" s="10">
        <f t="shared" si="1058"/>
        <v>0</v>
      </c>
      <c r="BJ174" s="10">
        <f t="shared" si="1058"/>
        <v>0</v>
      </c>
      <c r="BK174" s="171">
        <f t="shared" si="1058"/>
        <v>-171025.96623040829</v>
      </c>
      <c r="BL174" s="10">
        <f t="shared" si="1058"/>
        <v>0</v>
      </c>
      <c r="BM174" s="10">
        <f t="shared" si="1058"/>
        <v>0</v>
      </c>
      <c r="BN174" s="10">
        <f t="shared" si="1058"/>
        <v>0</v>
      </c>
      <c r="BO174" s="10">
        <f t="shared" si="1058"/>
        <v>0</v>
      </c>
      <c r="BP174" s="10">
        <f t="shared" si="1058"/>
        <v>0</v>
      </c>
      <c r="BQ174" s="10">
        <f t="shared" si="1058"/>
        <v>0</v>
      </c>
      <c r="BR174" s="10">
        <f t="shared" ref="BR174:DG174" si="1065">BR173</f>
        <v>0</v>
      </c>
      <c r="BS174" s="10">
        <f t="shared" si="1065"/>
        <v>0</v>
      </c>
      <c r="BT174" s="10">
        <f t="shared" si="1065"/>
        <v>0</v>
      </c>
      <c r="BU174" s="10">
        <f t="shared" si="1065"/>
        <v>0</v>
      </c>
      <c r="BV174" s="10">
        <f t="shared" si="1065"/>
        <v>0</v>
      </c>
      <c r="BW174" s="171">
        <f t="shared" si="1065"/>
        <v>-267829.46106750716</v>
      </c>
      <c r="BX174" s="10">
        <f t="shared" si="1065"/>
        <v>0</v>
      </c>
      <c r="BY174" s="10">
        <f t="shared" si="1065"/>
        <v>0</v>
      </c>
      <c r="BZ174" s="10">
        <f t="shared" si="1065"/>
        <v>0</v>
      </c>
      <c r="CA174" s="10">
        <f t="shared" si="1065"/>
        <v>0</v>
      </c>
      <c r="CB174" s="10">
        <f t="shared" si="1065"/>
        <v>0</v>
      </c>
      <c r="CC174" s="10">
        <f t="shared" si="1065"/>
        <v>0</v>
      </c>
      <c r="CD174" s="10">
        <f t="shared" si="1065"/>
        <v>0</v>
      </c>
      <c r="CE174" s="10">
        <f t="shared" si="1065"/>
        <v>0</v>
      </c>
      <c r="CF174" s="10">
        <f t="shared" si="1065"/>
        <v>0</v>
      </c>
      <c r="CG174" s="10">
        <f t="shared" si="1065"/>
        <v>0</v>
      </c>
      <c r="CH174" s="10">
        <f t="shared" si="1065"/>
        <v>0</v>
      </c>
      <c r="CI174" s="171">
        <f t="shared" si="1065"/>
        <v>-326812.09402716905</v>
      </c>
      <c r="CJ174" s="10">
        <f t="shared" si="1065"/>
        <v>0</v>
      </c>
      <c r="CK174" s="10">
        <f t="shared" si="1065"/>
        <v>0</v>
      </c>
      <c r="CL174" s="10">
        <f t="shared" si="1065"/>
        <v>0</v>
      </c>
      <c r="CM174" s="10">
        <f t="shared" si="1065"/>
        <v>0</v>
      </c>
      <c r="CN174" s="10">
        <f t="shared" si="1065"/>
        <v>0</v>
      </c>
      <c r="CO174" s="10">
        <f t="shared" si="1065"/>
        <v>0</v>
      </c>
      <c r="CP174" s="10">
        <f t="shared" si="1065"/>
        <v>0</v>
      </c>
      <c r="CQ174" s="10">
        <f t="shared" si="1065"/>
        <v>0</v>
      </c>
      <c r="CR174" s="10">
        <f t="shared" si="1065"/>
        <v>0</v>
      </c>
      <c r="CS174" s="10">
        <f t="shared" si="1065"/>
        <v>0</v>
      </c>
      <c r="CT174" s="10">
        <f t="shared" si="1065"/>
        <v>0</v>
      </c>
      <c r="CU174" s="171">
        <f t="shared" si="1065"/>
        <v>-430006.62958331453</v>
      </c>
      <c r="CV174" s="10">
        <f t="shared" si="1065"/>
        <v>0</v>
      </c>
      <c r="CW174" s="10">
        <f t="shared" si="1065"/>
        <v>0</v>
      </c>
      <c r="CX174" s="10">
        <f t="shared" si="1065"/>
        <v>0</v>
      </c>
      <c r="CY174" s="10">
        <f t="shared" si="1065"/>
        <v>0</v>
      </c>
      <c r="CZ174" s="10">
        <f t="shared" si="1065"/>
        <v>0</v>
      </c>
      <c r="DA174" s="10">
        <f t="shared" si="1065"/>
        <v>0</v>
      </c>
      <c r="DB174" s="10">
        <f t="shared" si="1065"/>
        <v>0</v>
      </c>
      <c r="DC174" s="10">
        <f t="shared" si="1065"/>
        <v>0</v>
      </c>
      <c r="DD174" s="10">
        <f t="shared" si="1065"/>
        <v>0</v>
      </c>
      <c r="DE174" s="10">
        <f t="shared" si="1065"/>
        <v>0</v>
      </c>
      <c r="DF174" s="10">
        <f t="shared" si="1065"/>
        <v>0</v>
      </c>
      <c r="DG174" s="10">
        <f t="shared" si="1065"/>
        <v>-697783.37895639986</v>
      </c>
    </row>
    <row r="175" spans="1:111" x14ac:dyDescent="0.3">
      <c r="AJ175" s="162"/>
      <c r="AM175" s="162"/>
      <c r="AY175" s="162"/>
      <c r="BK175" s="162"/>
      <c r="BW175" s="162"/>
      <c r="CI175" s="162"/>
      <c r="CU175" s="162"/>
    </row>
    <row r="176" spans="1:111" x14ac:dyDescent="0.3">
      <c r="B176" s="1" t="s">
        <v>36</v>
      </c>
      <c r="D176" s="9"/>
      <c r="E176" s="9">
        <f t="shared" ref="E176:P176" si="1066">E174+E170</f>
        <v>0</v>
      </c>
      <c r="F176" s="9">
        <f t="shared" si="1066"/>
        <v>0</v>
      </c>
      <c r="G176" s="9">
        <f t="shared" si="1066"/>
        <v>99.999999999999986</v>
      </c>
      <c r="H176" s="9">
        <f t="shared" si="1066"/>
        <v>0</v>
      </c>
      <c r="I176" s="9">
        <f t="shared" si="1066"/>
        <v>0</v>
      </c>
      <c r="J176" s="9">
        <f t="shared" si="1066"/>
        <v>1500</v>
      </c>
      <c r="K176" s="9">
        <f t="shared" si="1066"/>
        <v>-201</v>
      </c>
      <c r="L176" s="9">
        <f t="shared" si="1066"/>
        <v>-1118.5</v>
      </c>
      <c r="M176" s="9">
        <f t="shared" si="1066"/>
        <v>48.699999999999989</v>
      </c>
      <c r="N176" s="9">
        <f t="shared" si="1066"/>
        <v>-211</v>
      </c>
      <c r="O176" s="9">
        <f>O174+O170</f>
        <v>189.61000000000013</v>
      </c>
      <c r="P176" s="9">
        <f t="shared" si="1066"/>
        <v>1377.5999999999985</v>
      </c>
      <c r="Q176" s="9">
        <f t="shared" ref="Q176:BP176" si="1067">Q174+Q170</f>
        <v>-469.62</v>
      </c>
      <c r="R176" s="9">
        <f t="shared" si="1067"/>
        <v>-327.19000000000005</v>
      </c>
      <c r="S176" s="9">
        <f t="shared" si="1067"/>
        <v>-166.62999999999988</v>
      </c>
      <c r="T176" s="9">
        <f t="shared" si="1067"/>
        <v>74663.08</v>
      </c>
      <c r="U176" s="9">
        <f t="shared" si="1067"/>
        <v>-3616.4899999999984</v>
      </c>
      <c r="V176" s="9">
        <f t="shared" si="1067"/>
        <v>86.35999999999558</v>
      </c>
      <c r="W176" s="9">
        <f t="shared" si="1067"/>
        <v>-20537.889999999992</v>
      </c>
      <c r="X176" s="9">
        <f t="shared" si="1067"/>
        <v>-2558.23</v>
      </c>
      <c r="Y176" s="9">
        <f t="shared" si="1067"/>
        <v>69291.249999999985</v>
      </c>
      <c r="Z176" s="9">
        <f t="shared" si="1067"/>
        <v>25810.049999999974</v>
      </c>
      <c r="AA176" s="9">
        <f t="shared" ref="AA176:AB176" si="1068">AA174+AA170</f>
        <v>50789.130000000019</v>
      </c>
      <c r="AB176" s="9">
        <f t="shared" si="1068"/>
        <v>-99451.290000000008</v>
      </c>
      <c r="AC176" s="9">
        <f t="shared" ref="AC176" si="1069">AC174+AC170</f>
        <v>51523.990000000005</v>
      </c>
      <c r="AD176" s="9">
        <f t="shared" si="1067"/>
        <v>5833.6100000000024</v>
      </c>
      <c r="AE176" s="9">
        <f t="shared" si="1067"/>
        <v>-70137.240000000005</v>
      </c>
      <c r="AF176" s="9">
        <f t="shared" ref="AF176" si="1070">AF174+AF170</f>
        <v>-28689.659999999989</v>
      </c>
      <c r="AG176" s="9">
        <f t="shared" ref="AG176:AH176" si="1071">AG174+AG170</f>
        <v>-9189.0399999999936</v>
      </c>
      <c r="AH176" s="9">
        <f t="shared" si="1071"/>
        <v>-17239.63</v>
      </c>
      <c r="AI176" s="9">
        <f t="shared" ref="AI176" si="1072">AI174+AI170</f>
        <v>-6790.4300000000021</v>
      </c>
      <c r="AJ176" s="172">
        <f t="shared" ref="AJ176" si="1073">AJ174+AJ170</f>
        <v>12717.480000000007</v>
      </c>
      <c r="AK176" s="9">
        <f t="shared" si="1067"/>
        <v>135987.65718884725</v>
      </c>
      <c r="AL176" s="9">
        <f t="shared" si="1067"/>
        <v>21554.788147776213</v>
      </c>
      <c r="AM176" s="172">
        <f t="shared" si="1067"/>
        <v>162019.47018549335</v>
      </c>
      <c r="AN176" s="9">
        <f t="shared" si="1067"/>
        <v>-17227.306949796599</v>
      </c>
      <c r="AO176" s="9">
        <f t="shared" si="1067"/>
        <v>-20729.39925669476</v>
      </c>
      <c r="AP176" s="9">
        <f t="shared" si="1067"/>
        <v>-72471.205952622462</v>
      </c>
      <c r="AQ176" s="9">
        <f t="shared" si="1067"/>
        <v>304757.18703133718</v>
      </c>
      <c r="AR176" s="9">
        <f t="shared" si="1067"/>
        <v>298560.6659463325</v>
      </c>
      <c r="AS176" s="9">
        <f t="shared" si="1067"/>
        <v>203739.43927335995</v>
      </c>
      <c r="AT176" s="9">
        <f t="shared" si="1067"/>
        <v>-358087.98348634306</v>
      </c>
      <c r="AU176" s="9">
        <f t="shared" si="1067"/>
        <v>34654.890498756009</v>
      </c>
      <c r="AV176" s="9">
        <f t="shared" si="1067"/>
        <v>-187178.18971516786</v>
      </c>
      <c r="AW176" s="9">
        <f t="shared" si="1067"/>
        <v>625802.04147162172</v>
      </c>
      <c r="AX176" s="9">
        <f t="shared" si="1067"/>
        <v>358062.81718245271</v>
      </c>
      <c r="AY176" s="172">
        <f t="shared" si="1067"/>
        <v>-174975.25779417169</v>
      </c>
      <c r="AZ176" s="9">
        <f t="shared" si="1067"/>
        <v>-490747.66974007367</v>
      </c>
      <c r="BA176" s="9">
        <f t="shared" si="1067"/>
        <v>124074.83277049873</v>
      </c>
      <c r="BB176" s="9">
        <f t="shared" si="1067"/>
        <v>-165871.15704542893</v>
      </c>
      <c r="BC176" s="9">
        <f t="shared" si="1067"/>
        <v>116169.70199623075</v>
      </c>
      <c r="BD176" s="9">
        <f t="shared" si="1067"/>
        <v>206385.26005560241</v>
      </c>
      <c r="BE176" s="9">
        <f t="shared" si="1067"/>
        <v>-87893.232716003084</v>
      </c>
      <c r="BF176" s="9">
        <f t="shared" si="1067"/>
        <v>-34288.742734429477</v>
      </c>
      <c r="BG176" s="9">
        <f t="shared" si="1067"/>
        <v>-92188.483005555579</v>
      </c>
      <c r="BH176" s="9">
        <f t="shared" si="1067"/>
        <v>777849.48095210223</v>
      </c>
      <c r="BI176" s="9">
        <f t="shared" si="1067"/>
        <v>726048.01755084889</v>
      </c>
      <c r="BJ176" s="9">
        <f t="shared" si="1067"/>
        <v>-56919.943714870664</v>
      </c>
      <c r="BK176" s="172">
        <f t="shared" si="1067"/>
        <v>-816615.3095455945</v>
      </c>
      <c r="BL176" s="9">
        <f t="shared" si="1067"/>
        <v>216133.10219288562</v>
      </c>
      <c r="BM176" s="9">
        <f t="shared" si="1067"/>
        <v>-162277.39734454881</v>
      </c>
      <c r="BN176" s="9">
        <f t="shared" si="1067"/>
        <v>170388.33485985035</v>
      </c>
      <c r="BO176" s="9">
        <f t="shared" si="1067"/>
        <v>-284417.22171022242</v>
      </c>
      <c r="BP176" s="9">
        <f t="shared" si="1067"/>
        <v>541038.03700184613</v>
      </c>
      <c r="BQ176" s="9">
        <f t="shared" ref="BQ176:DG176" si="1074">BQ174+BQ170</f>
        <v>-68684.55004482888</v>
      </c>
      <c r="BR176" s="9">
        <f t="shared" si="1074"/>
        <v>-41512.606201245871</v>
      </c>
      <c r="BS176" s="9">
        <f t="shared" si="1074"/>
        <v>-118726.94415815201</v>
      </c>
      <c r="BT176" s="9">
        <f t="shared" si="1074"/>
        <v>1085272.6163925112</v>
      </c>
      <c r="BU176" s="9">
        <f t="shared" si="1074"/>
        <v>1006693.7399104547</v>
      </c>
      <c r="BV176" s="9">
        <f t="shared" si="1074"/>
        <v>-42447.728548771178</v>
      </c>
      <c r="BW176" s="172">
        <f t="shared" si="1074"/>
        <v>-1092586.7580960742</v>
      </c>
      <c r="BX176" s="9">
        <f t="shared" si="1074"/>
        <v>336256.41671254084</v>
      </c>
      <c r="BY176" s="9">
        <f t="shared" si="1074"/>
        <v>-200200.45809869654</v>
      </c>
      <c r="BZ176" s="9">
        <f t="shared" si="1074"/>
        <v>245990.37738151994</v>
      </c>
      <c r="CA176" s="9">
        <f t="shared" si="1074"/>
        <v>-350288.83588334068</v>
      </c>
      <c r="CB176" s="9">
        <f t="shared" si="1074"/>
        <v>621653.47774288326</v>
      </c>
      <c r="CC176" s="9">
        <f t="shared" si="1074"/>
        <v>-83278.827291694397</v>
      </c>
      <c r="CD176" s="9">
        <f t="shared" si="1074"/>
        <v>-51502.865692806576</v>
      </c>
      <c r="CE176" s="9">
        <f t="shared" si="1074"/>
        <v>-139171.25881241966</v>
      </c>
      <c r="CF176" s="9">
        <f t="shared" si="1074"/>
        <v>1244024.8247787734</v>
      </c>
      <c r="CG176" s="9">
        <f t="shared" si="1074"/>
        <v>1156600.1257331199</v>
      </c>
      <c r="CH176" s="9">
        <f t="shared" si="1074"/>
        <v>-62434.880971189094</v>
      </c>
      <c r="CI176" s="172">
        <f t="shared" si="1074"/>
        <v>-1301351.7315668873</v>
      </c>
      <c r="CJ176" s="9">
        <f t="shared" si="1074"/>
        <v>371940.92942586466</v>
      </c>
      <c r="CK176" s="9">
        <f t="shared" si="1074"/>
        <v>-239960.41471759911</v>
      </c>
      <c r="CL176" s="9">
        <f t="shared" si="1074"/>
        <v>280343.01984460209</v>
      </c>
      <c r="CM176" s="9">
        <f t="shared" si="1074"/>
        <v>-418349.78386472288</v>
      </c>
      <c r="CN176" s="9">
        <f t="shared" si="1074"/>
        <v>829152.39015632519</v>
      </c>
      <c r="CO176" s="9">
        <f t="shared" si="1074"/>
        <v>-100656.21940517367</v>
      </c>
      <c r="CP176" s="9">
        <f t="shared" si="1074"/>
        <v>-56251.266594225643</v>
      </c>
      <c r="CQ176" s="9">
        <f t="shared" si="1074"/>
        <v>-175797.27017495368</v>
      </c>
      <c r="CR176" s="9">
        <f t="shared" si="1074"/>
        <v>1657377.1829384009</v>
      </c>
      <c r="CS176" s="9">
        <f t="shared" si="1074"/>
        <v>1539227.9927060073</v>
      </c>
      <c r="CT176" s="9">
        <f t="shared" si="1074"/>
        <v>-61399.799690346088</v>
      </c>
      <c r="CU176" s="172">
        <f t="shared" si="1074"/>
        <v>-1689103.3133414765</v>
      </c>
      <c r="CV176" s="9">
        <f t="shared" si="1074"/>
        <v>1486141.546545343</v>
      </c>
      <c r="CW176" s="9">
        <f t="shared" si="1074"/>
        <v>-340985.31024755083</v>
      </c>
      <c r="CX176" s="9">
        <f t="shared" si="1074"/>
        <v>364407.06654066319</v>
      </c>
      <c r="CY176" s="9">
        <f t="shared" si="1074"/>
        <v>-712933.29032982024</v>
      </c>
      <c r="CZ176" s="9">
        <f t="shared" si="1074"/>
        <v>1787064.3922795476</v>
      </c>
      <c r="DA176" s="9">
        <f t="shared" si="1074"/>
        <v>1634453.2832661429</v>
      </c>
      <c r="DB176" s="9">
        <f t="shared" si="1074"/>
        <v>-135187.94367407981</v>
      </c>
      <c r="DC176" s="9">
        <f t="shared" si="1074"/>
        <v>-1355571.4770141607</v>
      </c>
      <c r="DD176" s="9">
        <f t="shared" si="1074"/>
        <v>491164.01683557621</v>
      </c>
      <c r="DE176" s="9">
        <f t="shared" si="1074"/>
        <v>-387014.09254384029</v>
      </c>
      <c r="DF176" s="9">
        <f t="shared" si="1074"/>
        <v>485293.12724217051</v>
      </c>
      <c r="DG176" s="9">
        <f t="shared" si="1074"/>
        <v>-1334490.580409338</v>
      </c>
    </row>
    <row r="177" spans="1:111" x14ac:dyDescent="0.3">
      <c r="AJ177" s="162"/>
      <c r="AM177" s="162"/>
      <c r="AY177" s="162"/>
      <c r="BK177" s="162"/>
      <c r="BW177" s="162"/>
      <c r="CI177" s="162"/>
      <c r="CU177" s="162"/>
    </row>
    <row r="178" spans="1:111" x14ac:dyDescent="0.3">
      <c r="B178" s="1" t="s">
        <v>37</v>
      </c>
      <c r="D178" s="9"/>
      <c r="E178" s="9">
        <f>D179</f>
        <v>0</v>
      </c>
      <c r="F178" s="9">
        <f t="shared" ref="F178:O178" si="1075">E179</f>
        <v>0</v>
      </c>
      <c r="G178" s="9">
        <f t="shared" si="1075"/>
        <v>0</v>
      </c>
      <c r="H178" s="9">
        <f t="shared" si="1075"/>
        <v>99.999999999999986</v>
      </c>
      <c r="I178" s="9">
        <f t="shared" si="1075"/>
        <v>99.999999999999986</v>
      </c>
      <c r="J178" s="9">
        <f t="shared" si="1075"/>
        <v>99.999999999999986</v>
      </c>
      <c r="K178" s="9">
        <f t="shared" si="1075"/>
        <v>1600</v>
      </c>
      <c r="L178" s="9">
        <f t="shared" si="1075"/>
        <v>1399</v>
      </c>
      <c r="M178" s="9">
        <f t="shared" si="1075"/>
        <v>280.5</v>
      </c>
      <c r="N178" s="9">
        <f t="shared" si="1075"/>
        <v>329.2</v>
      </c>
      <c r="O178" s="9">
        <f t="shared" si="1075"/>
        <v>118.19999999999999</v>
      </c>
      <c r="P178" s="9">
        <f>O179</f>
        <v>307.81000000000012</v>
      </c>
      <c r="Q178" s="9">
        <f t="shared" ref="Q178:BQ178" si="1076">P179</f>
        <v>1685.4099999999987</v>
      </c>
      <c r="R178" s="9">
        <f t="shared" si="1076"/>
        <v>1215.7899999999986</v>
      </c>
      <c r="S178" s="9">
        <f t="shared" si="1076"/>
        <v>888.59999999999854</v>
      </c>
      <c r="T178" s="9">
        <f t="shared" si="1076"/>
        <v>721.96999999999866</v>
      </c>
      <c r="U178" s="9">
        <f t="shared" si="1076"/>
        <v>75385.05</v>
      </c>
      <c r="V178" s="9">
        <f t="shared" si="1076"/>
        <v>71768.56</v>
      </c>
      <c r="W178" s="9">
        <f t="shared" si="1076"/>
        <v>71854.92</v>
      </c>
      <c r="X178" s="9">
        <f t="shared" si="1076"/>
        <v>51317.030000000006</v>
      </c>
      <c r="Y178" s="9">
        <f t="shared" si="1076"/>
        <v>48758.8</v>
      </c>
      <c r="Z178" s="9">
        <f t="shared" si="1076"/>
        <v>118050.04999999999</v>
      </c>
      <c r="AA178" s="9">
        <f t="shared" si="1076"/>
        <v>143860.09999999998</v>
      </c>
      <c r="AB178" s="9">
        <f t="shared" si="1076"/>
        <v>194649.22999999998</v>
      </c>
      <c r="AC178" s="9">
        <f t="shared" si="1076"/>
        <v>95197.939999999973</v>
      </c>
      <c r="AD178" s="9">
        <f t="shared" si="1076"/>
        <v>146721.93</v>
      </c>
      <c r="AE178" s="9">
        <f t="shared" si="1076"/>
        <v>152555.54</v>
      </c>
      <c r="AF178" s="9">
        <f t="shared" si="1076"/>
        <v>82418.3</v>
      </c>
      <c r="AG178" s="9">
        <f t="shared" si="1076"/>
        <v>53728.640000000014</v>
      </c>
      <c r="AH178" s="9">
        <f t="shared" si="1076"/>
        <v>44539.60000000002</v>
      </c>
      <c r="AI178" s="9">
        <f t="shared" si="1076"/>
        <v>27299.970000000019</v>
      </c>
      <c r="AJ178" s="172">
        <f t="shared" si="1076"/>
        <v>20509.540000000015</v>
      </c>
      <c r="AK178" s="9">
        <f t="shared" si="1076"/>
        <v>33227.020000000019</v>
      </c>
      <c r="AL178" s="9">
        <f t="shared" si="1076"/>
        <v>169214.67718884727</v>
      </c>
      <c r="AM178" s="172">
        <f t="shared" si="1076"/>
        <v>190769.46533662349</v>
      </c>
      <c r="AN178" s="9">
        <f t="shared" si="1076"/>
        <v>352788.93552211684</v>
      </c>
      <c r="AO178" s="9">
        <f t="shared" si="1076"/>
        <v>335561.62857232022</v>
      </c>
      <c r="AP178" s="9">
        <f t="shared" si="1076"/>
        <v>314832.22931562545</v>
      </c>
      <c r="AQ178" s="9">
        <f t="shared" si="1076"/>
        <v>242361.02336300298</v>
      </c>
      <c r="AR178" s="9">
        <f t="shared" si="1076"/>
        <v>547118.2103943401</v>
      </c>
      <c r="AS178" s="9">
        <f t="shared" si="1076"/>
        <v>845678.87634067261</v>
      </c>
      <c r="AT178" s="9">
        <f t="shared" si="1076"/>
        <v>1049418.3156140326</v>
      </c>
      <c r="AU178" s="9">
        <f t="shared" si="1076"/>
        <v>691330.3321276895</v>
      </c>
      <c r="AV178" s="9">
        <f t="shared" si="1076"/>
        <v>725985.22262644547</v>
      </c>
      <c r="AW178" s="9">
        <f t="shared" si="1076"/>
        <v>538807.03291127761</v>
      </c>
      <c r="AX178" s="9">
        <f t="shared" si="1076"/>
        <v>1164609.0743828993</v>
      </c>
      <c r="AY178" s="172">
        <f t="shared" si="1076"/>
        <v>1522671.891565352</v>
      </c>
      <c r="AZ178" s="9">
        <f t="shared" si="1076"/>
        <v>1347696.6337711802</v>
      </c>
      <c r="BA178" s="9">
        <f t="shared" si="1076"/>
        <v>856948.96403110656</v>
      </c>
      <c r="BB178" s="9">
        <f t="shared" si="1076"/>
        <v>981023.79680160526</v>
      </c>
      <c r="BC178" s="9">
        <f t="shared" si="1076"/>
        <v>815152.63975617639</v>
      </c>
      <c r="BD178" s="9">
        <f t="shared" si="1076"/>
        <v>931322.34175240714</v>
      </c>
      <c r="BE178" s="9">
        <f t="shared" si="1076"/>
        <v>1137707.6018080097</v>
      </c>
      <c r="BF178" s="9">
        <f t="shared" si="1076"/>
        <v>1049814.3690920067</v>
      </c>
      <c r="BG178" s="9">
        <f t="shared" si="1076"/>
        <v>1015525.6263575773</v>
      </c>
      <c r="BH178" s="9">
        <f t="shared" si="1076"/>
        <v>923337.1433520217</v>
      </c>
      <c r="BI178" s="9">
        <f t="shared" si="1076"/>
        <v>1701186.6243041239</v>
      </c>
      <c r="BJ178" s="9">
        <f t="shared" si="1076"/>
        <v>2427234.6418549726</v>
      </c>
      <c r="BK178" s="172">
        <f t="shared" si="1076"/>
        <v>2370314.698140102</v>
      </c>
      <c r="BL178" s="9">
        <f t="shared" si="1076"/>
        <v>1553699.3885945075</v>
      </c>
      <c r="BM178" s="9">
        <f t="shared" si="1076"/>
        <v>1769832.4907873932</v>
      </c>
      <c r="BN178" s="9">
        <f t="shared" si="1076"/>
        <v>1607555.0934428445</v>
      </c>
      <c r="BO178" s="9">
        <f t="shared" si="1076"/>
        <v>1777943.4283026948</v>
      </c>
      <c r="BP178" s="9">
        <f t="shared" si="1076"/>
        <v>1493526.2065924723</v>
      </c>
      <c r="BQ178" s="9">
        <f t="shared" si="1076"/>
        <v>2034564.2435943184</v>
      </c>
      <c r="BR178" s="9">
        <f t="shared" ref="BR178:DG178" si="1077">BQ179</f>
        <v>1965879.6935494896</v>
      </c>
      <c r="BS178" s="9">
        <f t="shared" si="1077"/>
        <v>1924367.0873482437</v>
      </c>
      <c r="BT178" s="9">
        <f t="shared" si="1077"/>
        <v>1805640.1431900917</v>
      </c>
      <c r="BU178" s="9">
        <f t="shared" si="1077"/>
        <v>2890912.7595826029</v>
      </c>
      <c r="BV178" s="9">
        <f t="shared" si="1077"/>
        <v>3897606.4994930578</v>
      </c>
      <c r="BW178" s="172">
        <f t="shared" si="1077"/>
        <v>3855158.7709442866</v>
      </c>
      <c r="BX178" s="9">
        <f t="shared" si="1077"/>
        <v>2762572.0128482124</v>
      </c>
      <c r="BY178" s="9">
        <f t="shared" si="1077"/>
        <v>3098828.4295607531</v>
      </c>
      <c r="BZ178" s="9">
        <f t="shared" si="1077"/>
        <v>2898627.9714620565</v>
      </c>
      <c r="CA178" s="9">
        <f t="shared" si="1077"/>
        <v>3144618.3488435764</v>
      </c>
      <c r="CB178" s="9">
        <f t="shared" si="1077"/>
        <v>2794329.5129602356</v>
      </c>
      <c r="CC178" s="9">
        <f t="shared" si="1077"/>
        <v>3415982.990703119</v>
      </c>
      <c r="CD178" s="9">
        <f t="shared" si="1077"/>
        <v>3332704.1634114245</v>
      </c>
      <c r="CE178" s="9">
        <f t="shared" si="1077"/>
        <v>3281201.2977186181</v>
      </c>
      <c r="CF178" s="9">
        <f t="shared" si="1077"/>
        <v>3142030.0389061985</v>
      </c>
      <c r="CG178" s="9">
        <f t="shared" si="1077"/>
        <v>4386054.8636849718</v>
      </c>
      <c r="CH178" s="9">
        <f t="shared" si="1077"/>
        <v>5542654.9894180913</v>
      </c>
      <c r="CI178" s="172">
        <f t="shared" si="1077"/>
        <v>5480220.1084469026</v>
      </c>
      <c r="CJ178" s="9">
        <f t="shared" si="1077"/>
        <v>4178868.3768800152</v>
      </c>
      <c r="CK178" s="9">
        <f t="shared" si="1077"/>
        <v>4550809.3063058797</v>
      </c>
      <c r="CL178" s="9">
        <f t="shared" si="1077"/>
        <v>4310848.8915882809</v>
      </c>
      <c r="CM178" s="9">
        <f t="shared" si="1077"/>
        <v>4591191.9114328828</v>
      </c>
      <c r="CN178" s="9">
        <f t="shared" si="1077"/>
        <v>4172842.1275681597</v>
      </c>
      <c r="CO178" s="9">
        <f t="shared" si="1077"/>
        <v>5001994.5177244851</v>
      </c>
      <c r="CP178" s="9">
        <f t="shared" si="1077"/>
        <v>4901338.2983193118</v>
      </c>
      <c r="CQ178" s="9">
        <f t="shared" si="1077"/>
        <v>4845087.0317250863</v>
      </c>
      <c r="CR178" s="9">
        <f t="shared" si="1077"/>
        <v>4669289.7615501322</v>
      </c>
      <c r="CS178" s="9">
        <f t="shared" si="1077"/>
        <v>6326666.9444885328</v>
      </c>
      <c r="CT178" s="9">
        <f t="shared" si="1077"/>
        <v>7865894.9371945402</v>
      </c>
      <c r="CU178" s="172">
        <f t="shared" si="1077"/>
        <v>7804495.1375041939</v>
      </c>
      <c r="CV178" s="9">
        <f t="shared" si="1077"/>
        <v>6115391.8241627179</v>
      </c>
      <c r="CW178" s="9">
        <f t="shared" si="1077"/>
        <v>7601533.3707080614</v>
      </c>
      <c r="CX178" s="9">
        <f t="shared" si="1077"/>
        <v>7260548.0604605107</v>
      </c>
      <c r="CY178" s="9">
        <f t="shared" si="1077"/>
        <v>7624955.1270011738</v>
      </c>
      <c r="CZ178" s="9">
        <f t="shared" si="1077"/>
        <v>6912021.8366713533</v>
      </c>
      <c r="DA178" s="9">
        <f t="shared" si="1077"/>
        <v>8699086.228950901</v>
      </c>
      <c r="DB178" s="9">
        <f t="shared" si="1077"/>
        <v>10333539.512217045</v>
      </c>
      <c r="DC178" s="9">
        <f t="shared" si="1077"/>
        <v>10198351.568542965</v>
      </c>
      <c r="DD178" s="9">
        <f t="shared" si="1077"/>
        <v>8842780.0915288031</v>
      </c>
      <c r="DE178" s="9">
        <f t="shared" si="1077"/>
        <v>9333944.108364379</v>
      </c>
      <c r="DF178" s="9">
        <f t="shared" si="1077"/>
        <v>8946930.0158205386</v>
      </c>
      <c r="DG178" s="9">
        <f t="shared" si="1077"/>
        <v>9432223.1430627089</v>
      </c>
    </row>
    <row r="179" spans="1:111" x14ac:dyDescent="0.3">
      <c r="B179" s="1" t="s">
        <v>38</v>
      </c>
      <c r="D179" s="9"/>
      <c r="E179" s="9">
        <f>E178+E176</f>
        <v>0</v>
      </c>
      <c r="F179" s="9">
        <f t="shared" ref="F179:P179" si="1078">F178+F176</f>
        <v>0</v>
      </c>
      <c r="G179" s="9">
        <f t="shared" si="1078"/>
        <v>99.999999999999986</v>
      </c>
      <c r="H179" s="9">
        <f t="shared" si="1078"/>
        <v>99.999999999999986</v>
      </c>
      <c r="I179" s="9">
        <f t="shared" si="1078"/>
        <v>99.999999999999986</v>
      </c>
      <c r="J179" s="9">
        <f t="shared" si="1078"/>
        <v>1600</v>
      </c>
      <c r="K179" s="9">
        <f t="shared" si="1078"/>
        <v>1399</v>
      </c>
      <c r="L179" s="9">
        <f t="shared" si="1078"/>
        <v>280.5</v>
      </c>
      <c r="M179" s="9">
        <f t="shared" si="1078"/>
        <v>329.2</v>
      </c>
      <c r="N179" s="9">
        <f t="shared" si="1078"/>
        <v>118.19999999999999</v>
      </c>
      <c r="O179" s="9">
        <f>O178+O176</f>
        <v>307.81000000000012</v>
      </c>
      <c r="P179" s="9">
        <f t="shared" si="1078"/>
        <v>1685.4099999999987</v>
      </c>
      <c r="Q179" s="9">
        <f t="shared" ref="Q179:BQ179" si="1079">Q178+Q176</f>
        <v>1215.7899999999986</v>
      </c>
      <c r="R179" s="9">
        <f t="shared" si="1079"/>
        <v>888.59999999999854</v>
      </c>
      <c r="S179" s="9">
        <f t="shared" si="1079"/>
        <v>721.96999999999866</v>
      </c>
      <c r="T179" s="9">
        <f t="shared" si="1079"/>
        <v>75385.05</v>
      </c>
      <c r="U179" s="9">
        <f t="shared" si="1079"/>
        <v>71768.56</v>
      </c>
      <c r="V179" s="9">
        <f t="shared" si="1079"/>
        <v>71854.92</v>
      </c>
      <c r="W179" s="9">
        <f t="shared" si="1079"/>
        <v>51317.030000000006</v>
      </c>
      <c r="X179" s="9">
        <f t="shared" si="1079"/>
        <v>48758.8</v>
      </c>
      <c r="Y179" s="9">
        <f t="shared" si="1079"/>
        <v>118050.04999999999</v>
      </c>
      <c r="Z179" s="9">
        <f t="shared" si="1079"/>
        <v>143860.09999999998</v>
      </c>
      <c r="AA179" s="9">
        <f t="shared" ref="AA179:AB179" si="1080">AA178+AA176</f>
        <v>194649.22999999998</v>
      </c>
      <c r="AB179" s="9">
        <f t="shared" si="1080"/>
        <v>95197.939999999973</v>
      </c>
      <c r="AC179" s="9">
        <f t="shared" ref="AC179" si="1081">AC178+AC176</f>
        <v>146721.93</v>
      </c>
      <c r="AD179" s="9">
        <f t="shared" si="1079"/>
        <v>152555.54</v>
      </c>
      <c r="AE179" s="9">
        <f t="shared" si="1079"/>
        <v>82418.3</v>
      </c>
      <c r="AF179" s="9">
        <f t="shared" ref="AF179" si="1082">AF178+AF176</f>
        <v>53728.640000000014</v>
      </c>
      <c r="AG179" s="9">
        <f t="shared" ref="AG179:AH179" si="1083">AG178+AG176</f>
        <v>44539.60000000002</v>
      </c>
      <c r="AH179" s="9">
        <f t="shared" si="1083"/>
        <v>27299.970000000019</v>
      </c>
      <c r="AI179" s="9">
        <f t="shared" ref="AI179" si="1084">AI178+AI176</f>
        <v>20509.540000000015</v>
      </c>
      <c r="AJ179" s="172">
        <f t="shared" ref="AJ179" si="1085">AJ178+AJ176</f>
        <v>33227.020000000019</v>
      </c>
      <c r="AK179" s="9">
        <f t="shared" si="1079"/>
        <v>169214.67718884727</v>
      </c>
      <c r="AL179" s="9">
        <f t="shared" si="1079"/>
        <v>190769.46533662349</v>
      </c>
      <c r="AM179" s="172">
        <f t="shared" si="1079"/>
        <v>352788.93552211684</v>
      </c>
      <c r="AN179" s="9">
        <f t="shared" si="1079"/>
        <v>335561.62857232022</v>
      </c>
      <c r="AO179" s="9">
        <f t="shared" si="1079"/>
        <v>314832.22931562545</v>
      </c>
      <c r="AP179" s="9">
        <f t="shared" si="1079"/>
        <v>242361.02336300298</v>
      </c>
      <c r="AQ179" s="9">
        <f t="shared" si="1079"/>
        <v>547118.2103943401</v>
      </c>
      <c r="AR179" s="9">
        <f t="shared" si="1079"/>
        <v>845678.87634067261</v>
      </c>
      <c r="AS179" s="9">
        <f t="shared" si="1079"/>
        <v>1049418.3156140326</v>
      </c>
      <c r="AT179" s="9">
        <f t="shared" si="1079"/>
        <v>691330.3321276895</v>
      </c>
      <c r="AU179" s="9">
        <f t="shared" si="1079"/>
        <v>725985.22262644547</v>
      </c>
      <c r="AV179" s="9">
        <f t="shared" si="1079"/>
        <v>538807.03291127761</v>
      </c>
      <c r="AW179" s="9">
        <f t="shared" si="1079"/>
        <v>1164609.0743828993</v>
      </c>
      <c r="AX179" s="9">
        <f t="shared" si="1079"/>
        <v>1522671.891565352</v>
      </c>
      <c r="AY179" s="172">
        <f t="shared" si="1079"/>
        <v>1347696.6337711802</v>
      </c>
      <c r="AZ179" s="9">
        <f t="shared" si="1079"/>
        <v>856948.96403110656</v>
      </c>
      <c r="BA179" s="9">
        <f t="shared" si="1079"/>
        <v>981023.79680160526</v>
      </c>
      <c r="BB179" s="9">
        <f t="shared" si="1079"/>
        <v>815152.63975617639</v>
      </c>
      <c r="BC179" s="9">
        <f t="shared" si="1079"/>
        <v>931322.34175240714</v>
      </c>
      <c r="BD179" s="9">
        <f t="shared" si="1079"/>
        <v>1137707.6018080097</v>
      </c>
      <c r="BE179" s="9">
        <f t="shared" si="1079"/>
        <v>1049814.3690920067</v>
      </c>
      <c r="BF179" s="9">
        <f t="shared" si="1079"/>
        <v>1015525.6263575773</v>
      </c>
      <c r="BG179" s="9">
        <f t="shared" si="1079"/>
        <v>923337.1433520217</v>
      </c>
      <c r="BH179" s="9">
        <f t="shared" si="1079"/>
        <v>1701186.6243041239</v>
      </c>
      <c r="BI179" s="9">
        <f t="shared" si="1079"/>
        <v>2427234.6418549726</v>
      </c>
      <c r="BJ179" s="9">
        <f t="shared" si="1079"/>
        <v>2370314.698140102</v>
      </c>
      <c r="BK179" s="172">
        <f t="shared" si="1079"/>
        <v>1553699.3885945075</v>
      </c>
      <c r="BL179" s="9">
        <f t="shared" si="1079"/>
        <v>1769832.4907873932</v>
      </c>
      <c r="BM179" s="9">
        <f t="shared" si="1079"/>
        <v>1607555.0934428445</v>
      </c>
      <c r="BN179" s="9">
        <f t="shared" si="1079"/>
        <v>1777943.4283026948</v>
      </c>
      <c r="BO179" s="9">
        <f t="shared" si="1079"/>
        <v>1493526.2065924723</v>
      </c>
      <c r="BP179" s="9">
        <f t="shared" si="1079"/>
        <v>2034564.2435943184</v>
      </c>
      <c r="BQ179" s="9">
        <f t="shared" si="1079"/>
        <v>1965879.6935494896</v>
      </c>
      <c r="BR179" s="9">
        <f t="shared" ref="BR179:DG179" si="1086">BR178+BR176</f>
        <v>1924367.0873482437</v>
      </c>
      <c r="BS179" s="9">
        <f t="shared" si="1086"/>
        <v>1805640.1431900917</v>
      </c>
      <c r="BT179" s="9">
        <f t="shared" si="1086"/>
        <v>2890912.7595826029</v>
      </c>
      <c r="BU179" s="9">
        <f t="shared" si="1086"/>
        <v>3897606.4994930578</v>
      </c>
      <c r="BV179" s="9">
        <f t="shared" si="1086"/>
        <v>3855158.7709442866</v>
      </c>
      <c r="BW179" s="172">
        <f t="shared" si="1086"/>
        <v>2762572.0128482124</v>
      </c>
      <c r="BX179" s="9">
        <f t="shared" si="1086"/>
        <v>3098828.4295607531</v>
      </c>
      <c r="BY179" s="9">
        <f t="shared" si="1086"/>
        <v>2898627.9714620565</v>
      </c>
      <c r="BZ179" s="9">
        <f t="shared" si="1086"/>
        <v>3144618.3488435764</v>
      </c>
      <c r="CA179" s="9">
        <f t="shared" si="1086"/>
        <v>2794329.5129602356</v>
      </c>
      <c r="CB179" s="9">
        <f t="shared" si="1086"/>
        <v>3415982.990703119</v>
      </c>
      <c r="CC179" s="9">
        <f t="shared" si="1086"/>
        <v>3332704.1634114245</v>
      </c>
      <c r="CD179" s="9">
        <f t="shared" si="1086"/>
        <v>3281201.2977186181</v>
      </c>
      <c r="CE179" s="9">
        <f t="shared" si="1086"/>
        <v>3142030.0389061985</v>
      </c>
      <c r="CF179" s="9">
        <f t="shared" si="1086"/>
        <v>4386054.8636849718</v>
      </c>
      <c r="CG179" s="9">
        <f t="shared" si="1086"/>
        <v>5542654.9894180913</v>
      </c>
      <c r="CH179" s="9">
        <f t="shared" si="1086"/>
        <v>5480220.1084469026</v>
      </c>
      <c r="CI179" s="172">
        <f t="shared" si="1086"/>
        <v>4178868.3768800152</v>
      </c>
      <c r="CJ179" s="9">
        <f t="shared" si="1086"/>
        <v>4550809.3063058797</v>
      </c>
      <c r="CK179" s="9">
        <f t="shared" si="1086"/>
        <v>4310848.8915882809</v>
      </c>
      <c r="CL179" s="9">
        <f t="shared" si="1086"/>
        <v>4591191.9114328828</v>
      </c>
      <c r="CM179" s="9">
        <f t="shared" si="1086"/>
        <v>4172842.1275681597</v>
      </c>
      <c r="CN179" s="9">
        <f t="shared" si="1086"/>
        <v>5001994.5177244851</v>
      </c>
      <c r="CO179" s="9">
        <f t="shared" si="1086"/>
        <v>4901338.2983193118</v>
      </c>
      <c r="CP179" s="9">
        <f t="shared" si="1086"/>
        <v>4845087.0317250863</v>
      </c>
      <c r="CQ179" s="9">
        <f t="shared" si="1086"/>
        <v>4669289.7615501322</v>
      </c>
      <c r="CR179" s="9">
        <f t="shared" si="1086"/>
        <v>6326666.9444885328</v>
      </c>
      <c r="CS179" s="9">
        <f t="shared" si="1086"/>
        <v>7865894.9371945402</v>
      </c>
      <c r="CT179" s="9">
        <f t="shared" si="1086"/>
        <v>7804495.1375041939</v>
      </c>
      <c r="CU179" s="172">
        <f t="shared" si="1086"/>
        <v>6115391.8241627179</v>
      </c>
      <c r="CV179" s="9">
        <f t="shared" si="1086"/>
        <v>7601533.3707080614</v>
      </c>
      <c r="CW179" s="9">
        <f t="shared" si="1086"/>
        <v>7260548.0604605107</v>
      </c>
      <c r="CX179" s="9">
        <f t="shared" si="1086"/>
        <v>7624955.1270011738</v>
      </c>
      <c r="CY179" s="9">
        <f t="shared" si="1086"/>
        <v>6912021.8366713533</v>
      </c>
      <c r="CZ179" s="9">
        <f t="shared" si="1086"/>
        <v>8699086.228950901</v>
      </c>
      <c r="DA179" s="9">
        <f t="shared" si="1086"/>
        <v>10333539.512217045</v>
      </c>
      <c r="DB179" s="9">
        <f t="shared" si="1086"/>
        <v>10198351.568542965</v>
      </c>
      <c r="DC179" s="9">
        <f t="shared" si="1086"/>
        <v>8842780.0915288031</v>
      </c>
      <c r="DD179" s="9">
        <f t="shared" si="1086"/>
        <v>9333944.108364379</v>
      </c>
      <c r="DE179" s="9">
        <f t="shared" si="1086"/>
        <v>8946930.0158205386</v>
      </c>
      <c r="DF179" s="9">
        <f t="shared" si="1086"/>
        <v>9432223.1430627089</v>
      </c>
      <c r="DG179" s="9">
        <f t="shared" si="1086"/>
        <v>8097732.5626533711</v>
      </c>
    </row>
    <row r="180" spans="1:111" x14ac:dyDescent="0.3">
      <c r="C180" s="8" t="s">
        <v>39</v>
      </c>
      <c r="D180" s="9"/>
      <c r="E180" s="110">
        <f t="shared" ref="E180:AH180" si="1087">E179-E102</f>
        <v>0</v>
      </c>
      <c r="F180" s="110">
        <f t="shared" si="1087"/>
        <v>0</v>
      </c>
      <c r="G180" s="110">
        <f t="shared" si="1087"/>
        <v>0</v>
      </c>
      <c r="H180" s="110">
        <f t="shared" si="1087"/>
        <v>0</v>
      </c>
      <c r="I180" s="110">
        <f t="shared" si="1087"/>
        <v>0</v>
      </c>
      <c r="J180" s="110">
        <f t="shared" si="1087"/>
        <v>0</v>
      </c>
      <c r="K180" s="110">
        <f t="shared" si="1087"/>
        <v>0</v>
      </c>
      <c r="L180" s="110">
        <f t="shared" si="1087"/>
        <v>0</v>
      </c>
      <c r="M180" s="110">
        <f t="shared" si="1087"/>
        <v>0</v>
      </c>
      <c r="N180" s="110">
        <f t="shared" si="1087"/>
        <v>0</v>
      </c>
      <c r="O180" s="110">
        <f t="shared" si="1087"/>
        <v>0</v>
      </c>
      <c r="P180" s="110">
        <f t="shared" si="1087"/>
        <v>0</v>
      </c>
      <c r="Q180" s="9">
        <f t="shared" si="1087"/>
        <v>0</v>
      </c>
      <c r="R180" s="110">
        <f t="shared" si="1087"/>
        <v>-1.4779288903810084E-12</v>
      </c>
      <c r="S180" s="9">
        <f t="shared" si="1087"/>
        <v>-1.3642420526593924E-12</v>
      </c>
      <c r="T180" s="9">
        <f t="shared" si="1087"/>
        <v>0</v>
      </c>
      <c r="U180" s="9">
        <f t="shared" si="1087"/>
        <v>0</v>
      </c>
      <c r="V180" s="110">
        <f t="shared" si="1087"/>
        <v>0</v>
      </c>
      <c r="W180" s="110">
        <f t="shared" si="1087"/>
        <v>0</v>
      </c>
      <c r="X180" s="110">
        <f t="shared" si="1087"/>
        <v>0</v>
      </c>
      <c r="Y180" s="110">
        <f t="shared" si="1087"/>
        <v>0</v>
      </c>
      <c r="Z180" s="110">
        <f t="shared" si="1087"/>
        <v>0</v>
      </c>
      <c r="AA180" s="110">
        <f t="shared" si="1087"/>
        <v>0</v>
      </c>
      <c r="AB180" s="110">
        <f t="shared" si="1087"/>
        <v>0</v>
      </c>
      <c r="AC180" s="9">
        <f t="shared" si="1087"/>
        <v>0</v>
      </c>
      <c r="AD180" s="9">
        <f t="shared" si="1087"/>
        <v>0</v>
      </c>
      <c r="AE180" s="110">
        <f t="shared" si="1087"/>
        <v>0</v>
      </c>
      <c r="AF180" s="110">
        <f t="shared" si="1087"/>
        <v>0</v>
      </c>
      <c r="AG180" s="110">
        <f t="shared" si="1087"/>
        <v>0</v>
      </c>
      <c r="AH180" s="110">
        <f t="shared" si="1087"/>
        <v>0</v>
      </c>
      <c r="AI180" s="110">
        <f t="shared" ref="AI180" si="1088">AI179-AI102</f>
        <v>0</v>
      </c>
      <c r="AJ180" s="320">
        <f t="shared" ref="AJ180" si="1089">AJ179-AJ102</f>
        <v>0</v>
      </c>
      <c r="AK180" s="9">
        <f t="shared" ref="AK180:BP180" si="1090">AK179-AK102</f>
        <v>0</v>
      </c>
      <c r="AL180" s="9">
        <f t="shared" si="1090"/>
        <v>0</v>
      </c>
      <c r="AM180" s="320">
        <f t="shared" si="1090"/>
        <v>0</v>
      </c>
      <c r="AN180" s="9">
        <f t="shared" si="1090"/>
        <v>0</v>
      </c>
      <c r="AO180" s="9">
        <f t="shared" si="1090"/>
        <v>0</v>
      </c>
      <c r="AP180" s="9">
        <f t="shared" si="1090"/>
        <v>0</v>
      </c>
      <c r="AQ180" s="9">
        <f t="shared" si="1090"/>
        <v>0</v>
      </c>
      <c r="AR180" s="9">
        <f t="shared" si="1090"/>
        <v>0</v>
      </c>
      <c r="AS180" s="9">
        <f t="shared" si="1090"/>
        <v>0</v>
      </c>
      <c r="AT180" s="9">
        <f t="shared" si="1090"/>
        <v>0</v>
      </c>
      <c r="AU180" s="9">
        <f t="shared" si="1090"/>
        <v>0</v>
      </c>
      <c r="AV180" s="9">
        <f t="shared" si="1090"/>
        <v>0</v>
      </c>
      <c r="AW180" s="9">
        <f t="shared" si="1090"/>
        <v>0</v>
      </c>
      <c r="AX180" s="9">
        <f t="shared" si="1090"/>
        <v>0</v>
      </c>
      <c r="AY180" s="320">
        <f t="shared" si="1090"/>
        <v>0</v>
      </c>
      <c r="AZ180" s="9">
        <f t="shared" si="1090"/>
        <v>0</v>
      </c>
      <c r="BA180" s="9">
        <f t="shared" si="1090"/>
        <v>0</v>
      </c>
      <c r="BB180" s="9">
        <f t="shared" si="1090"/>
        <v>0</v>
      </c>
      <c r="BC180" s="9">
        <f t="shared" si="1090"/>
        <v>0</v>
      </c>
      <c r="BD180" s="9">
        <f t="shared" si="1090"/>
        <v>0</v>
      </c>
      <c r="BE180" s="9">
        <f t="shared" si="1090"/>
        <v>0</v>
      </c>
      <c r="BF180" s="9">
        <f t="shared" si="1090"/>
        <v>0</v>
      </c>
      <c r="BG180" s="9">
        <f t="shared" si="1090"/>
        <v>0</v>
      </c>
      <c r="BH180" s="9">
        <f t="shared" si="1090"/>
        <v>0</v>
      </c>
      <c r="BI180" s="9">
        <f t="shared" si="1090"/>
        <v>0</v>
      </c>
      <c r="BJ180" s="9">
        <f t="shared" si="1090"/>
        <v>0</v>
      </c>
      <c r="BK180" s="320">
        <f t="shared" si="1090"/>
        <v>0</v>
      </c>
      <c r="BL180" s="9">
        <f t="shared" si="1090"/>
        <v>0</v>
      </c>
      <c r="BM180" s="9">
        <f t="shared" si="1090"/>
        <v>0</v>
      </c>
      <c r="BN180" s="9">
        <f t="shared" si="1090"/>
        <v>0</v>
      </c>
      <c r="BO180" s="9">
        <f t="shared" si="1090"/>
        <v>0</v>
      </c>
      <c r="BP180" s="9">
        <f t="shared" si="1090"/>
        <v>0</v>
      </c>
      <c r="BQ180" s="9">
        <f t="shared" ref="BQ180:CV180" si="1091">BQ179-BQ102</f>
        <v>0</v>
      </c>
      <c r="BR180" s="9">
        <f t="shared" si="1091"/>
        <v>0</v>
      </c>
      <c r="BS180" s="9">
        <f t="shared" si="1091"/>
        <v>0</v>
      </c>
      <c r="BT180" s="9">
        <f t="shared" si="1091"/>
        <v>0</v>
      </c>
      <c r="BU180" s="9">
        <f t="shared" si="1091"/>
        <v>0</v>
      </c>
      <c r="BV180" s="9">
        <f t="shared" si="1091"/>
        <v>0</v>
      </c>
      <c r="BW180" s="320">
        <f t="shared" si="1091"/>
        <v>0</v>
      </c>
      <c r="BX180" s="9">
        <f t="shared" si="1091"/>
        <v>0</v>
      </c>
      <c r="BY180" s="9">
        <f t="shared" si="1091"/>
        <v>0</v>
      </c>
      <c r="BZ180" s="9">
        <f t="shared" si="1091"/>
        <v>0</v>
      </c>
      <c r="CA180" s="9">
        <f t="shared" si="1091"/>
        <v>0</v>
      </c>
      <c r="CB180" s="9">
        <f t="shared" si="1091"/>
        <v>0</v>
      </c>
      <c r="CC180" s="9">
        <f t="shared" si="1091"/>
        <v>0</v>
      </c>
      <c r="CD180" s="9">
        <f t="shared" si="1091"/>
        <v>0</v>
      </c>
      <c r="CE180" s="9">
        <f t="shared" si="1091"/>
        <v>0</v>
      </c>
      <c r="CF180" s="9">
        <f t="shared" si="1091"/>
        <v>0</v>
      </c>
      <c r="CG180" s="9">
        <f t="shared" si="1091"/>
        <v>0</v>
      </c>
      <c r="CH180" s="9">
        <f t="shared" si="1091"/>
        <v>0</v>
      </c>
      <c r="CI180" s="320">
        <f t="shared" si="1091"/>
        <v>0</v>
      </c>
      <c r="CJ180" s="9">
        <f t="shared" si="1091"/>
        <v>0</v>
      </c>
      <c r="CK180" s="9">
        <f t="shared" si="1091"/>
        <v>0</v>
      </c>
      <c r="CL180" s="9">
        <f t="shared" si="1091"/>
        <v>0</v>
      </c>
      <c r="CM180" s="9">
        <f t="shared" si="1091"/>
        <v>0</v>
      </c>
      <c r="CN180" s="9">
        <f t="shared" si="1091"/>
        <v>0</v>
      </c>
      <c r="CO180" s="9">
        <f t="shared" si="1091"/>
        <v>0</v>
      </c>
      <c r="CP180" s="9">
        <f t="shared" si="1091"/>
        <v>0</v>
      </c>
      <c r="CQ180" s="9">
        <f t="shared" si="1091"/>
        <v>0</v>
      </c>
      <c r="CR180" s="9">
        <f t="shared" si="1091"/>
        <v>0</v>
      </c>
      <c r="CS180" s="9">
        <f t="shared" si="1091"/>
        <v>0</v>
      </c>
      <c r="CT180" s="9">
        <f t="shared" si="1091"/>
        <v>0</v>
      </c>
      <c r="CU180" s="320">
        <f t="shared" si="1091"/>
        <v>0</v>
      </c>
      <c r="CV180" s="9">
        <f t="shared" si="1091"/>
        <v>0</v>
      </c>
      <c r="CW180" s="9">
        <f t="shared" ref="CW180:DG180" si="1092">CW179-CW102</f>
        <v>0</v>
      </c>
      <c r="CX180" s="9">
        <f t="shared" si="1092"/>
        <v>0</v>
      </c>
      <c r="CY180" s="9">
        <f t="shared" si="1092"/>
        <v>0</v>
      </c>
      <c r="CZ180" s="9">
        <f t="shared" si="1092"/>
        <v>0</v>
      </c>
      <c r="DA180" s="9">
        <f t="shared" si="1092"/>
        <v>0</v>
      </c>
      <c r="DB180" s="9">
        <f t="shared" si="1092"/>
        <v>0</v>
      </c>
      <c r="DC180" s="9">
        <f t="shared" si="1092"/>
        <v>0</v>
      </c>
      <c r="DD180" s="9">
        <f t="shared" si="1092"/>
        <v>0</v>
      </c>
      <c r="DE180" s="9">
        <f t="shared" si="1092"/>
        <v>0</v>
      </c>
      <c r="DF180" s="9">
        <f t="shared" si="1092"/>
        <v>0</v>
      </c>
      <c r="DG180" s="9">
        <f t="shared" si="1092"/>
        <v>0</v>
      </c>
    </row>
    <row r="181" spans="1:11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1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</row>
  </sheetData>
  <conditionalFormatting sqref="E179:DG179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D13" sqref="D13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3137-D38F-4C90-993D-CB47B78DFCFF}">
  <sheetPr>
    <tabColor theme="9" tint="-0.249977111117893"/>
  </sheetPr>
  <dimension ref="B1:DH73"/>
  <sheetViews>
    <sheetView workbookViewId="0">
      <pane xSplit="4" ySplit="10" topLeftCell="V11" activePane="bottomRight" state="frozen"/>
      <selection activeCell="D13" sqref="D13"/>
      <selection pane="topRight" activeCell="D13" sqref="D13"/>
      <selection pane="bottomLeft" activeCell="D13" sqref="D13"/>
      <selection pane="bottomRight" activeCell="C15" activeCellId="1" sqref="C23 C15"/>
    </sheetView>
  </sheetViews>
  <sheetFormatPr defaultRowHeight="14.4" x14ac:dyDescent="0.3"/>
  <cols>
    <col min="2" max="2" width="10.5546875" bestFit="1" customWidth="1"/>
    <col min="3" max="3" width="12.109375" bestFit="1" customWidth="1"/>
    <col min="4" max="4" width="36.88671875" bestFit="1" customWidth="1"/>
    <col min="5" max="8" width="9.88671875" bestFit="1" customWidth="1"/>
    <col min="9" max="13" width="11.5546875" bestFit="1" customWidth="1"/>
    <col min="14" max="24" width="12.5546875" bestFit="1" customWidth="1"/>
    <col min="25" max="27" width="12.109375" bestFit="1" customWidth="1"/>
    <col min="28" max="32" width="12.33203125" bestFit="1" customWidth="1"/>
    <col min="33" max="33" width="12.5546875" bestFit="1" customWidth="1"/>
    <col min="34" max="34" width="12.6640625" bestFit="1" customWidth="1"/>
    <col min="35" max="35" width="12.5546875" bestFit="1" customWidth="1"/>
    <col min="36" max="42" width="12.109375" bestFit="1" customWidth="1"/>
    <col min="43" max="52" width="13.6640625" bestFit="1" customWidth="1"/>
    <col min="53" max="53" width="12.109375" bestFit="1" customWidth="1"/>
    <col min="54" max="61" width="13.6640625" bestFit="1" customWidth="1"/>
    <col min="62" max="64" width="12.109375" bestFit="1" customWidth="1"/>
    <col min="65" max="78" width="13.6640625" bestFit="1" customWidth="1"/>
    <col min="79" max="82" width="12.109375" bestFit="1" customWidth="1"/>
    <col min="83" max="86" width="13.6640625" bestFit="1" customWidth="1"/>
    <col min="87" max="88" width="12.109375" bestFit="1" customWidth="1"/>
    <col min="89" max="112" width="13.6640625" bestFit="1" customWidth="1"/>
  </cols>
  <sheetData>
    <row r="1" spans="2:112" x14ac:dyDescent="0.3">
      <c r="E1" s="16">
        <f t="shared" ref="E1:BP1" si="0">YEAR(E3)</f>
        <v>2023</v>
      </c>
      <c r="F1" s="16">
        <f t="shared" si="0"/>
        <v>2023</v>
      </c>
      <c r="G1" s="16">
        <f t="shared" si="0"/>
        <v>2023</v>
      </c>
      <c r="H1" s="16">
        <f t="shared" si="0"/>
        <v>2023</v>
      </c>
      <c r="I1" s="16">
        <f t="shared" si="0"/>
        <v>2023</v>
      </c>
      <c r="J1" s="16">
        <f t="shared" si="0"/>
        <v>2023</v>
      </c>
      <c r="K1" s="16">
        <f t="shared" si="0"/>
        <v>2023</v>
      </c>
      <c r="L1" s="16">
        <f t="shared" si="0"/>
        <v>2023</v>
      </c>
      <c r="M1" s="16">
        <f t="shared" si="0"/>
        <v>2023</v>
      </c>
      <c r="N1" s="16">
        <f t="shared" si="0"/>
        <v>2023</v>
      </c>
      <c r="O1" s="16">
        <f t="shared" si="0"/>
        <v>2023</v>
      </c>
      <c r="P1" s="16">
        <f t="shared" si="0"/>
        <v>2023</v>
      </c>
      <c r="Q1" s="16">
        <f t="shared" si="0"/>
        <v>2024</v>
      </c>
      <c r="R1" s="16">
        <f t="shared" si="0"/>
        <v>2024</v>
      </c>
      <c r="S1" s="16">
        <f t="shared" si="0"/>
        <v>2024</v>
      </c>
      <c r="T1" s="159">
        <f t="shared" si="0"/>
        <v>2024</v>
      </c>
      <c r="U1" s="16">
        <f t="shared" si="0"/>
        <v>2024</v>
      </c>
      <c r="V1" s="16">
        <f t="shared" si="0"/>
        <v>2024</v>
      </c>
      <c r="W1" s="159">
        <f t="shared" si="0"/>
        <v>2024</v>
      </c>
      <c r="X1" s="16">
        <f t="shared" si="0"/>
        <v>2024</v>
      </c>
      <c r="Y1" s="159">
        <f t="shared" si="0"/>
        <v>2024</v>
      </c>
      <c r="Z1" s="16">
        <f t="shared" si="0"/>
        <v>2024</v>
      </c>
      <c r="AA1" s="16">
        <f t="shared" si="0"/>
        <v>2024</v>
      </c>
      <c r="AB1" s="16">
        <f t="shared" si="0"/>
        <v>2024</v>
      </c>
      <c r="AC1" s="16">
        <f t="shared" si="0"/>
        <v>2025</v>
      </c>
      <c r="AD1" s="16">
        <f t="shared" si="0"/>
        <v>2025</v>
      </c>
      <c r="AE1" s="16">
        <f t="shared" si="0"/>
        <v>2025</v>
      </c>
      <c r="AF1" s="16">
        <f t="shared" si="0"/>
        <v>2025</v>
      </c>
      <c r="AG1" s="16">
        <f t="shared" si="0"/>
        <v>2025</v>
      </c>
      <c r="AH1" s="16">
        <f t="shared" si="0"/>
        <v>2025</v>
      </c>
      <c r="AI1" s="16">
        <f t="shared" si="0"/>
        <v>2025</v>
      </c>
      <c r="AJ1" s="16">
        <f t="shared" si="0"/>
        <v>2025</v>
      </c>
      <c r="AK1" s="16">
        <f t="shared" si="0"/>
        <v>2025</v>
      </c>
      <c r="AL1" s="16">
        <f t="shared" si="0"/>
        <v>2025</v>
      </c>
      <c r="AM1" s="16">
        <f t="shared" si="0"/>
        <v>2025</v>
      </c>
      <c r="AN1" s="16">
        <f t="shared" si="0"/>
        <v>2025</v>
      </c>
      <c r="AO1" s="16">
        <f t="shared" si="0"/>
        <v>2026</v>
      </c>
      <c r="AP1" s="16">
        <f t="shared" si="0"/>
        <v>2026</v>
      </c>
      <c r="AQ1" s="16">
        <f t="shared" si="0"/>
        <v>2026</v>
      </c>
      <c r="AR1" s="16">
        <f t="shared" si="0"/>
        <v>2026</v>
      </c>
      <c r="AS1" s="16">
        <f t="shared" si="0"/>
        <v>2026</v>
      </c>
      <c r="AT1" s="16">
        <f t="shared" si="0"/>
        <v>2026</v>
      </c>
      <c r="AU1" s="16">
        <f t="shared" si="0"/>
        <v>2026</v>
      </c>
      <c r="AV1" s="16">
        <f t="shared" si="0"/>
        <v>2026</v>
      </c>
      <c r="AW1" s="16">
        <f t="shared" si="0"/>
        <v>2026</v>
      </c>
      <c r="AX1" s="16">
        <f t="shared" si="0"/>
        <v>2026</v>
      </c>
      <c r="AY1" s="16">
        <f t="shared" si="0"/>
        <v>2026</v>
      </c>
      <c r="AZ1" s="16">
        <f t="shared" si="0"/>
        <v>2026</v>
      </c>
      <c r="BA1" s="16">
        <f t="shared" si="0"/>
        <v>2027</v>
      </c>
      <c r="BB1" s="16">
        <f t="shared" si="0"/>
        <v>2027</v>
      </c>
      <c r="BC1" s="16">
        <f t="shared" si="0"/>
        <v>2027</v>
      </c>
      <c r="BD1" s="16">
        <f t="shared" si="0"/>
        <v>2027</v>
      </c>
      <c r="BE1" s="16">
        <f t="shared" si="0"/>
        <v>2027</v>
      </c>
      <c r="BF1" s="16">
        <f t="shared" si="0"/>
        <v>2027</v>
      </c>
      <c r="BG1" s="16">
        <f t="shared" si="0"/>
        <v>2027</v>
      </c>
      <c r="BH1" s="16">
        <f t="shared" si="0"/>
        <v>2027</v>
      </c>
      <c r="BI1" s="16">
        <f t="shared" si="0"/>
        <v>2027</v>
      </c>
      <c r="BJ1" s="16">
        <f t="shared" si="0"/>
        <v>2027</v>
      </c>
      <c r="BK1" s="16">
        <f t="shared" si="0"/>
        <v>2027</v>
      </c>
      <c r="BL1" s="16">
        <f t="shared" si="0"/>
        <v>2027</v>
      </c>
      <c r="BM1" s="16">
        <f t="shared" si="0"/>
        <v>2028</v>
      </c>
      <c r="BN1" s="16">
        <f t="shared" si="0"/>
        <v>2028</v>
      </c>
      <c r="BO1" s="16">
        <f t="shared" si="0"/>
        <v>2028</v>
      </c>
      <c r="BP1" s="16">
        <f t="shared" si="0"/>
        <v>2028</v>
      </c>
      <c r="BQ1" s="16">
        <f t="shared" ref="BQ1:CV1" si="1">YEAR(BQ3)</f>
        <v>2028</v>
      </c>
      <c r="BR1" s="16">
        <f t="shared" si="1"/>
        <v>2028</v>
      </c>
      <c r="BS1" s="16">
        <f t="shared" si="1"/>
        <v>2028</v>
      </c>
      <c r="BT1" s="16">
        <f t="shared" si="1"/>
        <v>2028</v>
      </c>
      <c r="BU1" s="16">
        <f t="shared" si="1"/>
        <v>2028</v>
      </c>
      <c r="BV1" s="16">
        <f t="shared" si="1"/>
        <v>2028</v>
      </c>
      <c r="BW1" s="16">
        <f t="shared" si="1"/>
        <v>2028</v>
      </c>
      <c r="BX1" s="16">
        <f t="shared" si="1"/>
        <v>2028</v>
      </c>
      <c r="BY1" s="16">
        <f t="shared" si="1"/>
        <v>2029</v>
      </c>
      <c r="BZ1" s="16">
        <f t="shared" si="1"/>
        <v>2029</v>
      </c>
      <c r="CA1" s="16">
        <f t="shared" si="1"/>
        <v>2029</v>
      </c>
      <c r="CB1" s="16">
        <f t="shared" si="1"/>
        <v>2029</v>
      </c>
      <c r="CC1" s="16">
        <f t="shared" si="1"/>
        <v>2029</v>
      </c>
      <c r="CD1" s="16">
        <f t="shared" si="1"/>
        <v>2029</v>
      </c>
      <c r="CE1" s="16">
        <f t="shared" si="1"/>
        <v>2029</v>
      </c>
      <c r="CF1" s="16">
        <f t="shared" si="1"/>
        <v>2029</v>
      </c>
      <c r="CG1" s="16">
        <f t="shared" si="1"/>
        <v>2029</v>
      </c>
      <c r="CH1" s="16">
        <f t="shared" si="1"/>
        <v>2029</v>
      </c>
      <c r="CI1" s="16">
        <f t="shared" si="1"/>
        <v>2029</v>
      </c>
      <c r="CJ1" s="16">
        <f t="shared" si="1"/>
        <v>2029</v>
      </c>
      <c r="CK1" s="16">
        <f t="shared" si="1"/>
        <v>2030</v>
      </c>
      <c r="CL1" s="16">
        <f t="shared" si="1"/>
        <v>2030</v>
      </c>
      <c r="CM1" s="16">
        <f t="shared" si="1"/>
        <v>2030</v>
      </c>
      <c r="CN1" s="16">
        <f t="shared" si="1"/>
        <v>2030</v>
      </c>
      <c r="CO1" s="16">
        <f t="shared" si="1"/>
        <v>2030</v>
      </c>
      <c r="CP1" s="16">
        <f t="shared" si="1"/>
        <v>2030</v>
      </c>
      <c r="CQ1" s="16">
        <f t="shared" si="1"/>
        <v>2030</v>
      </c>
      <c r="CR1" s="16">
        <f t="shared" si="1"/>
        <v>2030</v>
      </c>
      <c r="CS1" s="16">
        <f t="shared" si="1"/>
        <v>2030</v>
      </c>
      <c r="CT1" s="16">
        <f t="shared" si="1"/>
        <v>2030</v>
      </c>
      <c r="CU1" s="16">
        <f t="shared" si="1"/>
        <v>2030</v>
      </c>
      <c r="CV1" s="16">
        <f t="shared" si="1"/>
        <v>2030</v>
      </c>
      <c r="CW1" s="16">
        <f t="shared" ref="CW1:DG1" si="2">YEAR(CW3)</f>
        <v>2031</v>
      </c>
      <c r="CX1" s="16">
        <f t="shared" si="2"/>
        <v>2031</v>
      </c>
      <c r="CY1" s="16">
        <f t="shared" si="2"/>
        <v>2031</v>
      </c>
      <c r="CZ1" s="16">
        <f t="shared" si="2"/>
        <v>2031</v>
      </c>
      <c r="DA1" s="16">
        <f t="shared" si="2"/>
        <v>2031</v>
      </c>
      <c r="DB1" s="16">
        <f t="shared" si="2"/>
        <v>2031</v>
      </c>
      <c r="DC1" s="16">
        <f t="shared" si="2"/>
        <v>2031</v>
      </c>
      <c r="DD1" s="16">
        <f t="shared" si="2"/>
        <v>2031</v>
      </c>
      <c r="DE1" s="16">
        <f t="shared" si="2"/>
        <v>2031</v>
      </c>
      <c r="DF1" s="16">
        <f t="shared" si="2"/>
        <v>2031</v>
      </c>
      <c r="DG1" s="16">
        <f t="shared" si="2"/>
        <v>2031</v>
      </c>
      <c r="DH1" s="16">
        <f t="shared" ref="DH1" si="3">YEAR(DH3)</f>
        <v>2031</v>
      </c>
    </row>
    <row r="2" spans="2:112" x14ac:dyDescent="0.3">
      <c r="E2" s="138" t="str">
        <f>+"Q1 "&amp;E1</f>
        <v>Q1 2023</v>
      </c>
      <c r="F2" s="138" t="str">
        <f>+"Q1 "&amp;F1</f>
        <v>Q1 2023</v>
      </c>
      <c r="G2" s="138" t="str">
        <f>+"Q1 "&amp;G1</f>
        <v>Q1 2023</v>
      </c>
      <c r="H2" s="138" t="str">
        <f>+"Q2 "&amp;H1</f>
        <v>Q2 2023</v>
      </c>
      <c r="I2" s="138" t="str">
        <f>+"Q2 "&amp;I1</f>
        <v>Q2 2023</v>
      </c>
      <c r="J2" s="138" t="str">
        <f>+"Q2 "&amp;J1</f>
        <v>Q2 2023</v>
      </c>
      <c r="K2" s="138" t="str">
        <f>+"Q3 "&amp;K1</f>
        <v>Q3 2023</v>
      </c>
      <c r="L2" s="138" t="str">
        <f>+"Q3 "&amp;L1</f>
        <v>Q3 2023</v>
      </c>
      <c r="M2" s="138" t="str">
        <f>+"Q3 "&amp;M1</f>
        <v>Q3 2023</v>
      </c>
      <c r="N2" s="138" t="str">
        <f>+"Q4 "&amp;N1</f>
        <v>Q4 2023</v>
      </c>
      <c r="O2" s="138" t="str">
        <f>+"Q4 "&amp;O1</f>
        <v>Q4 2023</v>
      </c>
      <c r="P2" s="138" t="str">
        <f>+"Q4 "&amp;P1</f>
        <v>Q4 2023</v>
      </c>
      <c r="Q2" s="138" t="str">
        <f>+"Q1 "&amp;Q1</f>
        <v>Q1 2024</v>
      </c>
      <c r="R2" s="138" t="str">
        <f>+"Q1 "&amp;R1</f>
        <v>Q1 2024</v>
      </c>
      <c r="S2" s="138" t="str">
        <f>+"Q1 "&amp;S1</f>
        <v>Q1 2024</v>
      </c>
      <c r="T2" s="160" t="str">
        <f>+"Q2 "&amp;T1</f>
        <v>Q2 2024</v>
      </c>
      <c r="U2" s="138" t="str">
        <f>+"Q2 "&amp;U1</f>
        <v>Q2 2024</v>
      </c>
      <c r="V2" s="138" t="str">
        <f>+"Q2 "&amp;V1</f>
        <v>Q2 2024</v>
      </c>
      <c r="W2" s="160" t="str">
        <f>+"Q3 "&amp;W1</f>
        <v>Q3 2024</v>
      </c>
      <c r="X2" s="138" t="str">
        <f>+"Q3 "&amp;X1</f>
        <v>Q3 2024</v>
      </c>
      <c r="Y2" s="160" t="str">
        <f>+"Q3 "&amp;Y1</f>
        <v>Q3 2024</v>
      </c>
      <c r="Z2" s="138" t="str">
        <f>+"Q4 "&amp;Z1</f>
        <v>Q4 2024</v>
      </c>
      <c r="AA2" s="138" t="str">
        <f>+"Q4 "&amp;AA1</f>
        <v>Q4 2024</v>
      </c>
      <c r="AB2" s="138" t="str">
        <f>+"Q4 "&amp;AB1</f>
        <v>Q4 2024</v>
      </c>
      <c r="AC2" s="138" t="str">
        <f>+"Q1 "&amp;AC1</f>
        <v>Q1 2025</v>
      </c>
      <c r="AD2" s="138" t="str">
        <f>+"Q1 "&amp;AD1</f>
        <v>Q1 2025</v>
      </c>
      <c r="AE2" s="138" t="str">
        <f>+"Q1 "&amp;AE1</f>
        <v>Q1 2025</v>
      </c>
      <c r="AF2" s="138" t="str">
        <f>+"Q2 "&amp;AF1</f>
        <v>Q2 2025</v>
      </c>
      <c r="AG2" s="138" t="str">
        <f>+"Q2 "&amp;AG1</f>
        <v>Q2 2025</v>
      </c>
      <c r="AH2" s="138" t="str">
        <f>+"Q2 "&amp;AH1</f>
        <v>Q2 2025</v>
      </c>
      <c r="AI2" s="138" t="str">
        <f>+"Q3 "&amp;AI1</f>
        <v>Q3 2025</v>
      </c>
      <c r="AJ2" s="138" t="str">
        <f>+"Q3 "&amp;AJ1</f>
        <v>Q3 2025</v>
      </c>
      <c r="AK2" s="138" t="str">
        <f>+"Q3 "&amp;AK1</f>
        <v>Q3 2025</v>
      </c>
      <c r="AL2" s="138" t="str">
        <f>+"Q4 "&amp;AL1</f>
        <v>Q4 2025</v>
      </c>
      <c r="AM2" s="138" t="str">
        <f>+"Q4 "&amp;AM1</f>
        <v>Q4 2025</v>
      </c>
      <c r="AN2" s="138" t="str">
        <f>+"Q4 "&amp;AN1</f>
        <v>Q4 2025</v>
      </c>
      <c r="AO2" s="138" t="str">
        <f>+"Q1 "&amp;AO1</f>
        <v>Q1 2026</v>
      </c>
      <c r="AP2" s="138" t="str">
        <f>+"Q1 "&amp;AP1</f>
        <v>Q1 2026</v>
      </c>
      <c r="AQ2" s="138" t="str">
        <f>+"Q1 "&amp;AQ1</f>
        <v>Q1 2026</v>
      </c>
      <c r="AR2" s="138" t="str">
        <f>+"Q2 "&amp;AR1</f>
        <v>Q2 2026</v>
      </c>
      <c r="AS2" s="138" t="str">
        <f>+"Q2 "&amp;AS1</f>
        <v>Q2 2026</v>
      </c>
      <c r="AT2" s="138" t="str">
        <f>+"Q2 "&amp;AT1</f>
        <v>Q2 2026</v>
      </c>
      <c r="AU2" s="138" t="str">
        <f>+"Q3 "&amp;AU1</f>
        <v>Q3 2026</v>
      </c>
      <c r="AV2" s="138" t="str">
        <f>+"Q3 "&amp;AV1</f>
        <v>Q3 2026</v>
      </c>
      <c r="AW2" s="138" t="str">
        <f>+"Q3 "&amp;AW1</f>
        <v>Q3 2026</v>
      </c>
      <c r="AX2" s="138" t="str">
        <f>+"Q4 "&amp;AX1</f>
        <v>Q4 2026</v>
      </c>
      <c r="AY2" s="138" t="str">
        <f>+"Q4 "&amp;AY1</f>
        <v>Q4 2026</v>
      </c>
      <c r="AZ2" s="138" t="str">
        <f>+"Q4 "&amp;AZ1</f>
        <v>Q4 2026</v>
      </c>
      <c r="BA2" s="138" t="str">
        <f>+"Q1 "&amp;BA1</f>
        <v>Q1 2027</v>
      </c>
      <c r="BB2" s="138" t="str">
        <f>+"Q1 "&amp;BB1</f>
        <v>Q1 2027</v>
      </c>
      <c r="BC2" s="138" t="str">
        <f>+"Q1 "&amp;BC1</f>
        <v>Q1 2027</v>
      </c>
      <c r="BD2" s="138" t="str">
        <f>+"Q2 "&amp;BD1</f>
        <v>Q2 2027</v>
      </c>
      <c r="BE2" s="138" t="str">
        <f>+"Q2 "&amp;BE1</f>
        <v>Q2 2027</v>
      </c>
      <c r="BF2" s="138" t="str">
        <f>+"Q2 "&amp;BF1</f>
        <v>Q2 2027</v>
      </c>
      <c r="BG2" s="138" t="str">
        <f>+"Q3 "&amp;BG1</f>
        <v>Q3 2027</v>
      </c>
      <c r="BH2" s="138" t="str">
        <f>+"Q3 "&amp;BH1</f>
        <v>Q3 2027</v>
      </c>
      <c r="BI2" s="138" t="str">
        <f>+"Q3 "&amp;BI1</f>
        <v>Q3 2027</v>
      </c>
      <c r="BJ2" s="138" t="str">
        <f>+"Q4 "&amp;BJ1</f>
        <v>Q4 2027</v>
      </c>
      <c r="BK2" s="138" t="str">
        <f>+"Q4 "&amp;BK1</f>
        <v>Q4 2027</v>
      </c>
      <c r="BL2" s="138" t="str">
        <f>+"Q4 "&amp;BL1</f>
        <v>Q4 2027</v>
      </c>
      <c r="BM2" s="138" t="str">
        <f>+"Q1 "&amp;BM1</f>
        <v>Q1 2028</v>
      </c>
      <c r="BN2" s="138" t="str">
        <f>+"Q1 "&amp;BN1</f>
        <v>Q1 2028</v>
      </c>
      <c r="BO2" s="138" t="str">
        <f>+"Q1 "&amp;BO1</f>
        <v>Q1 2028</v>
      </c>
      <c r="BP2" s="138" t="str">
        <f>+"Q2 "&amp;BP1</f>
        <v>Q2 2028</v>
      </c>
      <c r="BQ2" s="138" t="str">
        <f>+"Q2 "&amp;BQ1</f>
        <v>Q2 2028</v>
      </c>
      <c r="BR2" s="138" t="str">
        <f>+"Q2 "&amp;BR1</f>
        <v>Q2 2028</v>
      </c>
      <c r="BS2" s="138" t="str">
        <f>+"Q3 "&amp;BS1</f>
        <v>Q3 2028</v>
      </c>
      <c r="BT2" s="138" t="str">
        <f>+"Q3 "&amp;BT1</f>
        <v>Q3 2028</v>
      </c>
      <c r="BU2" s="138" t="str">
        <f>+"Q3 "&amp;BU1</f>
        <v>Q3 2028</v>
      </c>
      <c r="BV2" s="138" t="str">
        <f>+"Q4 "&amp;BV1</f>
        <v>Q4 2028</v>
      </c>
      <c r="BW2" s="138" t="str">
        <f>+"Q4 "&amp;BW1</f>
        <v>Q4 2028</v>
      </c>
      <c r="BX2" s="138" t="str">
        <f>+"Q4 "&amp;BX1</f>
        <v>Q4 2028</v>
      </c>
      <c r="BY2" s="138" t="str">
        <f>+"Q1 "&amp;BY1</f>
        <v>Q1 2029</v>
      </c>
      <c r="BZ2" s="138" t="str">
        <f>+"Q1 "&amp;BZ1</f>
        <v>Q1 2029</v>
      </c>
      <c r="CA2" s="138" t="str">
        <f>+"Q1 "&amp;CA1</f>
        <v>Q1 2029</v>
      </c>
      <c r="CB2" s="138" t="str">
        <f>+"Q2 "&amp;CB1</f>
        <v>Q2 2029</v>
      </c>
      <c r="CC2" s="138" t="str">
        <f>+"Q2 "&amp;CC1</f>
        <v>Q2 2029</v>
      </c>
      <c r="CD2" s="138" t="str">
        <f>+"Q2 "&amp;CD1</f>
        <v>Q2 2029</v>
      </c>
      <c r="CE2" s="138" t="str">
        <f>+"Q3 "&amp;CE1</f>
        <v>Q3 2029</v>
      </c>
      <c r="CF2" s="138" t="str">
        <f>+"Q3 "&amp;CF1</f>
        <v>Q3 2029</v>
      </c>
      <c r="CG2" s="138" t="str">
        <f>+"Q3 "&amp;CG1</f>
        <v>Q3 2029</v>
      </c>
      <c r="CH2" s="138" t="str">
        <f>+"Q4 "&amp;CH1</f>
        <v>Q4 2029</v>
      </c>
      <c r="CI2" s="138" t="str">
        <f>+"Q4 "&amp;CI1</f>
        <v>Q4 2029</v>
      </c>
      <c r="CJ2" s="138" t="str">
        <f>+"Q4 "&amp;CJ1</f>
        <v>Q4 2029</v>
      </c>
      <c r="CK2" s="138" t="str">
        <f>+"Q1 "&amp;CK1</f>
        <v>Q1 2030</v>
      </c>
      <c r="CL2" s="138" t="str">
        <f>+"Q1 "&amp;CL1</f>
        <v>Q1 2030</v>
      </c>
      <c r="CM2" s="138" t="str">
        <f>+"Q1 "&amp;CM1</f>
        <v>Q1 2030</v>
      </c>
      <c r="CN2" s="138" t="str">
        <f>+"Q2 "&amp;CN1</f>
        <v>Q2 2030</v>
      </c>
      <c r="CO2" s="138" t="str">
        <f>+"Q2 "&amp;CO1</f>
        <v>Q2 2030</v>
      </c>
      <c r="CP2" s="138" t="str">
        <f>+"Q2 "&amp;CP1</f>
        <v>Q2 2030</v>
      </c>
      <c r="CQ2" s="138" t="str">
        <f>+"Q3 "&amp;CQ1</f>
        <v>Q3 2030</v>
      </c>
      <c r="CR2" s="138" t="str">
        <f>+"Q3 "&amp;CR1</f>
        <v>Q3 2030</v>
      </c>
      <c r="CS2" s="138" t="str">
        <f>+"Q3 "&amp;CS1</f>
        <v>Q3 2030</v>
      </c>
      <c r="CT2" s="138" t="str">
        <f>+"Q4 "&amp;CT1</f>
        <v>Q4 2030</v>
      </c>
      <c r="CU2" s="138" t="str">
        <f>+"Q4 "&amp;CU1</f>
        <v>Q4 2030</v>
      </c>
      <c r="CV2" s="138" t="str">
        <f>+"Q4 "&amp;CV1</f>
        <v>Q4 2030</v>
      </c>
      <c r="CW2" s="138" t="str">
        <f t="shared" ref="CW2:DH2" si="4">+"Q4 "&amp;CW1</f>
        <v>Q4 2031</v>
      </c>
      <c r="CX2" s="138" t="str">
        <f t="shared" si="4"/>
        <v>Q4 2031</v>
      </c>
      <c r="CY2" s="138" t="str">
        <f t="shared" si="4"/>
        <v>Q4 2031</v>
      </c>
      <c r="CZ2" s="138" t="str">
        <f t="shared" si="4"/>
        <v>Q4 2031</v>
      </c>
      <c r="DA2" s="138" t="str">
        <f t="shared" si="4"/>
        <v>Q4 2031</v>
      </c>
      <c r="DB2" s="138" t="str">
        <f t="shared" si="4"/>
        <v>Q4 2031</v>
      </c>
      <c r="DC2" s="138" t="str">
        <f t="shared" si="4"/>
        <v>Q4 2031</v>
      </c>
      <c r="DD2" s="138" t="str">
        <f t="shared" si="4"/>
        <v>Q4 2031</v>
      </c>
      <c r="DE2" s="138" t="str">
        <f t="shared" si="4"/>
        <v>Q4 2031</v>
      </c>
      <c r="DF2" s="138" t="str">
        <f t="shared" si="4"/>
        <v>Q4 2031</v>
      </c>
      <c r="DG2" s="138" t="str">
        <f t="shared" si="4"/>
        <v>Q4 2031</v>
      </c>
      <c r="DH2" s="138" t="str">
        <f t="shared" si="4"/>
        <v>Q4 2031</v>
      </c>
    </row>
    <row r="3" spans="2:112" ht="15" thickBot="1" x14ac:dyDescent="0.35">
      <c r="E3" s="136">
        <v>44957</v>
      </c>
      <c r="F3" s="20">
        <v>44985</v>
      </c>
      <c r="G3" s="20">
        <v>45016</v>
      </c>
      <c r="H3" s="20">
        <v>45046</v>
      </c>
      <c r="I3" s="20">
        <v>45077</v>
      </c>
      <c r="J3" s="20">
        <v>45107</v>
      </c>
      <c r="K3" s="20">
        <v>45138</v>
      </c>
      <c r="L3" s="20">
        <v>45169</v>
      </c>
      <c r="M3" s="20">
        <v>45199</v>
      </c>
      <c r="N3" s="20">
        <v>45230</v>
      </c>
      <c r="O3" s="20">
        <v>45260</v>
      </c>
      <c r="P3" s="20">
        <v>45291</v>
      </c>
      <c r="Q3" s="20">
        <v>45322</v>
      </c>
      <c r="R3" s="20">
        <v>45351</v>
      </c>
      <c r="S3" s="20">
        <v>45382</v>
      </c>
      <c r="T3" s="161">
        <v>45412</v>
      </c>
      <c r="U3" s="20">
        <v>45443</v>
      </c>
      <c r="V3" s="20">
        <v>45473</v>
      </c>
      <c r="W3" s="161">
        <v>45504</v>
      </c>
      <c r="X3" s="20">
        <v>45535</v>
      </c>
      <c r="Y3" s="161">
        <v>45565</v>
      </c>
      <c r="Z3" s="20">
        <v>45596</v>
      </c>
      <c r="AA3" s="20">
        <v>45626</v>
      </c>
      <c r="AB3" s="20">
        <v>45657</v>
      </c>
      <c r="AC3" s="20">
        <v>45688</v>
      </c>
      <c r="AD3" s="20">
        <v>45716</v>
      </c>
      <c r="AE3" s="20">
        <v>45747</v>
      </c>
      <c r="AF3" s="20">
        <v>45777</v>
      </c>
      <c r="AG3" s="20">
        <v>45808</v>
      </c>
      <c r="AH3" s="20">
        <v>45838</v>
      </c>
      <c r="AI3" s="20">
        <v>45869</v>
      </c>
      <c r="AJ3" s="20">
        <v>45900</v>
      </c>
      <c r="AK3" s="20">
        <v>45930</v>
      </c>
      <c r="AL3" s="20">
        <v>45961</v>
      </c>
      <c r="AM3" s="20">
        <v>45991</v>
      </c>
      <c r="AN3" s="20">
        <v>46022</v>
      </c>
      <c r="AO3" s="20">
        <v>46053</v>
      </c>
      <c r="AP3" s="20">
        <v>46081</v>
      </c>
      <c r="AQ3" s="20">
        <v>46112</v>
      </c>
      <c r="AR3" s="20">
        <v>46142</v>
      </c>
      <c r="AS3" s="20">
        <v>46173</v>
      </c>
      <c r="AT3" s="20">
        <v>46203</v>
      </c>
      <c r="AU3" s="20">
        <v>46234</v>
      </c>
      <c r="AV3" s="20">
        <v>46265</v>
      </c>
      <c r="AW3" s="20">
        <v>46295</v>
      </c>
      <c r="AX3" s="20">
        <v>46326</v>
      </c>
      <c r="AY3" s="20">
        <v>46356</v>
      </c>
      <c r="AZ3" s="20">
        <v>46387</v>
      </c>
      <c r="BA3" s="20">
        <v>46418</v>
      </c>
      <c r="BB3" s="20">
        <v>46446</v>
      </c>
      <c r="BC3" s="20">
        <v>46477</v>
      </c>
      <c r="BD3" s="20">
        <v>46507</v>
      </c>
      <c r="BE3" s="20">
        <v>46538</v>
      </c>
      <c r="BF3" s="20">
        <v>46568</v>
      </c>
      <c r="BG3" s="20">
        <v>46599</v>
      </c>
      <c r="BH3" s="20">
        <v>46630</v>
      </c>
      <c r="BI3" s="20">
        <v>46660</v>
      </c>
      <c r="BJ3" s="20">
        <v>46691</v>
      </c>
      <c r="BK3" s="20">
        <v>46721</v>
      </c>
      <c r="BL3" s="20">
        <v>46752</v>
      </c>
      <c r="BM3" s="20">
        <v>46783</v>
      </c>
      <c r="BN3" s="20">
        <v>46812</v>
      </c>
      <c r="BO3" s="20">
        <v>46843</v>
      </c>
      <c r="BP3" s="20">
        <v>46873</v>
      </c>
      <c r="BQ3" s="20">
        <v>46904</v>
      </c>
      <c r="BR3" s="20">
        <v>46934</v>
      </c>
      <c r="BS3" s="20">
        <v>46965</v>
      </c>
      <c r="BT3" s="20">
        <v>46996</v>
      </c>
      <c r="BU3" s="20">
        <v>47026</v>
      </c>
      <c r="BV3" s="20">
        <v>47057</v>
      </c>
      <c r="BW3" s="20">
        <v>47087</v>
      </c>
      <c r="BX3" s="20">
        <v>47118</v>
      </c>
      <c r="BY3" s="20">
        <v>47149</v>
      </c>
      <c r="BZ3" s="20">
        <v>47177</v>
      </c>
      <c r="CA3" s="20">
        <v>47208</v>
      </c>
      <c r="CB3" s="20">
        <v>47238</v>
      </c>
      <c r="CC3" s="20">
        <v>47269</v>
      </c>
      <c r="CD3" s="20">
        <v>47299</v>
      </c>
      <c r="CE3" s="20">
        <v>47330</v>
      </c>
      <c r="CF3" s="20">
        <v>47361</v>
      </c>
      <c r="CG3" s="20">
        <v>47391</v>
      </c>
      <c r="CH3" s="20">
        <v>47422</v>
      </c>
      <c r="CI3" s="20">
        <v>47452</v>
      </c>
      <c r="CJ3" s="20">
        <v>47483</v>
      </c>
      <c r="CK3" s="20">
        <v>47514</v>
      </c>
      <c r="CL3" s="20">
        <v>47542</v>
      </c>
      <c r="CM3" s="20">
        <v>47573</v>
      </c>
      <c r="CN3" s="20">
        <v>47603</v>
      </c>
      <c r="CO3" s="20">
        <v>47634</v>
      </c>
      <c r="CP3" s="20">
        <v>47664</v>
      </c>
      <c r="CQ3" s="20">
        <v>47695</v>
      </c>
      <c r="CR3" s="20">
        <v>47726</v>
      </c>
      <c r="CS3" s="20">
        <v>47756</v>
      </c>
      <c r="CT3" s="20">
        <v>47787</v>
      </c>
      <c r="CU3" s="20">
        <v>47817</v>
      </c>
      <c r="CV3" s="20">
        <v>47848</v>
      </c>
      <c r="CW3" s="20">
        <v>47879</v>
      </c>
      <c r="CX3" s="20">
        <v>47907</v>
      </c>
      <c r="CY3" s="20">
        <v>47938</v>
      </c>
      <c r="CZ3" s="20">
        <v>47968</v>
      </c>
      <c r="DA3" s="20">
        <v>47999</v>
      </c>
      <c r="DB3" s="20">
        <v>48029</v>
      </c>
      <c r="DC3" s="20">
        <v>48060</v>
      </c>
      <c r="DD3" s="20">
        <v>48091</v>
      </c>
      <c r="DE3" s="20">
        <v>48121</v>
      </c>
      <c r="DF3" s="20">
        <v>48152</v>
      </c>
      <c r="DG3" s="20">
        <v>48182</v>
      </c>
      <c r="DH3" s="20">
        <v>48182</v>
      </c>
    </row>
    <row r="4" spans="2:112" x14ac:dyDescent="0.3">
      <c r="Y4" s="162"/>
    </row>
    <row r="5" spans="2:112" x14ac:dyDescent="0.3">
      <c r="B5" t="s">
        <v>241</v>
      </c>
      <c r="D5" t="s">
        <v>244</v>
      </c>
      <c r="E5" s="280">
        <f>+$C$6*(E7/$C$7)</f>
        <v>0</v>
      </c>
      <c r="F5" s="280">
        <f t="shared" ref="F5:I5" si="5">+$C$6*(F7/$C$7)</f>
        <v>0</v>
      </c>
      <c r="G5" s="280">
        <f t="shared" si="5"/>
        <v>0</v>
      </c>
      <c r="H5" s="280">
        <f t="shared" si="5"/>
        <v>0</v>
      </c>
      <c r="I5" s="280">
        <f t="shared" si="5"/>
        <v>0</v>
      </c>
      <c r="J5" s="280">
        <v>0</v>
      </c>
      <c r="K5" s="280">
        <v>0</v>
      </c>
      <c r="L5" s="281">
        <v>27721.396153846152</v>
      </c>
      <c r="M5" s="281">
        <v>2097.830769230769</v>
      </c>
      <c r="N5" s="281">
        <v>94903.523076923069</v>
      </c>
      <c r="O5" s="281">
        <v>170208.46153846153</v>
      </c>
      <c r="P5" s="281">
        <v>155068.78692307702</v>
      </c>
      <c r="Q5" s="281">
        <f>+(Q7/U8)*$C$6</f>
        <v>87244.400821314324</v>
      </c>
      <c r="R5" s="281">
        <f t="shared" ref="R5:S5" si="6">+(R7/V8)*$C$6</f>
        <v>18265.480044688287</v>
      </c>
      <c r="S5" s="281">
        <f t="shared" si="6"/>
        <v>139877.15670038012</v>
      </c>
      <c r="T5" s="281">
        <f>+(T7/X8)*$C$6+22221.42</f>
        <v>54612.964280799766</v>
      </c>
      <c r="U5" s="281">
        <v>1995</v>
      </c>
      <c r="V5" s="147">
        <f t="shared" ref="V5:AA5" si="7">+IF(V8=$C$7,V10-U6,$C$6*(V7/$C$7))</f>
        <v>0</v>
      </c>
      <c r="W5" s="147">
        <f t="shared" si="7"/>
        <v>0</v>
      </c>
      <c r="X5" s="147">
        <f t="shared" si="7"/>
        <v>0</v>
      </c>
      <c r="Y5" s="347">
        <f t="shared" si="7"/>
        <v>0</v>
      </c>
      <c r="Z5" s="280">
        <f t="shared" si="7"/>
        <v>0</v>
      </c>
      <c r="AA5" s="280">
        <f t="shared" si="7"/>
        <v>0</v>
      </c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</row>
    <row r="6" spans="2:112" x14ac:dyDescent="0.3">
      <c r="B6" t="s">
        <v>242</v>
      </c>
      <c r="C6" s="208">
        <v>750000</v>
      </c>
      <c r="D6" t="s">
        <v>294</v>
      </c>
      <c r="E6" s="280"/>
      <c r="F6" s="280">
        <f>+F5+E6</f>
        <v>0</v>
      </c>
      <c r="G6" s="280">
        <f t="shared" ref="G6:AA6" si="8">+G5+F6</f>
        <v>0</v>
      </c>
      <c r="H6" s="280">
        <f t="shared" si="8"/>
        <v>0</v>
      </c>
      <c r="I6" s="280">
        <f t="shared" si="8"/>
        <v>0</v>
      </c>
      <c r="J6" s="280">
        <f>+J5+I6</f>
        <v>0</v>
      </c>
      <c r="K6" s="280">
        <f t="shared" si="8"/>
        <v>0</v>
      </c>
      <c r="L6" s="280">
        <f>+L5+K6</f>
        <v>27721.396153846152</v>
      </c>
      <c r="M6" s="280">
        <f t="shared" si="8"/>
        <v>29819.22692307692</v>
      </c>
      <c r="N6" s="280">
        <f t="shared" si="8"/>
        <v>124722.74999999999</v>
      </c>
      <c r="O6" s="280">
        <f t="shared" si="8"/>
        <v>294931.2115384615</v>
      </c>
      <c r="P6" s="280">
        <f t="shared" si="8"/>
        <v>449999.99846153852</v>
      </c>
      <c r="Q6" s="280">
        <f>+Q5+P6</f>
        <v>537244.39928285289</v>
      </c>
      <c r="R6" s="280">
        <f t="shared" ref="R6:T6" si="9">+R5+Q6</f>
        <v>555509.87932754122</v>
      </c>
      <c r="S6" s="280">
        <f t="shared" si="9"/>
        <v>695387.03602792136</v>
      </c>
      <c r="T6" s="280">
        <f t="shared" si="9"/>
        <v>750000.00030872109</v>
      </c>
      <c r="U6" s="280">
        <f>+U5+T6</f>
        <v>751995.00030872109</v>
      </c>
      <c r="V6" s="147">
        <f>+V5+U6</f>
        <v>751995.00030872109</v>
      </c>
      <c r="W6" s="147">
        <f t="shared" si="8"/>
        <v>751995.00030872109</v>
      </c>
      <c r="X6" s="147">
        <f t="shared" si="8"/>
        <v>751995.00030872109</v>
      </c>
      <c r="Y6" s="347">
        <f t="shared" si="8"/>
        <v>751995.00030872109</v>
      </c>
      <c r="Z6" s="280">
        <f t="shared" si="8"/>
        <v>751995.00030872109</v>
      </c>
      <c r="AA6" s="280">
        <f t="shared" si="8"/>
        <v>751995.00030872109</v>
      </c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</row>
    <row r="7" spans="2:112" x14ac:dyDescent="0.3">
      <c r="B7" t="s">
        <v>450</v>
      </c>
      <c r="C7" s="208">
        <v>650000</v>
      </c>
      <c r="D7" t="s">
        <v>243</v>
      </c>
      <c r="E7" s="281">
        <v>0</v>
      </c>
      <c r="F7" s="281">
        <v>0</v>
      </c>
      <c r="G7" s="281">
        <v>0</v>
      </c>
      <c r="H7" s="281">
        <v>0</v>
      </c>
      <c r="I7" s="281">
        <v>0</v>
      </c>
      <c r="J7" s="281">
        <v>3398</v>
      </c>
      <c r="K7" s="281">
        <v>486</v>
      </c>
      <c r="L7" s="281">
        <v>20141.21</v>
      </c>
      <c r="M7" s="281">
        <v>1818.12</v>
      </c>
      <c r="N7" s="281">
        <v>82249.72</v>
      </c>
      <c r="O7" s="281">
        <v>147501.61000000002</v>
      </c>
      <c r="P7" s="281">
        <v>99389.14</v>
      </c>
      <c r="Q7" s="281">
        <v>65584.38</v>
      </c>
      <c r="R7" s="281">
        <v>13730.740000000002</v>
      </c>
      <c r="S7" s="281">
        <v>105150.09</v>
      </c>
      <c r="T7" s="281">
        <v>24349.75</v>
      </c>
      <c r="U7" s="280">
        <v>0</v>
      </c>
      <c r="V7" s="147">
        <v>0</v>
      </c>
      <c r="W7" s="147">
        <v>0</v>
      </c>
      <c r="X7" s="147">
        <v>0</v>
      </c>
      <c r="Y7" s="347">
        <v>0</v>
      </c>
      <c r="Z7" s="280">
        <v>0</v>
      </c>
      <c r="AA7" s="280">
        <v>0</v>
      </c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</row>
    <row r="8" spans="2:112" x14ac:dyDescent="0.3">
      <c r="B8" t="s">
        <v>451</v>
      </c>
      <c r="C8" s="208">
        <f>+V8</f>
        <v>563798.76</v>
      </c>
      <c r="D8" t="s">
        <v>255</v>
      </c>
      <c r="F8" s="9">
        <f>+F7+E8</f>
        <v>0</v>
      </c>
      <c r="G8" s="9">
        <f t="shared" ref="G8:W8" si="10">+G7+F8</f>
        <v>0</v>
      </c>
      <c r="H8" s="9">
        <f t="shared" si="10"/>
        <v>0</v>
      </c>
      <c r="I8" s="9">
        <f t="shared" si="10"/>
        <v>0</v>
      </c>
      <c r="J8" s="9">
        <f t="shared" si="10"/>
        <v>3398</v>
      </c>
      <c r="K8" s="9">
        <f t="shared" si="10"/>
        <v>3884</v>
      </c>
      <c r="L8" s="9">
        <f t="shared" si="10"/>
        <v>24025.21</v>
      </c>
      <c r="M8" s="9">
        <f t="shared" si="10"/>
        <v>25843.329999999998</v>
      </c>
      <c r="N8" s="9">
        <f t="shared" si="10"/>
        <v>108093.05</v>
      </c>
      <c r="O8" s="9">
        <f t="shared" si="10"/>
        <v>255594.66000000003</v>
      </c>
      <c r="P8" s="9">
        <f t="shared" si="10"/>
        <v>354983.80000000005</v>
      </c>
      <c r="Q8" s="9">
        <f t="shared" si="10"/>
        <v>420568.18000000005</v>
      </c>
      <c r="R8" s="9">
        <f t="shared" ref="R8" si="11">+R7+Q8</f>
        <v>434298.92000000004</v>
      </c>
      <c r="S8" s="9">
        <f t="shared" ref="S8" si="12">+S7+R8</f>
        <v>539449.01</v>
      </c>
      <c r="T8" s="9">
        <f t="shared" ref="T8" si="13">+T7+S8</f>
        <v>563798.76</v>
      </c>
      <c r="U8" s="9">
        <f t="shared" si="10"/>
        <v>563798.76</v>
      </c>
      <c r="V8" s="9">
        <f t="shared" si="10"/>
        <v>563798.76</v>
      </c>
      <c r="W8" s="9">
        <f t="shared" si="10"/>
        <v>563798.76</v>
      </c>
      <c r="X8" s="9">
        <f t="shared" ref="X8" si="14">+X7+W8</f>
        <v>563798.76</v>
      </c>
      <c r="Y8" s="172">
        <f t="shared" ref="Y8" si="15">+Y7+X8</f>
        <v>563798.76</v>
      </c>
      <c r="Z8" s="9">
        <f t="shared" ref="Z8" si="16">+Z7+Y8</f>
        <v>563798.76</v>
      </c>
      <c r="AA8" s="9">
        <f t="shared" ref="AA8" si="17">+AA7+Z8</f>
        <v>563798.76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2:112" x14ac:dyDescent="0.3">
      <c r="D9" t="s">
        <v>290</v>
      </c>
      <c r="F9" s="9">
        <f>+'Monthly Detail'!Q135</f>
        <v>0</v>
      </c>
      <c r="G9" s="9">
        <f>+'Monthly Detail'!R135</f>
        <v>0</v>
      </c>
      <c r="H9" s="9">
        <f>+'Monthly Detail'!S135</f>
        <v>0</v>
      </c>
      <c r="I9" s="9">
        <f>+'Monthly Detail'!T135</f>
        <v>75000</v>
      </c>
      <c r="J9" s="9">
        <f>+'Monthly Detail'!U135</f>
        <v>0</v>
      </c>
      <c r="K9" s="9">
        <f>+'Monthly Detail'!V135</f>
        <v>0</v>
      </c>
      <c r="L9" s="9">
        <f>+'Monthly Detail'!W135</f>
        <v>0</v>
      </c>
      <c r="M9" s="9">
        <f>+'Monthly Detail'!X135</f>
        <v>0</v>
      </c>
      <c r="N9" s="9">
        <f>+'Monthly Detail'!Y135</f>
        <v>150000</v>
      </c>
      <c r="O9" s="9">
        <f>+'Monthly Detail'!Z135</f>
        <v>187500</v>
      </c>
      <c r="P9" s="9">
        <f>+'Monthly Detail'!AA135</f>
        <v>112500</v>
      </c>
      <c r="Q9" s="9">
        <f>+'Monthly Detail'!AB135</f>
        <v>0</v>
      </c>
      <c r="R9" s="9">
        <f>+'Monthly Detail'!AC135</f>
        <v>112500</v>
      </c>
      <c r="S9" s="9">
        <f>+'Monthly Detail'!AD135</f>
        <v>112500</v>
      </c>
      <c r="T9" s="281">
        <v>0</v>
      </c>
      <c r="U9" s="281">
        <v>0</v>
      </c>
      <c r="V9" s="534">
        <v>0</v>
      </c>
      <c r="W9" s="534">
        <v>0</v>
      </c>
      <c r="X9" s="534">
        <v>0</v>
      </c>
      <c r="Y9" s="501">
        <v>0</v>
      </c>
      <c r="Z9" s="281">
        <v>0</v>
      </c>
      <c r="AA9" s="281">
        <v>0</v>
      </c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</row>
    <row r="10" spans="2:112" x14ac:dyDescent="0.3">
      <c r="D10" t="s">
        <v>289</v>
      </c>
      <c r="F10" s="9">
        <f>+F9+E10</f>
        <v>0</v>
      </c>
      <c r="G10" s="9">
        <f t="shared" ref="G10:AA10" si="18">+G9+F10</f>
        <v>0</v>
      </c>
      <c r="H10" s="9">
        <f t="shared" si="18"/>
        <v>0</v>
      </c>
      <c r="I10" s="9">
        <f t="shared" si="18"/>
        <v>75000</v>
      </c>
      <c r="J10" s="9">
        <f t="shared" si="18"/>
        <v>75000</v>
      </c>
      <c r="K10" s="9">
        <f t="shared" si="18"/>
        <v>75000</v>
      </c>
      <c r="L10" s="9">
        <f t="shared" si="18"/>
        <v>75000</v>
      </c>
      <c r="M10" s="9">
        <f t="shared" si="18"/>
        <v>75000</v>
      </c>
      <c r="N10" s="9">
        <f t="shared" si="18"/>
        <v>225000</v>
      </c>
      <c r="O10" s="9">
        <f t="shared" si="18"/>
        <v>412500</v>
      </c>
      <c r="P10" s="9">
        <f t="shared" si="18"/>
        <v>525000</v>
      </c>
      <c r="Q10" s="9">
        <f t="shared" si="18"/>
        <v>525000</v>
      </c>
      <c r="R10" s="9">
        <f t="shared" ref="R10" si="19">+R9+Q10</f>
        <v>637500</v>
      </c>
      <c r="S10" s="9">
        <f t="shared" ref="S10" si="20">+S9+R10</f>
        <v>750000</v>
      </c>
      <c r="T10" s="9">
        <f t="shared" ref="T10" si="21">+T9+S10</f>
        <v>750000</v>
      </c>
      <c r="U10" s="9">
        <f t="shared" si="18"/>
        <v>750000</v>
      </c>
      <c r="V10" s="9">
        <f t="shared" si="18"/>
        <v>750000</v>
      </c>
      <c r="W10" s="9">
        <f t="shared" si="18"/>
        <v>750000</v>
      </c>
      <c r="X10" s="9">
        <f t="shared" si="18"/>
        <v>750000</v>
      </c>
      <c r="Y10" s="172">
        <f t="shared" si="18"/>
        <v>750000</v>
      </c>
      <c r="Z10" s="9">
        <f t="shared" si="18"/>
        <v>750000</v>
      </c>
      <c r="AA10" s="9">
        <f t="shared" si="18"/>
        <v>750000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2:112" x14ac:dyDescent="0.3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72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2:112" x14ac:dyDescent="0.3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72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2:112" x14ac:dyDescent="0.3">
      <c r="F13" s="513">
        <f t="shared" ref="F13:AK13" si="22">+IF(F3&lt;$C$17,0,IF(AND(F3&gt;=$C$17,E13&lt;12, $C$18&gt;=F3),E13+1,0))</f>
        <v>0</v>
      </c>
      <c r="G13" s="513">
        <f t="shared" si="22"/>
        <v>0</v>
      </c>
      <c r="H13" s="513">
        <f t="shared" si="22"/>
        <v>0</v>
      </c>
      <c r="I13" s="513">
        <f t="shared" si="22"/>
        <v>0</v>
      </c>
      <c r="J13" s="513">
        <f t="shared" si="22"/>
        <v>0</v>
      </c>
      <c r="K13" s="513">
        <f t="shared" si="22"/>
        <v>0</v>
      </c>
      <c r="L13" s="513">
        <f t="shared" si="22"/>
        <v>0</v>
      </c>
      <c r="M13" s="513">
        <f t="shared" si="22"/>
        <v>0</v>
      </c>
      <c r="N13" s="513">
        <f t="shared" si="22"/>
        <v>0</v>
      </c>
      <c r="O13" s="513">
        <f t="shared" si="22"/>
        <v>0</v>
      </c>
      <c r="P13" s="513">
        <f t="shared" si="22"/>
        <v>0</v>
      </c>
      <c r="Q13" s="513">
        <f t="shared" si="22"/>
        <v>0</v>
      </c>
      <c r="R13" s="513">
        <f t="shared" si="22"/>
        <v>0</v>
      </c>
      <c r="S13" s="513">
        <f t="shared" si="22"/>
        <v>0</v>
      </c>
      <c r="T13" s="513">
        <f t="shared" si="22"/>
        <v>0</v>
      </c>
      <c r="U13" s="513">
        <f t="shared" si="22"/>
        <v>0</v>
      </c>
      <c r="V13" s="82">
        <f t="shared" si="22"/>
        <v>0</v>
      </c>
      <c r="W13" s="82">
        <f t="shared" si="22"/>
        <v>0</v>
      </c>
      <c r="X13" s="82">
        <f>+IF(X3&lt;$C$17,0,IF(AND(X3&gt;=$C$17,W13&lt;12, $C$18&gt;=X3),W13+1,0))</f>
        <v>0</v>
      </c>
      <c r="Y13" s="252">
        <f t="shared" si="22"/>
        <v>0</v>
      </c>
      <c r="Z13" s="513">
        <f t="shared" si="22"/>
        <v>0</v>
      </c>
      <c r="AA13" s="513">
        <f t="shared" si="22"/>
        <v>0</v>
      </c>
      <c r="AB13" s="513">
        <f t="shared" si="22"/>
        <v>1</v>
      </c>
      <c r="AC13" s="513">
        <f t="shared" si="22"/>
        <v>2</v>
      </c>
      <c r="AD13" s="513">
        <f t="shared" si="22"/>
        <v>3</v>
      </c>
      <c r="AE13" s="513">
        <f t="shared" si="22"/>
        <v>4</v>
      </c>
      <c r="AF13" s="513">
        <f t="shared" si="22"/>
        <v>5</v>
      </c>
      <c r="AG13" s="513">
        <f t="shared" si="22"/>
        <v>6</v>
      </c>
      <c r="AH13" s="513">
        <f t="shared" si="22"/>
        <v>7</v>
      </c>
      <c r="AI13" s="513">
        <f t="shared" si="22"/>
        <v>8</v>
      </c>
      <c r="AJ13" s="513">
        <f t="shared" si="22"/>
        <v>9</v>
      </c>
      <c r="AK13" s="513">
        <f t="shared" si="22"/>
        <v>10</v>
      </c>
      <c r="AL13" s="513">
        <f t="shared" ref="AL13:BQ13" si="23">+IF(AL3&lt;$C$17,0,IF(AND(AL3&gt;=$C$17,AK13&lt;12, $C$18&gt;=AL3),AK13+1,0))</f>
        <v>11</v>
      </c>
      <c r="AM13" s="513">
        <f t="shared" si="23"/>
        <v>12</v>
      </c>
      <c r="AN13" s="513">
        <f t="shared" si="23"/>
        <v>0</v>
      </c>
      <c r="AO13" s="513">
        <f t="shared" si="23"/>
        <v>0</v>
      </c>
      <c r="AP13" s="513">
        <f t="shared" si="23"/>
        <v>0</v>
      </c>
      <c r="AQ13" s="513">
        <f t="shared" si="23"/>
        <v>0</v>
      </c>
      <c r="AR13" s="513">
        <f t="shared" si="23"/>
        <v>0</v>
      </c>
      <c r="AS13" s="513">
        <f t="shared" si="23"/>
        <v>0</v>
      </c>
      <c r="AT13" s="513">
        <f t="shared" si="23"/>
        <v>0</v>
      </c>
      <c r="AU13" s="513">
        <f t="shared" si="23"/>
        <v>0</v>
      </c>
      <c r="AV13" s="513">
        <f t="shared" si="23"/>
        <v>0</v>
      </c>
      <c r="AW13" s="513">
        <f t="shared" si="23"/>
        <v>0</v>
      </c>
      <c r="AX13" s="513">
        <f t="shared" si="23"/>
        <v>0</v>
      </c>
      <c r="AY13" s="513">
        <f t="shared" si="23"/>
        <v>0</v>
      </c>
      <c r="AZ13" s="513">
        <f t="shared" si="23"/>
        <v>0</v>
      </c>
      <c r="BA13" s="513">
        <f t="shared" si="23"/>
        <v>0</v>
      </c>
      <c r="BB13" s="513">
        <f t="shared" si="23"/>
        <v>0</v>
      </c>
      <c r="BC13" s="513">
        <f t="shared" si="23"/>
        <v>0</v>
      </c>
      <c r="BD13" s="513">
        <f t="shared" si="23"/>
        <v>0</v>
      </c>
      <c r="BE13" s="513">
        <f t="shared" si="23"/>
        <v>0</v>
      </c>
      <c r="BF13" s="513">
        <f t="shared" si="23"/>
        <v>0</v>
      </c>
      <c r="BG13" s="513">
        <f t="shared" si="23"/>
        <v>0</v>
      </c>
      <c r="BH13" s="513">
        <f t="shared" si="23"/>
        <v>0</v>
      </c>
      <c r="BI13" s="513">
        <f t="shared" si="23"/>
        <v>0</v>
      </c>
      <c r="BJ13" s="513">
        <f t="shared" si="23"/>
        <v>0</v>
      </c>
      <c r="BK13" s="513">
        <f t="shared" si="23"/>
        <v>0</v>
      </c>
      <c r="BL13" s="513">
        <f t="shared" si="23"/>
        <v>0</v>
      </c>
      <c r="BM13" s="513">
        <f t="shared" si="23"/>
        <v>0</v>
      </c>
      <c r="BN13" s="513">
        <f t="shared" si="23"/>
        <v>0</v>
      </c>
      <c r="BO13" s="513">
        <f t="shared" si="23"/>
        <v>0</v>
      </c>
      <c r="BP13" s="513">
        <f t="shared" si="23"/>
        <v>0</v>
      </c>
      <c r="BQ13" s="513">
        <f t="shared" si="23"/>
        <v>0</v>
      </c>
      <c r="BR13" s="513">
        <f t="shared" ref="BR13:CV13" si="24">+IF(BR3&lt;$C$17,0,IF(AND(BR3&gt;=$C$17,BQ13&lt;12, $C$18&gt;=BR3),BQ13+1,0))</f>
        <v>0</v>
      </c>
      <c r="BS13" s="513">
        <f t="shared" si="24"/>
        <v>0</v>
      </c>
      <c r="BT13" s="513">
        <f t="shared" si="24"/>
        <v>0</v>
      </c>
      <c r="BU13" s="513">
        <f t="shared" si="24"/>
        <v>0</v>
      </c>
      <c r="BV13" s="513">
        <f t="shared" si="24"/>
        <v>0</v>
      </c>
      <c r="BW13" s="513">
        <f t="shared" si="24"/>
        <v>0</v>
      </c>
      <c r="BX13" s="513">
        <f t="shared" si="24"/>
        <v>0</v>
      </c>
      <c r="BY13" s="513">
        <f t="shared" si="24"/>
        <v>0</v>
      </c>
      <c r="BZ13" s="513">
        <f t="shared" si="24"/>
        <v>0</v>
      </c>
      <c r="CA13" s="513">
        <f t="shared" si="24"/>
        <v>0</v>
      </c>
      <c r="CB13" s="513">
        <f t="shared" si="24"/>
        <v>0</v>
      </c>
      <c r="CC13" s="513">
        <f t="shared" si="24"/>
        <v>0</v>
      </c>
      <c r="CD13" s="513">
        <f t="shared" si="24"/>
        <v>0</v>
      </c>
      <c r="CE13" s="513">
        <f t="shared" si="24"/>
        <v>0</v>
      </c>
      <c r="CF13" s="513">
        <f t="shared" si="24"/>
        <v>0</v>
      </c>
      <c r="CG13" s="513">
        <f t="shared" si="24"/>
        <v>0</v>
      </c>
      <c r="CH13" s="513">
        <f t="shared" si="24"/>
        <v>0</v>
      </c>
      <c r="CI13" s="513">
        <f t="shared" si="24"/>
        <v>0</v>
      </c>
      <c r="CJ13" s="513">
        <f t="shared" si="24"/>
        <v>0</v>
      </c>
      <c r="CK13" s="513">
        <f t="shared" si="24"/>
        <v>0</v>
      </c>
      <c r="CL13" s="513">
        <f t="shared" si="24"/>
        <v>0</v>
      </c>
      <c r="CM13" s="513">
        <f t="shared" si="24"/>
        <v>0</v>
      </c>
      <c r="CN13" s="513">
        <f t="shared" si="24"/>
        <v>0</v>
      </c>
      <c r="CO13" s="513">
        <f t="shared" si="24"/>
        <v>0</v>
      </c>
      <c r="CP13" s="513">
        <f t="shared" si="24"/>
        <v>0</v>
      </c>
      <c r="CQ13" s="513">
        <f t="shared" si="24"/>
        <v>0</v>
      </c>
      <c r="CR13" s="513">
        <f t="shared" si="24"/>
        <v>0</v>
      </c>
      <c r="CS13" s="513">
        <f t="shared" si="24"/>
        <v>0</v>
      </c>
      <c r="CT13" s="513">
        <f t="shared" si="24"/>
        <v>0</v>
      </c>
      <c r="CU13" s="513">
        <f t="shared" si="24"/>
        <v>0</v>
      </c>
      <c r="CV13" s="513">
        <f t="shared" si="24"/>
        <v>0</v>
      </c>
      <c r="CW13" s="513">
        <f t="shared" ref="CW13:DG13" si="25">+IF(CW3&lt;$C$17,0,IF(AND(CW3&gt;=$C$17,CV13&lt;12, $C$18&gt;=CW3),CV13+1,0))</f>
        <v>0</v>
      </c>
      <c r="CX13" s="513">
        <f t="shared" si="25"/>
        <v>0</v>
      </c>
      <c r="CY13" s="513">
        <f t="shared" si="25"/>
        <v>0</v>
      </c>
      <c r="CZ13" s="513">
        <f t="shared" si="25"/>
        <v>0</v>
      </c>
      <c r="DA13" s="513">
        <f t="shared" si="25"/>
        <v>0</v>
      </c>
      <c r="DB13" s="513">
        <f t="shared" si="25"/>
        <v>0</v>
      </c>
      <c r="DC13" s="513">
        <f t="shared" si="25"/>
        <v>0</v>
      </c>
      <c r="DD13" s="513">
        <f t="shared" si="25"/>
        <v>0</v>
      </c>
      <c r="DE13" s="513">
        <f t="shared" si="25"/>
        <v>0</v>
      </c>
      <c r="DF13" s="513">
        <f t="shared" si="25"/>
        <v>0</v>
      </c>
      <c r="DG13" s="513">
        <f t="shared" si="25"/>
        <v>0</v>
      </c>
      <c r="DH13" s="513">
        <f t="shared" ref="DH13" si="26">+IF(DH3&lt;$C$17,0,IF(AND(DH3&gt;=$C$17,DG13&lt;12, $C$18&gt;=DH3),DG13+1,0))</f>
        <v>0</v>
      </c>
    </row>
    <row r="14" spans="2:112" x14ac:dyDescent="0.3">
      <c r="B14" t="s">
        <v>453</v>
      </c>
      <c r="D14" t="s">
        <v>244</v>
      </c>
      <c r="E14" s="459"/>
      <c r="F14" s="459">
        <f>+IFERROR(INDEX(Assumptions!$F$5:$F$16, MATCH(F13, Assumptions!$D$5:$D$16, 0))*$C$15, 0)</f>
        <v>0</v>
      </c>
      <c r="G14" s="459">
        <f>+IFERROR(INDEX(Assumptions!$F$5:$F$16, MATCH(G13, Assumptions!$D$5:$D$16, 0))*$C$15, 0)</f>
        <v>0</v>
      </c>
      <c r="H14" s="459">
        <f>+IFERROR(INDEX(Assumptions!$F$5:$F$16, MATCH(H13, Assumptions!$D$5:$D$16, 0))*$C$15, 0)</f>
        <v>0</v>
      </c>
      <c r="I14" s="459">
        <f>+IFERROR(INDEX(Assumptions!$F$5:$F$16, MATCH(I13, Assumptions!$D$5:$D$16, 0))*$C$15, 0)</f>
        <v>0</v>
      </c>
      <c r="J14" s="459">
        <f>+IFERROR(INDEX(Assumptions!$F$5:$F$16, MATCH(J13, Assumptions!$D$5:$D$16, 0))*$C$15, 0)</f>
        <v>0</v>
      </c>
      <c r="K14" s="459">
        <f>+IFERROR(INDEX(Assumptions!$F$5:$F$16, MATCH(K13, Assumptions!$D$5:$D$16, 0))*$C$15, 0)</f>
        <v>0</v>
      </c>
      <c r="L14" s="459">
        <f>+IFERROR(INDEX(Assumptions!$F$5:$F$16, MATCH(L13, Assumptions!$D$5:$D$16, 0))*$C$15, 0)</f>
        <v>0</v>
      </c>
      <c r="M14" s="459">
        <f>+IFERROR(INDEX(Assumptions!$F$5:$F$16, MATCH(M13, Assumptions!$D$5:$D$16, 0))*$C$15, 0)</f>
        <v>0</v>
      </c>
      <c r="N14" s="459">
        <f>+IFERROR(INDEX(Assumptions!$F$5:$F$16, MATCH(N13, Assumptions!$D$5:$D$16, 0))*$C$15, 0)</f>
        <v>0</v>
      </c>
      <c r="O14" s="459">
        <f>+IFERROR(INDEX(Assumptions!$F$5:$F$16, MATCH(O13, Assumptions!$D$5:$D$16, 0))*$C$15, 0)</f>
        <v>0</v>
      </c>
      <c r="P14" s="459">
        <f>+IFERROR(INDEX(Assumptions!$F$5:$F$16, MATCH(P13, Assumptions!$D$5:$D$16, 0))*$C$15, 0)</f>
        <v>0</v>
      </c>
      <c r="Q14" s="459">
        <f>+IFERROR(INDEX(Assumptions!$F$5:$F$16, MATCH(Q13, Assumptions!$D$5:$D$16, 0))*$C$15, 0)</f>
        <v>0</v>
      </c>
      <c r="R14" s="459">
        <f>+IFERROR(INDEX(Assumptions!$F$5:$F$16, MATCH(R13, Assumptions!$D$5:$D$16, 0))*$C$15, 0)</f>
        <v>0</v>
      </c>
      <c r="S14" s="459">
        <f>+IFERROR(INDEX(Assumptions!$F$5:$F$16, MATCH(S13, Assumptions!$D$5:$D$16, 0))*$C$15, 0)</f>
        <v>0</v>
      </c>
      <c r="T14" s="459">
        <f>+IFERROR(INDEX(Assumptions!$F$5:$F$16, MATCH(T13, Assumptions!$D$5:$D$16, 0))*$C$15, 0)</f>
        <v>0</v>
      </c>
      <c r="U14" s="459">
        <f>+IFERROR(INDEX(Assumptions!$F$5:$F$16, MATCH(U13, Assumptions!$D$5:$D$16, 0))*$C$15, 0)</f>
        <v>0</v>
      </c>
      <c r="V14" s="535">
        <f>+IFERROR(INDEX(Assumptions!$F$5:$F$16, MATCH(V13, Assumptions!$D$5:$D$16, 0))*$C$15, 0)</f>
        <v>0</v>
      </c>
      <c r="W14" s="147">
        <f>+IFERROR(INDEX(Assumptions!$F$5:$F$16, MATCH(W13, Assumptions!$D$5:$D$16, 0))*$C$15, 0)</f>
        <v>0</v>
      </c>
      <c r="X14" s="147">
        <f>+IFERROR(INDEX(Assumptions!$F$5:$F$16, MATCH(X13, Assumptions!$D$5:$D$16, 0))*$C$15, 0)</f>
        <v>0</v>
      </c>
      <c r="Y14" s="347">
        <f>+IFERROR(INDEX(Assumptions!$F$5:$F$16, MATCH(Y13, Assumptions!$D$5:$D$16, 0))*$C$15, 0)</f>
        <v>0</v>
      </c>
      <c r="Z14" s="280">
        <f>+IFERROR(INDEX(Assumptions!$F$5:$F$16, MATCH(Z13, Assumptions!$D$5:$D$16, 0))*$C$15, 0)</f>
        <v>0</v>
      </c>
      <c r="AA14" s="280">
        <f>+IFERROR(INDEX(Assumptions!$F$5:$F$16, MATCH(AA13, Assumptions!$D$5:$D$16, 0))*$C$15, 0)</f>
        <v>0</v>
      </c>
      <c r="AB14" s="280">
        <f>+IFERROR(INDEX(Assumptions!$F$5:$F$16, MATCH(AB13, Assumptions!$D$5:$D$16, 0))*$C$15, 0)</f>
        <v>0</v>
      </c>
      <c r="AC14" s="280">
        <f>+IFERROR(INDEX(Assumptions!$F$5:$F$16, MATCH(AC13, Assumptions!$D$5:$D$16, 0))*$C$15, 0)</f>
        <v>5424.2758533204296</v>
      </c>
      <c r="AD14" s="280">
        <f>+IFERROR(INDEX(Assumptions!$F$5:$F$16, MATCH(AD13, Assumptions!$D$5:$D$16, 0))*$C$15, 0)</f>
        <v>775.80873005112676</v>
      </c>
      <c r="AE14" s="280">
        <f>+IFERROR(INDEX(Assumptions!$F$5:$F$16, MATCH(AE13, Assumptions!$D$5:$D$16, 0))*$C$15, 0)</f>
        <v>32151.700723854017</v>
      </c>
      <c r="AF14" s="280">
        <f>+IFERROR(INDEX(Assumptions!$F$5:$F$16, MATCH(AF13, Assumptions!$D$5:$D$16, 0))*$C$15, 0)</f>
        <v>2902.2908812357086</v>
      </c>
      <c r="AG14" s="280">
        <f>+IFERROR(INDEX(Assumptions!$F$5:$F$16, MATCH(AG13, Assumptions!$D$5:$D$16, 0))*$C$15, 0)</f>
        <v>131296.40086473405</v>
      </c>
      <c r="AH14" s="280">
        <f>+IFERROR(INDEX(Assumptions!$F$5:$F$16, MATCH(AH13, Assumptions!$D$5:$D$16, 0))*$C$15, 0)</f>
        <v>235458.92332221521</v>
      </c>
      <c r="AI14" s="280">
        <f>+IFERROR(INDEX(Assumptions!$F$5:$F$16, MATCH(AI13, Assumptions!$D$5:$D$16, 0))*$C$15, 0)</f>
        <v>158656.30140797046</v>
      </c>
      <c r="AJ14" s="280">
        <f>+IFERROR(INDEX(Assumptions!$F$5:$F$16, MATCH(AJ13, Assumptions!$D$5:$D$16, 0))*$C$15, 0)</f>
        <v>104693.28098557719</v>
      </c>
      <c r="AK14" s="280">
        <f>+IFERROR(INDEX(Assumptions!$F$5:$F$16, MATCH(AK13, Assumptions!$D$5:$D$16, 0))*$C$15, 0)</f>
        <v>21918.576053625944</v>
      </c>
      <c r="AL14" s="280">
        <f>+IFERROR(INDEX(Assumptions!$F$5:$F$16, MATCH(AL13, Assumptions!$D$5:$D$16, 0))*$C$15, 0)</f>
        <v>167852.58804045615</v>
      </c>
      <c r="AM14" s="280">
        <f>+IFERROR(INDEX(Assumptions!$F$5:$F$16, MATCH(AM13, Assumptions!$D$5:$D$16, 0))*$C$15, 0)</f>
        <v>38869.853136959719</v>
      </c>
      <c r="AN14" s="280">
        <f>+IFERROR(INDEX(Assumptions!$F$5:$F$16, MATCH(AN13, Assumptions!$D$5:$D$16, 0))*$C$15, 0)</f>
        <v>0</v>
      </c>
      <c r="AO14" s="280">
        <f>+IFERROR(INDEX(Assumptions!$F$5:$F$16, MATCH(AO13, Assumptions!$D$5:$D$16, 0))*$C$15, 0)</f>
        <v>0</v>
      </c>
      <c r="AP14" s="280">
        <f>+IFERROR(INDEX(Assumptions!$F$5:$F$16, MATCH(AP13, Assumptions!$D$5:$D$16, 0))*$C$15, 0)</f>
        <v>0</v>
      </c>
      <c r="AQ14" s="280">
        <f>+IFERROR(INDEX(Assumptions!$F$5:$F$16, MATCH(AQ13, Assumptions!$D$5:$D$16, 0))*$C$15, 0)</f>
        <v>0</v>
      </c>
      <c r="AR14" s="280">
        <f>+IFERROR(INDEX(Assumptions!$F$5:$F$16, MATCH(AR13, Assumptions!$D$5:$D$16, 0))*$C$15, 0)</f>
        <v>0</v>
      </c>
      <c r="AS14" s="280">
        <f>+IFERROR(INDEX(Assumptions!$F$5:$F$16, MATCH(AS13, Assumptions!$D$5:$D$16, 0))*$C$15, 0)</f>
        <v>0</v>
      </c>
      <c r="AT14" s="280">
        <f>+IFERROR(INDEX(Assumptions!$F$5:$F$16, MATCH(AT13, Assumptions!$D$5:$D$16, 0))*$C$15, 0)</f>
        <v>0</v>
      </c>
      <c r="AU14" s="280">
        <f>+IFERROR(INDEX(Assumptions!$F$5:$F$16, MATCH(AU13, Assumptions!$D$5:$D$16, 0))*$C$15, 0)</f>
        <v>0</v>
      </c>
      <c r="AV14" s="280">
        <f>+IFERROR(INDEX(Assumptions!$F$5:$F$16, MATCH(AV13, Assumptions!$D$5:$D$16, 0))*$C$15, 0)</f>
        <v>0</v>
      </c>
      <c r="AW14" s="280">
        <f>+IFERROR(INDEX(Assumptions!$F$5:$F$16, MATCH(AW13, Assumptions!$D$5:$D$16, 0))*$C$15, 0)</f>
        <v>0</v>
      </c>
      <c r="AX14" s="280">
        <f>+IFERROR(INDEX(Assumptions!$F$5:$F$16, MATCH(AX13, Assumptions!$D$5:$D$16, 0))*$C$15, 0)</f>
        <v>0</v>
      </c>
      <c r="AY14" s="280">
        <f>+IFERROR(INDEX(Assumptions!$F$5:$F$16, MATCH(AY13, Assumptions!$D$5:$D$16, 0))*$C$15, 0)</f>
        <v>0</v>
      </c>
      <c r="AZ14" s="280">
        <f>+IFERROR(INDEX(Assumptions!$F$5:$F$16, MATCH(AZ13, Assumptions!$D$5:$D$16, 0))*$C$15, 0)</f>
        <v>0</v>
      </c>
      <c r="BA14" s="280">
        <f>+IFERROR(INDEX(Assumptions!$F$5:$F$16, MATCH(BA13, Assumptions!$D$5:$D$16, 0))*$C$15, 0)</f>
        <v>0</v>
      </c>
      <c r="BB14" s="280">
        <f>+IFERROR(INDEX(Assumptions!$F$5:$F$16, MATCH(BB13, Assumptions!$D$5:$D$16, 0))*$C$15, 0)</f>
        <v>0</v>
      </c>
      <c r="BC14" s="280">
        <f>+IFERROR(INDEX(Assumptions!$F$5:$F$16, MATCH(BC13, Assumptions!$D$5:$D$16, 0))*$C$15, 0)</f>
        <v>0</v>
      </c>
      <c r="BD14" s="280">
        <f>+IFERROR(INDEX(Assumptions!$F$5:$F$16, MATCH(BD13, Assumptions!$D$5:$D$16, 0))*$C$15, 0)</f>
        <v>0</v>
      </c>
      <c r="BE14" s="280">
        <f>+IFERROR(INDEX(Assumptions!$F$5:$F$16, MATCH(BE13, Assumptions!$D$5:$D$16, 0))*$C$15, 0)</f>
        <v>0</v>
      </c>
      <c r="BF14" s="280">
        <f>+IFERROR(INDEX(Assumptions!$F$5:$F$16, MATCH(BF13, Assumptions!$D$5:$D$16, 0))*$C$15, 0)</f>
        <v>0</v>
      </c>
      <c r="BG14" s="280">
        <f>+IFERROR(INDEX(Assumptions!$F$5:$F$16, MATCH(BG13, Assumptions!$D$5:$D$16, 0))*$C$15, 0)</f>
        <v>0</v>
      </c>
      <c r="BH14" s="280">
        <f>+IFERROR(INDEX(Assumptions!$F$5:$F$16, MATCH(BH13, Assumptions!$D$5:$D$16, 0))*$C$15, 0)</f>
        <v>0</v>
      </c>
      <c r="BI14" s="280">
        <f>+IFERROR(INDEX(Assumptions!$F$5:$F$16, MATCH(BI13, Assumptions!$D$5:$D$16, 0))*$C$15, 0)</f>
        <v>0</v>
      </c>
      <c r="BJ14" s="280">
        <f>+IFERROR(INDEX(Assumptions!$F$5:$F$16, MATCH(BJ13, Assumptions!$D$5:$D$16, 0))*$C$15, 0)</f>
        <v>0</v>
      </c>
      <c r="BK14" s="280">
        <f>+IFERROR(INDEX(Assumptions!$F$5:$F$16, MATCH(BK13, Assumptions!$D$5:$D$16, 0))*$C$15, 0)</f>
        <v>0</v>
      </c>
      <c r="BL14" s="280">
        <f>+IFERROR(INDEX(Assumptions!$F$5:$F$16, MATCH(BL13, Assumptions!$D$5:$D$16, 0))*$C$15, 0)</f>
        <v>0</v>
      </c>
      <c r="BM14" s="280">
        <f>+IFERROR(INDEX(Assumptions!$F$5:$F$16, MATCH(BM13, Assumptions!$D$5:$D$16, 0))*$C$15, 0)</f>
        <v>0</v>
      </c>
      <c r="BN14" s="280">
        <f>+IFERROR(INDEX(Assumptions!$F$5:$F$16, MATCH(BN13, Assumptions!$D$5:$D$16, 0))*$C$15, 0)</f>
        <v>0</v>
      </c>
      <c r="BO14" s="280">
        <f>+IFERROR(INDEX(Assumptions!$F$5:$F$16, MATCH(BO13, Assumptions!$D$5:$D$16, 0))*$C$15, 0)</f>
        <v>0</v>
      </c>
      <c r="BP14" s="280">
        <f>+IFERROR(INDEX(Assumptions!$F$5:$F$16, MATCH(BP13, Assumptions!$D$5:$D$16, 0))*$C$15, 0)</f>
        <v>0</v>
      </c>
      <c r="BQ14" s="280">
        <f>+IFERROR(INDEX(Assumptions!$F$5:$F$16, MATCH(BQ13, Assumptions!$D$5:$D$16, 0))*$C$15, 0)</f>
        <v>0</v>
      </c>
      <c r="BR14" s="280">
        <f>+IFERROR(INDEX(Assumptions!$F$5:$F$16, MATCH(BR13, Assumptions!$D$5:$D$16, 0))*$C$15, 0)</f>
        <v>0</v>
      </c>
      <c r="BS14" s="280">
        <f>+IFERROR(INDEX(Assumptions!$F$5:$F$16, MATCH(BS13, Assumptions!$D$5:$D$16, 0))*$C$15, 0)</f>
        <v>0</v>
      </c>
      <c r="BT14" s="280">
        <f>+IFERROR(INDEX(Assumptions!$F$5:$F$16, MATCH(BT13, Assumptions!$D$5:$D$16, 0))*$C$15, 0)</f>
        <v>0</v>
      </c>
      <c r="BU14" s="280">
        <f>+IFERROR(INDEX(Assumptions!$F$5:$F$16, MATCH(BU13, Assumptions!$D$5:$D$16, 0))*$C$15, 0)</f>
        <v>0</v>
      </c>
      <c r="BV14" s="280">
        <f>+IFERROR(INDEX(Assumptions!$F$5:$F$16, MATCH(BV13, Assumptions!$D$5:$D$16, 0))*$C$15, 0)</f>
        <v>0</v>
      </c>
      <c r="BW14" s="280">
        <f>+IFERROR(INDEX(Assumptions!$F$5:$F$16, MATCH(BW13, Assumptions!$D$5:$D$16, 0))*$C$15, 0)</f>
        <v>0</v>
      </c>
      <c r="BX14" s="280">
        <f>+IFERROR(INDEX(Assumptions!$F$5:$F$16, MATCH(BX13, Assumptions!$D$5:$D$16, 0))*$C$15, 0)</f>
        <v>0</v>
      </c>
      <c r="BY14" s="280">
        <f>+IFERROR(INDEX(Assumptions!$F$5:$F$16, MATCH(BY13, Assumptions!$D$5:$D$16, 0))*$C$15, 0)</f>
        <v>0</v>
      </c>
      <c r="BZ14" s="280">
        <f>+IFERROR(INDEX(Assumptions!$F$5:$F$16, MATCH(BZ13, Assumptions!$D$5:$D$16, 0))*$C$15, 0)</f>
        <v>0</v>
      </c>
      <c r="CA14" s="280">
        <f>+IFERROR(INDEX(Assumptions!$F$5:$F$16, MATCH(CA13, Assumptions!$D$5:$D$16, 0))*$C$15, 0)</f>
        <v>0</v>
      </c>
      <c r="CB14" s="280">
        <f>+IFERROR(INDEX(Assumptions!$F$5:$F$16, MATCH(CB13, Assumptions!$D$5:$D$16, 0))*$C$15, 0)</f>
        <v>0</v>
      </c>
      <c r="CC14" s="280">
        <f>+IFERROR(INDEX(Assumptions!$F$5:$F$16, MATCH(CC13, Assumptions!$D$5:$D$16, 0))*$C$15, 0)</f>
        <v>0</v>
      </c>
      <c r="CD14" s="280">
        <f>+IFERROR(INDEX(Assumptions!$F$5:$F$16, MATCH(CD13, Assumptions!$D$5:$D$16, 0))*$C$15, 0)</f>
        <v>0</v>
      </c>
      <c r="CE14" s="280">
        <f>+IFERROR(INDEX(Assumptions!$F$5:$F$16, MATCH(CE13, Assumptions!$D$5:$D$16, 0))*$C$15, 0)</f>
        <v>0</v>
      </c>
      <c r="CF14" s="280">
        <f>+IFERROR(INDEX(Assumptions!$F$5:$F$16, MATCH(CF13, Assumptions!$D$5:$D$16, 0))*$C$15, 0)</f>
        <v>0</v>
      </c>
      <c r="CG14" s="280">
        <f>+IFERROR(INDEX(Assumptions!$F$5:$F$16, MATCH(CG13, Assumptions!$D$5:$D$16, 0))*$C$15, 0)</f>
        <v>0</v>
      </c>
      <c r="CH14" s="280">
        <f>+IFERROR(INDEX(Assumptions!$F$5:$F$16, MATCH(CH13, Assumptions!$D$5:$D$16, 0))*$C$15, 0)</f>
        <v>0</v>
      </c>
      <c r="CI14" s="280">
        <f>+IFERROR(INDEX(Assumptions!$F$5:$F$16, MATCH(CI13, Assumptions!$D$5:$D$16, 0))*$C$15, 0)</f>
        <v>0</v>
      </c>
      <c r="CJ14" s="280">
        <f>+IFERROR(INDEX(Assumptions!$F$5:$F$16, MATCH(CJ13, Assumptions!$D$5:$D$16, 0))*$C$15, 0)</f>
        <v>0</v>
      </c>
      <c r="CK14" s="280">
        <f>+IFERROR(INDEX(Assumptions!$F$5:$F$16, MATCH(CK13, Assumptions!$D$5:$D$16, 0))*$C$15, 0)</f>
        <v>0</v>
      </c>
      <c r="CL14" s="280">
        <f>+IFERROR(INDEX(Assumptions!$F$5:$F$16, MATCH(CL13, Assumptions!$D$5:$D$16, 0))*$C$15, 0)</f>
        <v>0</v>
      </c>
      <c r="CM14" s="280">
        <f>+IFERROR(INDEX(Assumptions!$F$5:$F$16, MATCH(CM13, Assumptions!$D$5:$D$16, 0))*$C$15, 0)</f>
        <v>0</v>
      </c>
      <c r="CN14" s="280">
        <f>+IFERROR(INDEX(Assumptions!$F$5:$F$16, MATCH(CN13, Assumptions!$D$5:$D$16, 0))*$C$15, 0)</f>
        <v>0</v>
      </c>
      <c r="CO14" s="280">
        <f>+IFERROR(INDEX(Assumptions!$F$5:$F$16, MATCH(CO13, Assumptions!$D$5:$D$16, 0))*$C$15, 0)</f>
        <v>0</v>
      </c>
      <c r="CP14" s="280">
        <f>+IFERROR(INDEX(Assumptions!$F$5:$F$16, MATCH(CP13, Assumptions!$D$5:$D$16, 0))*$C$15, 0)</f>
        <v>0</v>
      </c>
      <c r="CQ14" s="280">
        <f>+IFERROR(INDEX(Assumptions!$F$5:$F$16, MATCH(CQ13, Assumptions!$D$5:$D$16, 0))*$C$15, 0)</f>
        <v>0</v>
      </c>
      <c r="CR14" s="280">
        <f>+IFERROR(INDEX(Assumptions!$F$5:$F$16, MATCH(CR13, Assumptions!$D$5:$D$16, 0))*$C$15, 0)</f>
        <v>0</v>
      </c>
      <c r="CS14" s="280">
        <f>+IFERROR(INDEX(Assumptions!$F$5:$F$16, MATCH(CS13, Assumptions!$D$5:$D$16, 0))*$C$15, 0)</f>
        <v>0</v>
      </c>
      <c r="CT14" s="280">
        <f>+IFERROR(INDEX(Assumptions!$F$5:$F$16, MATCH(CT13, Assumptions!$D$5:$D$16, 0))*$C$15, 0)</f>
        <v>0</v>
      </c>
      <c r="CU14" s="280">
        <f>+IFERROR(INDEX(Assumptions!$F$5:$F$16, MATCH(CU13, Assumptions!$D$5:$D$16, 0))*$C$15, 0)</f>
        <v>0</v>
      </c>
      <c r="CV14" s="280">
        <f>+IFERROR(INDEX(Assumptions!$F$5:$F$16, MATCH(CV13, Assumptions!$D$5:$D$16, 0))*$C$15, 0)</f>
        <v>0</v>
      </c>
      <c r="CW14" s="280">
        <f>+IFERROR(INDEX(Assumptions!$F$5:$F$16, MATCH(CW13, Assumptions!$D$5:$D$16, 0))*$C$15, 0)</f>
        <v>0</v>
      </c>
      <c r="CX14" s="280">
        <f>+IFERROR(INDEX(Assumptions!$F$5:$F$16, MATCH(CX13, Assumptions!$D$5:$D$16, 0))*$C$15, 0)</f>
        <v>0</v>
      </c>
      <c r="CY14" s="280">
        <f>+IFERROR(INDEX(Assumptions!$F$5:$F$16, MATCH(CY13, Assumptions!$D$5:$D$16, 0))*$C$15, 0)</f>
        <v>0</v>
      </c>
      <c r="CZ14" s="280">
        <f>+IFERROR(INDEX(Assumptions!$F$5:$F$16, MATCH(CZ13, Assumptions!$D$5:$D$16, 0))*$C$15, 0)</f>
        <v>0</v>
      </c>
      <c r="DA14" s="280">
        <f>+IFERROR(INDEX(Assumptions!$F$5:$F$16, MATCH(DA13, Assumptions!$D$5:$D$16, 0))*$C$15, 0)</f>
        <v>0</v>
      </c>
      <c r="DB14" s="280">
        <f>+IFERROR(INDEX(Assumptions!$F$5:$F$16, MATCH(DB13, Assumptions!$D$5:$D$16, 0))*$C$15, 0)</f>
        <v>0</v>
      </c>
      <c r="DC14" s="280">
        <f>+IFERROR(INDEX(Assumptions!$F$5:$F$16, MATCH(DC13, Assumptions!$D$5:$D$16, 0))*$C$15, 0)</f>
        <v>0</v>
      </c>
      <c r="DD14" s="280">
        <f>+IFERROR(INDEX(Assumptions!$F$5:$F$16, MATCH(DD13, Assumptions!$D$5:$D$16, 0))*$C$15, 0)</f>
        <v>0</v>
      </c>
      <c r="DE14" s="280">
        <f>+IFERROR(INDEX(Assumptions!$F$5:$F$16, MATCH(DE13, Assumptions!$D$5:$D$16, 0))*$C$15, 0)</f>
        <v>0</v>
      </c>
      <c r="DF14" s="280">
        <f>+IFERROR(INDEX(Assumptions!$F$5:$F$16, MATCH(DF13, Assumptions!$D$5:$D$16, 0))*$C$15, 0)</f>
        <v>0</v>
      </c>
      <c r="DG14" s="280">
        <f>+IFERROR(INDEX(Assumptions!$F$5:$F$16, MATCH(DG13, Assumptions!$D$5:$D$16, 0))*$C$15, 0)</f>
        <v>0</v>
      </c>
      <c r="DH14" s="280">
        <f>+IFERROR(INDEX(Assumptions!$F$5:$F$16, MATCH(DH13, Assumptions!$D$5:$D$16, 0))*$C$15, 0)</f>
        <v>0</v>
      </c>
    </row>
    <row r="15" spans="2:112" x14ac:dyDescent="0.3">
      <c r="B15" t="s">
        <v>242</v>
      </c>
      <c r="C15" s="208">
        <v>900000</v>
      </c>
      <c r="D15" t="s">
        <v>294</v>
      </c>
      <c r="E15" s="459"/>
      <c r="F15" s="459">
        <f>+F14+E15</f>
        <v>0</v>
      </c>
      <c r="G15" s="459">
        <f t="shared" ref="G15:V15" si="27">+G14+F15</f>
        <v>0</v>
      </c>
      <c r="H15" s="459">
        <f t="shared" si="27"/>
        <v>0</v>
      </c>
      <c r="I15" s="459">
        <f t="shared" si="27"/>
        <v>0</v>
      </c>
      <c r="J15" s="459">
        <f t="shared" si="27"/>
        <v>0</v>
      </c>
      <c r="K15" s="459">
        <f t="shared" si="27"/>
        <v>0</v>
      </c>
      <c r="L15" s="459">
        <f t="shared" si="27"/>
        <v>0</v>
      </c>
      <c r="M15" s="459">
        <f t="shared" si="27"/>
        <v>0</v>
      </c>
      <c r="N15" s="459">
        <f t="shared" si="27"/>
        <v>0</v>
      </c>
      <c r="O15" s="459">
        <f t="shared" si="27"/>
        <v>0</v>
      </c>
      <c r="P15" s="459">
        <f t="shared" si="27"/>
        <v>0</v>
      </c>
      <c r="Q15" s="459">
        <f t="shared" si="27"/>
        <v>0</v>
      </c>
      <c r="R15" s="459">
        <f t="shared" si="27"/>
        <v>0</v>
      </c>
      <c r="S15" s="459">
        <f t="shared" si="27"/>
        <v>0</v>
      </c>
      <c r="T15" s="459">
        <f t="shared" si="27"/>
        <v>0</v>
      </c>
      <c r="U15" s="459">
        <f t="shared" si="27"/>
        <v>0</v>
      </c>
      <c r="V15" s="535">
        <f t="shared" si="27"/>
        <v>0</v>
      </c>
      <c r="W15" s="147">
        <f t="shared" ref="W15:AK15" si="28">+W14+V15</f>
        <v>0</v>
      </c>
      <c r="X15" s="147">
        <f t="shared" si="28"/>
        <v>0</v>
      </c>
      <c r="Y15" s="347">
        <f t="shared" si="28"/>
        <v>0</v>
      </c>
      <c r="Z15" s="280">
        <f t="shared" si="28"/>
        <v>0</v>
      </c>
      <c r="AA15" s="280">
        <f t="shared" si="28"/>
        <v>0</v>
      </c>
      <c r="AB15" s="280">
        <f t="shared" si="28"/>
        <v>0</v>
      </c>
      <c r="AC15" s="280">
        <f t="shared" si="28"/>
        <v>5424.2758533204296</v>
      </c>
      <c r="AD15" s="280">
        <f t="shared" si="28"/>
        <v>6200.0845833715566</v>
      </c>
      <c r="AE15" s="280">
        <f t="shared" si="28"/>
        <v>38351.785307225575</v>
      </c>
      <c r="AF15" s="280">
        <f t="shared" si="28"/>
        <v>41254.07618846128</v>
      </c>
      <c r="AG15" s="280">
        <f t="shared" si="28"/>
        <v>172550.47705319533</v>
      </c>
      <c r="AH15" s="280">
        <f t="shared" si="28"/>
        <v>408009.40037541057</v>
      </c>
      <c r="AI15" s="280">
        <f t="shared" si="28"/>
        <v>566665.70178338105</v>
      </c>
      <c r="AJ15" s="280">
        <f t="shared" si="28"/>
        <v>671358.9827689582</v>
      </c>
      <c r="AK15" s="280">
        <f t="shared" si="28"/>
        <v>693277.55882258411</v>
      </c>
      <c r="AL15" s="280">
        <f t="shared" ref="AL15:CV15" si="29">+AL14+AK15</f>
        <v>861130.14686304028</v>
      </c>
      <c r="AM15" s="280">
        <f t="shared" si="29"/>
        <v>900000</v>
      </c>
      <c r="AN15" s="280">
        <f t="shared" si="29"/>
        <v>900000</v>
      </c>
      <c r="AO15" s="280">
        <f t="shared" si="29"/>
        <v>900000</v>
      </c>
      <c r="AP15" s="280">
        <f t="shared" si="29"/>
        <v>900000</v>
      </c>
      <c r="AQ15" s="280">
        <f t="shared" si="29"/>
        <v>900000</v>
      </c>
      <c r="AR15" s="280">
        <f t="shared" si="29"/>
        <v>900000</v>
      </c>
      <c r="AS15" s="280">
        <f t="shared" si="29"/>
        <v>900000</v>
      </c>
      <c r="AT15" s="280">
        <f t="shared" si="29"/>
        <v>900000</v>
      </c>
      <c r="AU15" s="280">
        <f t="shared" si="29"/>
        <v>900000</v>
      </c>
      <c r="AV15" s="280">
        <f t="shared" si="29"/>
        <v>900000</v>
      </c>
      <c r="AW15" s="280">
        <f t="shared" si="29"/>
        <v>900000</v>
      </c>
      <c r="AX15" s="280">
        <f t="shared" si="29"/>
        <v>900000</v>
      </c>
      <c r="AY15" s="280">
        <f t="shared" si="29"/>
        <v>900000</v>
      </c>
      <c r="AZ15" s="280">
        <f t="shared" si="29"/>
        <v>900000</v>
      </c>
      <c r="BA15" s="280">
        <f t="shared" si="29"/>
        <v>900000</v>
      </c>
      <c r="BB15" s="280">
        <f t="shared" si="29"/>
        <v>900000</v>
      </c>
      <c r="BC15" s="280">
        <f t="shared" si="29"/>
        <v>900000</v>
      </c>
      <c r="BD15" s="280">
        <f t="shared" si="29"/>
        <v>900000</v>
      </c>
      <c r="BE15" s="280">
        <f t="shared" si="29"/>
        <v>900000</v>
      </c>
      <c r="BF15" s="280">
        <f t="shared" si="29"/>
        <v>900000</v>
      </c>
      <c r="BG15" s="280">
        <f t="shared" si="29"/>
        <v>900000</v>
      </c>
      <c r="BH15" s="280">
        <f t="shared" si="29"/>
        <v>900000</v>
      </c>
      <c r="BI15" s="280">
        <f t="shared" si="29"/>
        <v>900000</v>
      </c>
      <c r="BJ15" s="280">
        <f t="shared" si="29"/>
        <v>900000</v>
      </c>
      <c r="BK15" s="280">
        <f t="shared" si="29"/>
        <v>900000</v>
      </c>
      <c r="BL15" s="280">
        <f t="shared" si="29"/>
        <v>900000</v>
      </c>
      <c r="BM15" s="280">
        <f t="shared" si="29"/>
        <v>900000</v>
      </c>
      <c r="BN15" s="280">
        <f t="shared" si="29"/>
        <v>900000</v>
      </c>
      <c r="BO15" s="280">
        <f t="shared" si="29"/>
        <v>900000</v>
      </c>
      <c r="BP15" s="280">
        <f t="shared" si="29"/>
        <v>900000</v>
      </c>
      <c r="BQ15" s="280">
        <f t="shared" si="29"/>
        <v>900000</v>
      </c>
      <c r="BR15" s="280">
        <f t="shared" si="29"/>
        <v>900000</v>
      </c>
      <c r="BS15" s="280">
        <f t="shared" si="29"/>
        <v>900000</v>
      </c>
      <c r="BT15" s="280">
        <f t="shared" si="29"/>
        <v>900000</v>
      </c>
      <c r="BU15" s="280">
        <f t="shared" si="29"/>
        <v>900000</v>
      </c>
      <c r="BV15" s="280">
        <f t="shared" si="29"/>
        <v>900000</v>
      </c>
      <c r="BW15" s="280">
        <f t="shared" si="29"/>
        <v>900000</v>
      </c>
      <c r="BX15" s="280">
        <f t="shared" si="29"/>
        <v>900000</v>
      </c>
      <c r="BY15" s="280">
        <f t="shared" si="29"/>
        <v>900000</v>
      </c>
      <c r="BZ15" s="280">
        <f t="shared" si="29"/>
        <v>900000</v>
      </c>
      <c r="CA15" s="280">
        <f t="shared" si="29"/>
        <v>900000</v>
      </c>
      <c r="CB15" s="280">
        <f t="shared" si="29"/>
        <v>900000</v>
      </c>
      <c r="CC15" s="280">
        <f t="shared" si="29"/>
        <v>900000</v>
      </c>
      <c r="CD15" s="280">
        <f t="shared" si="29"/>
        <v>900000</v>
      </c>
      <c r="CE15" s="280">
        <f t="shared" si="29"/>
        <v>900000</v>
      </c>
      <c r="CF15" s="280">
        <f t="shared" si="29"/>
        <v>900000</v>
      </c>
      <c r="CG15" s="280">
        <f t="shared" si="29"/>
        <v>900000</v>
      </c>
      <c r="CH15" s="280">
        <f t="shared" si="29"/>
        <v>900000</v>
      </c>
      <c r="CI15" s="280">
        <f t="shared" si="29"/>
        <v>900000</v>
      </c>
      <c r="CJ15" s="280">
        <f t="shared" si="29"/>
        <v>900000</v>
      </c>
      <c r="CK15" s="280">
        <f t="shared" si="29"/>
        <v>900000</v>
      </c>
      <c r="CL15" s="280">
        <f t="shared" si="29"/>
        <v>900000</v>
      </c>
      <c r="CM15" s="280">
        <f t="shared" si="29"/>
        <v>900000</v>
      </c>
      <c r="CN15" s="280">
        <f t="shared" si="29"/>
        <v>900000</v>
      </c>
      <c r="CO15" s="280">
        <f t="shared" si="29"/>
        <v>900000</v>
      </c>
      <c r="CP15" s="280">
        <f t="shared" si="29"/>
        <v>900000</v>
      </c>
      <c r="CQ15" s="280">
        <f t="shared" si="29"/>
        <v>900000</v>
      </c>
      <c r="CR15" s="280">
        <f t="shared" si="29"/>
        <v>900000</v>
      </c>
      <c r="CS15" s="280">
        <f t="shared" si="29"/>
        <v>900000</v>
      </c>
      <c r="CT15" s="280">
        <f t="shared" si="29"/>
        <v>900000</v>
      </c>
      <c r="CU15" s="280">
        <f t="shared" si="29"/>
        <v>900000</v>
      </c>
      <c r="CV15" s="280">
        <f t="shared" si="29"/>
        <v>900000</v>
      </c>
      <c r="CW15" s="280">
        <f t="shared" ref="CW15" si="30">+CW14+CV15</f>
        <v>900000</v>
      </c>
      <c r="CX15" s="280">
        <f t="shared" ref="CX15" si="31">+CX14+CW15</f>
        <v>900000</v>
      </c>
      <c r="CY15" s="280">
        <f t="shared" ref="CY15" si="32">+CY14+CX15</f>
        <v>900000</v>
      </c>
      <c r="CZ15" s="280">
        <f t="shared" ref="CZ15" si="33">+CZ14+CY15</f>
        <v>900000</v>
      </c>
      <c r="DA15" s="280">
        <f t="shared" ref="DA15" si="34">+DA14+CZ15</f>
        <v>900000</v>
      </c>
      <c r="DB15" s="280">
        <f t="shared" ref="DB15" si="35">+DB14+DA15</f>
        <v>900000</v>
      </c>
      <c r="DC15" s="280">
        <f t="shared" ref="DC15" si="36">+DC14+DB15</f>
        <v>900000</v>
      </c>
      <c r="DD15" s="280">
        <f t="shared" ref="DD15" si="37">+DD14+DC15</f>
        <v>900000</v>
      </c>
      <c r="DE15" s="280">
        <f t="shared" ref="DE15" si="38">+DE14+DD15</f>
        <v>900000</v>
      </c>
      <c r="DF15" s="280">
        <f t="shared" ref="DF15" si="39">+DF14+DE15</f>
        <v>900000</v>
      </c>
      <c r="DG15" s="280">
        <f t="shared" ref="DG15:DH15" si="40">+DG14+DF15</f>
        <v>900000</v>
      </c>
      <c r="DH15" s="280">
        <f t="shared" si="40"/>
        <v>900000</v>
      </c>
    </row>
    <row r="16" spans="2:112" x14ac:dyDescent="0.3">
      <c r="B16" t="s">
        <v>245</v>
      </c>
      <c r="C16" s="208">
        <v>620000</v>
      </c>
      <c r="D16" t="s">
        <v>243</v>
      </c>
      <c r="E16" s="460"/>
      <c r="F16" s="459">
        <f>+IFERROR(INDEX(Assumptions!$E$18:$E$29, MATCH(F13, Assumptions!$D$18:$D$29, 0))*$C$16, 0)</f>
        <v>0</v>
      </c>
      <c r="G16" s="460">
        <f>+IFERROR(INDEX(Assumptions!$E$18:$E$29, MATCH(G13, Assumptions!$D$18:$D$29, 0))*$C$16, 0)</f>
        <v>0</v>
      </c>
      <c r="H16" s="460">
        <f>+IFERROR(INDEX(Assumptions!$E$18:$E$29, MATCH(H13, Assumptions!$D$18:$D$29, 0))*$C$16, 0)</f>
        <v>0</v>
      </c>
      <c r="I16" s="460">
        <f>+IFERROR(INDEX(Assumptions!$E$18:$E$29, MATCH(I13, Assumptions!$D$18:$D$29, 0))*$C$16, 0)</f>
        <v>0</v>
      </c>
      <c r="J16" s="460">
        <f>+IFERROR(INDEX(Assumptions!$E$18:$E$29, MATCH(J13, Assumptions!$D$18:$D$29, 0))*$C$16, 0)</f>
        <v>0</v>
      </c>
      <c r="K16" s="460">
        <f>+IFERROR(INDEX(Assumptions!$E$18:$E$29, MATCH(K13, Assumptions!$D$18:$D$29, 0))*$C$16, 0)</f>
        <v>0</v>
      </c>
      <c r="L16" s="460">
        <f>+IFERROR(INDEX(Assumptions!$E$18:$E$29, MATCH(L13, Assumptions!$D$18:$D$29, 0))*$C$16, 0)</f>
        <v>0</v>
      </c>
      <c r="M16" s="460">
        <f>+IFERROR(INDEX(Assumptions!$E$18:$E$29, MATCH(M13, Assumptions!$D$18:$D$29, 0))*$C$16, 0)</f>
        <v>0</v>
      </c>
      <c r="N16" s="460">
        <f>+IFERROR(INDEX(Assumptions!$E$18:$E$29, MATCH(N13, Assumptions!$D$18:$D$29, 0))*$C$16, 0)</f>
        <v>0</v>
      </c>
      <c r="O16" s="460">
        <f>+IFERROR(INDEX(Assumptions!$E$18:$E$29, MATCH(O13, Assumptions!$D$18:$D$29, 0))*$C$16, 0)</f>
        <v>0</v>
      </c>
      <c r="P16" s="460">
        <f>+IFERROR(INDEX(Assumptions!$E$18:$E$29, MATCH(P13, Assumptions!$D$18:$D$29, 0))*$C$16, 0)</f>
        <v>0</v>
      </c>
      <c r="Q16" s="460">
        <f>+IFERROR(INDEX(Assumptions!$E$18:$E$29, MATCH(Q13, Assumptions!$D$18:$D$29, 0))*$C$16, 0)</f>
        <v>0</v>
      </c>
      <c r="R16" s="460">
        <f>+IFERROR(INDEX(Assumptions!$E$18:$E$29, MATCH(R13, Assumptions!$D$18:$D$29, 0))*$C$16, 0)</f>
        <v>0</v>
      </c>
      <c r="S16" s="460">
        <f>+IFERROR(INDEX(Assumptions!$E$18:$E$29, MATCH(S13, Assumptions!$D$18:$D$29, 0))*$C$16, 0)</f>
        <v>0</v>
      </c>
      <c r="T16" s="460">
        <f>+IFERROR(INDEX(Assumptions!$E$18:$E$29, MATCH(T13, Assumptions!$D$18:$D$29, 0))*$C$16, 0)</f>
        <v>0</v>
      </c>
      <c r="U16" s="459">
        <f>+IFERROR(INDEX(Assumptions!$E$18:$E$29, MATCH(U13, Assumptions!$D$18:$D$29, 0))*$C$16, 0)</f>
        <v>0</v>
      </c>
      <c r="V16" s="535">
        <f>+IFERROR(INDEX(Assumptions!$E$18:$E$29, MATCH(V13, Assumptions!$D$18:$D$29, 0))*$C$16, 0)</f>
        <v>0</v>
      </c>
      <c r="W16" s="147">
        <f>+IFERROR(INDEX(Assumptions!$E$18:$E$29, MATCH(W13, Assumptions!$D$18:$D$29, 0))*$C$16, 0)</f>
        <v>0</v>
      </c>
      <c r="X16" s="147">
        <f>+IFERROR(INDEX(Assumptions!$E$18:$E$29, MATCH(X13, Assumptions!$D$18:$D$29, 0))*$C$16, 0)</f>
        <v>0</v>
      </c>
      <c r="Y16" s="347">
        <f>+IFERROR(INDEX(Assumptions!$E$18:$E$29, MATCH(Y13, Assumptions!$D$18:$D$29, 0))*$C$16, 0)</f>
        <v>0</v>
      </c>
      <c r="Z16" s="280">
        <f>+IFERROR(INDEX(Assumptions!$E$18:$E$29, MATCH(Z13, Assumptions!$D$18:$D$29, 0))*$C$16, 0)</f>
        <v>0</v>
      </c>
      <c r="AA16" s="280">
        <f>+IFERROR(INDEX(Assumptions!$E$18:$E$29, MATCH(AA13, Assumptions!$D$18:$D$29, 0))*$C$16, 0)</f>
        <v>0</v>
      </c>
      <c r="AB16" s="280">
        <f>+IFERROR(INDEX(Assumptions!$E$18:$E$29, MATCH(AB13, Assumptions!$D$18:$D$29, 0))*$C$16, 0)</f>
        <v>0</v>
      </c>
      <c r="AC16" s="280">
        <f>+IFERROR(INDEX(Assumptions!$E$18:$E$29, MATCH(AC13, Assumptions!$D$18:$D$29, 0))*$C$16, 0)</f>
        <v>3736.7233656207404</v>
      </c>
      <c r="AD16" s="280">
        <f>+IFERROR(INDEX(Assumptions!$E$18:$E$29, MATCH(AD13, Assumptions!$D$18:$D$29, 0))*$C$16, 0)</f>
        <v>534.44601403522063</v>
      </c>
      <c r="AE16" s="280">
        <f>+IFERROR(INDEX(Assumptions!$E$18:$E$29, MATCH(AE13, Assumptions!$D$18:$D$29, 0))*$C$16, 0)</f>
        <v>22148.949387543878</v>
      </c>
      <c r="AF16" s="280">
        <f>+IFERROR(INDEX(Assumptions!$E$18:$E$29, MATCH(AF13, Assumptions!$D$18:$D$29, 0))*$C$16, 0)</f>
        <v>1999.3559404068214</v>
      </c>
      <c r="AG16" s="280">
        <f>+IFERROR(INDEX(Assumptions!$E$18:$E$29, MATCH(AG13, Assumptions!$D$18:$D$29, 0))*$C$16, 0)</f>
        <v>90448.631706816799</v>
      </c>
      <c r="AH16" s="280">
        <f>+IFERROR(INDEX(Assumptions!$E$18:$E$29, MATCH(AH13, Assumptions!$D$18:$D$29, 0))*$C$16, 0)</f>
        <v>162205.0360664149</v>
      </c>
      <c r="AI16" s="280">
        <f>+IFERROR(INDEX(Assumptions!$E$18:$E$29, MATCH(AI13, Assumptions!$D$18:$D$29, 0))*$C$16, 0)</f>
        <v>109296.56319215742</v>
      </c>
      <c r="AJ16" s="280">
        <f>+IFERROR(INDEX(Assumptions!$E$18:$E$29, MATCH(AJ13, Assumptions!$D$18:$D$29, 0))*$C$16, 0)</f>
        <v>72122.038012286517</v>
      </c>
      <c r="AK16" s="280">
        <f>+IFERROR(INDEX(Assumptions!$E$18:$E$29, MATCH(AK13, Assumptions!$D$18:$D$29, 0))*$C$16, 0)</f>
        <v>15099.463503608984</v>
      </c>
      <c r="AL16" s="280">
        <f>+IFERROR(INDEX(Assumptions!$E$18:$E$29, MATCH(AL13, Assumptions!$D$18:$D$29, 0))*$C$16, 0)</f>
        <v>115631.78287231423</v>
      </c>
      <c r="AM16" s="280">
        <f>+IFERROR(INDEX(Assumptions!$E$18:$E$29, MATCH(AM13, Assumptions!$D$18:$D$29, 0))*$C$16, 0)</f>
        <v>26777.009938794472</v>
      </c>
      <c r="AN16" s="280">
        <f>+IFERROR(INDEX(Assumptions!$E$18:$E$29, MATCH(AN13, Assumptions!$D$18:$D$29, 0))*$C$16, 0)</f>
        <v>0</v>
      </c>
      <c r="AO16" s="280">
        <f>+IFERROR(INDEX(Assumptions!$E$18:$E$29, MATCH(AO13, Assumptions!$D$18:$D$29, 0))*$C$16, 0)</f>
        <v>0</v>
      </c>
      <c r="AP16" s="280">
        <f>+IFERROR(INDEX(Assumptions!$E$18:$E$29, MATCH(AP13, Assumptions!$D$18:$D$29, 0))*$C$16, 0)</f>
        <v>0</v>
      </c>
      <c r="AQ16" s="280">
        <f>+IFERROR(INDEX(Assumptions!$E$18:$E$29, MATCH(AQ13, Assumptions!$D$18:$D$29, 0))*$C$16, 0)</f>
        <v>0</v>
      </c>
      <c r="AR16" s="280">
        <f>+IFERROR(INDEX(Assumptions!$E$18:$E$29, MATCH(AR13, Assumptions!$D$18:$D$29, 0))*$C$16, 0)</f>
        <v>0</v>
      </c>
      <c r="AS16" s="280">
        <f>+IFERROR(INDEX(Assumptions!$E$18:$E$29, MATCH(AS13, Assumptions!$D$18:$D$29, 0))*$C$16, 0)</f>
        <v>0</v>
      </c>
      <c r="AT16" s="280">
        <f>+IFERROR(INDEX(Assumptions!$E$18:$E$29, MATCH(AT13, Assumptions!$D$18:$D$29, 0))*$C$16, 0)</f>
        <v>0</v>
      </c>
      <c r="AU16" s="280">
        <f>+IFERROR(INDEX(Assumptions!$E$18:$E$29, MATCH(AU13, Assumptions!$D$18:$D$29, 0))*$C$16, 0)</f>
        <v>0</v>
      </c>
      <c r="AV16" s="280">
        <f>+IFERROR(INDEX(Assumptions!$E$18:$E$29, MATCH(AV13, Assumptions!$D$18:$D$29, 0))*$C$16, 0)</f>
        <v>0</v>
      </c>
      <c r="AW16" s="280">
        <f>+IFERROR(INDEX(Assumptions!$E$18:$E$29, MATCH(AW13, Assumptions!$D$18:$D$29, 0))*$C$16, 0)</f>
        <v>0</v>
      </c>
      <c r="AX16" s="280">
        <f>+IFERROR(INDEX(Assumptions!$E$18:$E$29, MATCH(AX13, Assumptions!$D$18:$D$29, 0))*$C$16, 0)</f>
        <v>0</v>
      </c>
      <c r="AY16" s="280">
        <f>+IFERROR(INDEX(Assumptions!$E$18:$E$29, MATCH(AY13, Assumptions!$D$18:$D$29, 0))*$C$16, 0)</f>
        <v>0</v>
      </c>
      <c r="AZ16" s="280">
        <f>+IFERROR(INDEX(Assumptions!$E$18:$E$29, MATCH(AZ13, Assumptions!$D$18:$D$29, 0))*$C$16, 0)</f>
        <v>0</v>
      </c>
      <c r="BA16" s="280">
        <f>+IFERROR(INDEX(Assumptions!$E$18:$E$29, MATCH(BA13, Assumptions!$D$18:$D$29, 0))*$C$16, 0)</f>
        <v>0</v>
      </c>
      <c r="BB16" s="280">
        <f>+IFERROR(INDEX(Assumptions!$E$18:$E$29, MATCH(BB13, Assumptions!$D$18:$D$29, 0))*$C$16, 0)</f>
        <v>0</v>
      </c>
      <c r="BC16" s="280">
        <f>+IFERROR(INDEX(Assumptions!$E$18:$E$29, MATCH(BC13, Assumptions!$D$18:$D$29, 0))*$C$16, 0)</f>
        <v>0</v>
      </c>
      <c r="BD16" s="280">
        <f>+IFERROR(INDEX(Assumptions!$E$18:$E$29, MATCH(BD13, Assumptions!$D$18:$D$29, 0))*$C$16, 0)</f>
        <v>0</v>
      </c>
      <c r="BE16" s="280">
        <f>+IFERROR(INDEX(Assumptions!$E$18:$E$29, MATCH(BE13, Assumptions!$D$18:$D$29, 0))*$C$16, 0)</f>
        <v>0</v>
      </c>
      <c r="BF16" s="280">
        <f>+IFERROR(INDEX(Assumptions!$E$18:$E$29, MATCH(BF13, Assumptions!$D$18:$D$29, 0))*$C$16, 0)</f>
        <v>0</v>
      </c>
      <c r="BG16" s="280">
        <f>+IFERROR(INDEX(Assumptions!$E$18:$E$29, MATCH(BG13, Assumptions!$D$18:$D$29, 0))*$C$16, 0)</f>
        <v>0</v>
      </c>
      <c r="BH16" s="280">
        <f>+IFERROR(INDEX(Assumptions!$E$18:$E$29, MATCH(BH13, Assumptions!$D$18:$D$29, 0))*$C$16, 0)</f>
        <v>0</v>
      </c>
      <c r="BI16" s="280">
        <f>+IFERROR(INDEX(Assumptions!$E$18:$E$29, MATCH(BI13, Assumptions!$D$18:$D$29, 0))*$C$16, 0)</f>
        <v>0</v>
      </c>
      <c r="BJ16" s="280">
        <f>+IFERROR(INDEX(Assumptions!$E$18:$E$29, MATCH(BJ13, Assumptions!$D$18:$D$29, 0))*$C$16, 0)</f>
        <v>0</v>
      </c>
      <c r="BK16" s="280">
        <f>+IFERROR(INDEX(Assumptions!$E$18:$E$29, MATCH(BK13, Assumptions!$D$18:$D$29, 0))*$C$16, 0)</f>
        <v>0</v>
      </c>
      <c r="BL16" s="280">
        <f>+IFERROR(INDEX(Assumptions!$E$18:$E$29, MATCH(BL13, Assumptions!$D$18:$D$29, 0))*$C$16, 0)</f>
        <v>0</v>
      </c>
      <c r="BM16" s="280">
        <f>+IFERROR(INDEX(Assumptions!$E$18:$E$29, MATCH(BM13, Assumptions!$D$18:$D$29, 0))*$C$16, 0)</f>
        <v>0</v>
      </c>
      <c r="BN16" s="280">
        <f>+IFERROR(INDEX(Assumptions!$E$18:$E$29, MATCH(BN13, Assumptions!$D$18:$D$29, 0))*$C$16, 0)</f>
        <v>0</v>
      </c>
      <c r="BO16" s="280">
        <f>+IFERROR(INDEX(Assumptions!$E$18:$E$29, MATCH(BO13, Assumptions!$D$18:$D$29, 0))*$C$16, 0)</f>
        <v>0</v>
      </c>
      <c r="BP16" s="280">
        <f>+IFERROR(INDEX(Assumptions!$E$18:$E$29, MATCH(BP13, Assumptions!$D$18:$D$29, 0))*$C$16, 0)</f>
        <v>0</v>
      </c>
      <c r="BQ16" s="280">
        <f>+IFERROR(INDEX(Assumptions!$E$18:$E$29, MATCH(BQ13, Assumptions!$D$18:$D$29, 0))*$C$16, 0)</f>
        <v>0</v>
      </c>
      <c r="BR16" s="280">
        <f>+IFERROR(INDEX(Assumptions!$E$18:$E$29, MATCH(BR13, Assumptions!$D$18:$D$29, 0))*$C$16, 0)</f>
        <v>0</v>
      </c>
      <c r="BS16" s="280">
        <f>+IFERROR(INDEX(Assumptions!$E$18:$E$29, MATCH(BS13, Assumptions!$D$18:$D$29, 0))*$C$16, 0)</f>
        <v>0</v>
      </c>
      <c r="BT16" s="280">
        <f>+IFERROR(INDEX(Assumptions!$E$18:$E$29, MATCH(BT13, Assumptions!$D$18:$D$29, 0))*$C$16, 0)</f>
        <v>0</v>
      </c>
      <c r="BU16" s="280">
        <f>+IFERROR(INDEX(Assumptions!$E$18:$E$29, MATCH(BU13, Assumptions!$D$18:$D$29, 0))*$C$16, 0)</f>
        <v>0</v>
      </c>
      <c r="BV16" s="280">
        <f>+IFERROR(INDEX(Assumptions!$E$18:$E$29, MATCH(BV13, Assumptions!$D$18:$D$29, 0))*$C$16, 0)</f>
        <v>0</v>
      </c>
      <c r="BW16" s="280">
        <f>+IFERROR(INDEX(Assumptions!$E$18:$E$29, MATCH(BW13, Assumptions!$D$18:$D$29, 0))*$C$16, 0)</f>
        <v>0</v>
      </c>
      <c r="BX16" s="280">
        <f>+IFERROR(INDEX(Assumptions!$E$18:$E$29, MATCH(BX13, Assumptions!$D$18:$D$29, 0))*$C$16, 0)</f>
        <v>0</v>
      </c>
      <c r="BY16" s="280">
        <f>+IFERROR(INDEX(Assumptions!$E$18:$E$29, MATCH(BY13, Assumptions!$D$18:$D$29, 0))*$C$16, 0)</f>
        <v>0</v>
      </c>
      <c r="BZ16" s="280">
        <f>+IFERROR(INDEX(Assumptions!$E$18:$E$29, MATCH(BZ13, Assumptions!$D$18:$D$29, 0))*$C$16, 0)</f>
        <v>0</v>
      </c>
      <c r="CA16" s="280">
        <f>+IFERROR(INDEX(Assumptions!$E$18:$E$29, MATCH(CA13, Assumptions!$D$18:$D$29, 0))*$C$16, 0)</f>
        <v>0</v>
      </c>
      <c r="CB16" s="280">
        <f>+IFERROR(INDEX(Assumptions!$E$18:$E$29, MATCH(CB13, Assumptions!$D$18:$D$29, 0))*$C$16, 0)</f>
        <v>0</v>
      </c>
      <c r="CC16" s="280">
        <f>+IFERROR(INDEX(Assumptions!$E$18:$E$29, MATCH(CC13, Assumptions!$D$18:$D$29, 0))*$C$16, 0)</f>
        <v>0</v>
      </c>
      <c r="CD16" s="280">
        <f>+IFERROR(INDEX(Assumptions!$E$18:$E$29, MATCH(CD13, Assumptions!$D$18:$D$29, 0))*$C$16, 0)</f>
        <v>0</v>
      </c>
      <c r="CE16" s="280">
        <f>+IFERROR(INDEX(Assumptions!$E$18:$E$29, MATCH(CE13, Assumptions!$D$18:$D$29, 0))*$C$16, 0)</f>
        <v>0</v>
      </c>
      <c r="CF16" s="280">
        <f>+IFERROR(INDEX(Assumptions!$E$18:$E$29, MATCH(CF13, Assumptions!$D$18:$D$29, 0))*$C$16, 0)</f>
        <v>0</v>
      </c>
      <c r="CG16" s="280">
        <f>+IFERROR(INDEX(Assumptions!$E$18:$E$29, MATCH(CG13, Assumptions!$D$18:$D$29, 0))*$C$16, 0)</f>
        <v>0</v>
      </c>
      <c r="CH16" s="280">
        <f>+IFERROR(INDEX(Assumptions!$E$18:$E$29, MATCH(CH13, Assumptions!$D$18:$D$29, 0))*$C$16, 0)</f>
        <v>0</v>
      </c>
      <c r="CI16" s="280">
        <f>+IFERROR(INDEX(Assumptions!$E$18:$E$29, MATCH(CI13, Assumptions!$D$18:$D$29, 0))*$C$16, 0)</f>
        <v>0</v>
      </c>
      <c r="CJ16" s="280">
        <f>+IFERROR(INDEX(Assumptions!$E$18:$E$29, MATCH(CJ13, Assumptions!$D$18:$D$29, 0))*$C$16, 0)</f>
        <v>0</v>
      </c>
      <c r="CK16" s="280">
        <f>+IFERROR(INDEX(Assumptions!$E$18:$E$29, MATCH(CK13, Assumptions!$D$18:$D$29, 0))*$C$16, 0)</f>
        <v>0</v>
      </c>
      <c r="CL16" s="280">
        <f>+IFERROR(INDEX(Assumptions!$E$18:$E$29, MATCH(CL13, Assumptions!$D$18:$D$29, 0))*$C$16, 0)</f>
        <v>0</v>
      </c>
      <c r="CM16" s="280">
        <f>+IFERROR(INDEX(Assumptions!$E$18:$E$29, MATCH(CM13, Assumptions!$D$18:$D$29, 0))*$C$16, 0)</f>
        <v>0</v>
      </c>
      <c r="CN16" s="280">
        <f>+IFERROR(INDEX(Assumptions!$E$18:$E$29, MATCH(CN13, Assumptions!$D$18:$D$29, 0))*$C$16, 0)</f>
        <v>0</v>
      </c>
      <c r="CO16" s="280">
        <f>+IFERROR(INDEX(Assumptions!$E$18:$E$29, MATCH(CO13, Assumptions!$D$18:$D$29, 0))*$C$16, 0)</f>
        <v>0</v>
      </c>
      <c r="CP16" s="280">
        <f>+IFERROR(INDEX(Assumptions!$E$18:$E$29, MATCH(CP13, Assumptions!$D$18:$D$29, 0))*$C$16, 0)</f>
        <v>0</v>
      </c>
      <c r="CQ16" s="280">
        <f>+IFERROR(INDEX(Assumptions!$E$18:$E$29, MATCH(CQ13, Assumptions!$D$18:$D$29, 0))*$C$16, 0)</f>
        <v>0</v>
      </c>
      <c r="CR16" s="280">
        <f>+IFERROR(INDEX(Assumptions!$E$18:$E$29, MATCH(CR13, Assumptions!$D$18:$D$29, 0))*$C$16, 0)</f>
        <v>0</v>
      </c>
      <c r="CS16" s="280">
        <f>+IFERROR(INDEX(Assumptions!$E$18:$E$29, MATCH(CS13, Assumptions!$D$18:$D$29, 0))*$C$16, 0)</f>
        <v>0</v>
      </c>
      <c r="CT16" s="280">
        <f>+IFERROR(INDEX(Assumptions!$E$18:$E$29, MATCH(CT13, Assumptions!$D$18:$D$29, 0))*$C$16, 0)</f>
        <v>0</v>
      </c>
      <c r="CU16" s="280">
        <f>+IFERROR(INDEX(Assumptions!$E$18:$E$29, MATCH(CU13, Assumptions!$D$18:$D$29, 0))*$C$16, 0)</f>
        <v>0</v>
      </c>
      <c r="CV16" s="280">
        <f>+IFERROR(INDEX(Assumptions!$E$18:$E$29, MATCH(CV13, Assumptions!$D$18:$D$29, 0))*$C$16, 0)</f>
        <v>0</v>
      </c>
      <c r="CW16" s="280">
        <f>+IFERROR(INDEX(Assumptions!$E$18:$E$29, MATCH(CW13, Assumptions!$D$18:$D$29, 0))*$C$16, 0)</f>
        <v>0</v>
      </c>
      <c r="CX16" s="280">
        <f>+IFERROR(INDEX(Assumptions!$E$18:$E$29, MATCH(CX13, Assumptions!$D$18:$D$29, 0))*$C$16, 0)</f>
        <v>0</v>
      </c>
      <c r="CY16" s="280">
        <f>+IFERROR(INDEX(Assumptions!$E$18:$E$29, MATCH(CY13, Assumptions!$D$18:$D$29, 0))*$C$16, 0)</f>
        <v>0</v>
      </c>
      <c r="CZ16" s="280">
        <f>+IFERROR(INDEX(Assumptions!$E$18:$E$29, MATCH(CZ13, Assumptions!$D$18:$D$29, 0))*$C$16, 0)</f>
        <v>0</v>
      </c>
      <c r="DA16" s="280">
        <f>+IFERROR(INDEX(Assumptions!$E$18:$E$29, MATCH(DA13, Assumptions!$D$18:$D$29, 0))*$C$16, 0)</f>
        <v>0</v>
      </c>
      <c r="DB16" s="280">
        <f>+IFERROR(INDEX(Assumptions!$E$18:$E$29, MATCH(DB13, Assumptions!$D$18:$D$29, 0))*$C$16, 0)</f>
        <v>0</v>
      </c>
      <c r="DC16" s="280">
        <f>+IFERROR(INDEX(Assumptions!$E$18:$E$29, MATCH(DC13, Assumptions!$D$18:$D$29, 0))*$C$16, 0)</f>
        <v>0</v>
      </c>
      <c r="DD16" s="280">
        <f>+IFERROR(INDEX(Assumptions!$E$18:$E$29, MATCH(DD13, Assumptions!$D$18:$D$29, 0))*$C$16, 0)</f>
        <v>0</v>
      </c>
      <c r="DE16" s="280">
        <f>+IFERROR(INDEX(Assumptions!$E$18:$E$29, MATCH(DE13, Assumptions!$D$18:$D$29, 0))*$C$16, 0)</f>
        <v>0</v>
      </c>
      <c r="DF16" s="280">
        <f>+IFERROR(INDEX(Assumptions!$E$18:$E$29, MATCH(DF13, Assumptions!$D$18:$D$29, 0))*$C$16, 0)</f>
        <v>0</v>
      </c>
      <c r="DG16" s="280">
        <f>+IFERROR(INDEX(Assumptions!$E$18:$E$29, MATCH(DG13, Assumptions!$D$18:$D$29, 0))*$C$16, 0)</f>
        <v>0</v>
      </c>
      <c r="DH16" s="280">
        <f>+IFERROR(INDEX(Assumptions!$E$18:$E$29, MATCH(DH13, Assumptions!$D$18:$D$29, 0))*$C$16, 0)</f>
        <v>0</v>
      </c>
    </row>
    <row r="17" spans="2:112" x14ac:dyDescent="0.3">
      <c r="B17" t="s">
        <v>468</v>
      </c>
      <c r="C17" s="512">
        <v>45657</v>
      </c>
      <c r="D17" t="s">
        <v>255</v>
      </c>
      <c r="F17" s="9">
        <f>+F16+E17</f>
        <v>0</v>
      </c>
      <c r="G17" s="9">
        <f t="shared" ref="G17:V17" si="41">+G16+F17</f>
        <v>0</v>
      </c>
      <c r="H17" s="9">
        <f t="shared" si="41"/>
        <v>0</v>
      </c>
      <c r="I17" s="9">
        <f t="shared" si="41"/>
        <v>0</v>
      </c>
      <c r="J17" s="9">
        <f t="shared" si="41"/>
        <v>0</v>
      </c>
      <c r="K17" s="9">
        <f t="shared" si="41"/>
        <v>0</v>
      </c>
      <c r="L17" s="9">
        <f t="shared" si="41"/>
        <v>0</v>
      </c>
      <c r="M17" s="9">
        <f t="shared" si="41"/>
        <v>0</v>
      </c>
      <c r="N17" s="9">
        <f t="shared" si="41"/>
        <v>0</v>
      </c>
      <c r="O17" s="9">
        <f t="shared" si="41"/>
        <v>0</v>
      </c>
      <c r="P17" s="9">
        <f t="shared" si="41"/>
        <v>0</v>
      </c>
      <c r="Q17" s="9">
        <f t="shared" si="41"/>
        <v>0</v>
      </c>
      <c r="R17" s="9">
        <f t="shared" si="41"/>
        <v>0</v>
      </c>
      <c r="S17" s="9">
        <f t="shared" si="41"/>
        <v>0</v>
      </c>
      <c r="T17" s="9">
        <f t="shared" si="41"/>
        <v>0</v>
      </c>
      <c r="U17" s="9">
        <f t="shared" si="41"/>
        <v>0</v>
      </c>
      <c r="V17" s="9">
        <f t="shared" si="41"/>
        <v>0</v>
      </c>
      <c r="W17" s="9">
        <f t="shared" ref="W17:AK17" si="42">+W16+V17</f>
        <v>0</v>
      </c>
      <c r="X17" s="9">
        <f t="shared" si="42"/>
        <v>0</v>
      </c>
      <c r="Y17" s="172">
        <f t="shared" si="42"/>
        <v>0</v>
      </c>
      <c r="Z17" s="9">
        <f t="shared" si="42"/>
        <v>0</v>
      </c>
      <c r="AA17" s="9">
        <f t="shared" si="42"/>
        <v>0</v>
      </c>
      <c r="AB17" s="9">
        <f t="shared" si="42"/>
        <v>0</v>
      </c>
      <c r="AC17" s="9">
        <f t="shared" si="42"/>
        <v>3736.7233656207404</v>
      </c>
      <c r="AD17" s="9">
        <f t="shared" si="42"/>
        <v>4271.1693796559612</v>
      </c>
      <c r="AE17" s="9">
        <f t="shared" si="42"/>
        <v>26420.118767199841</v>
      </c>
      <c r="AF17" s="9">
        <f t="shared" si="42"/>
        <v>28419.474707606663</v>
      </c>
      <c r="AG17" s="9">
        <f t="shared" si="42"/>
        <v>118868.10641442347</v>
      </c>
      <c r="AH17" s="9">
        <f t="shared" si="42"/>
        <v>281073.14248083835</v>
      </c>
      <c r="AI17" s="9">
        <f t="shared" si="42"/>
        <v>390369.70567299577</v>
      </c>
      <c r="AJ17" s="9">
        <f t="shared" si="42"/>
        <v>462491.7436852823</v>
      </c>
      <c r="AK17" s="9">
        <f t="shared" si="42"/>
        <v>477591.20718889131</v>
      </c>
      <c r="AL17" s="9">
        <f t="shared" ref="AL17:CV17" si="43">+AL16+AK17</f>
        <v>593222.99006120558</v>
      </c>
      <c r="AM17" s="9">
        <f t="shared" si="43"/>
        <v>620000</v>
      </c>
      <c r="AN17" s="9">
        <f t="shared" si="43"/>
        <v>620000</v>
      </c>
      <c r="AO17" s="9">
        <f t="shared" si="43"/>
        <v>620000</v>
      </c>
      <c r="AP17" s="9">
        <f t="shared" si="43"/>
        <v>620000</v>
      </c>
      <c r="AQ17" s="9">
        <f t="shared" si="43"/>
        <v>620000</v>
      </c>
      <c r="AR17" s="9">
        <f t="shared" si="43"/>
        <v>620000</v>
      </c>
      <c r="AS17" s="9">
        <f t="shared" si="43"/>
        <v>620000</v>
      </c>
      <c r="AT17" s="9">
        <f t="shared" si="43"/>
        <v>620000</v>
      </c>
      <c r="AU17" s="9">
        <f t="shared" si="43"/>
        <v>620000</v>
      </c>
      <c r="AV17" s="9">
        <f t="shared" si="43"/>
        <v>620000</v>
      </c>
      <c r="AW17" s="9">
        <f t="shared" si="43"/>
        <v>620000</v>
      </c>
      <c r="AX17" s="9">
        <f t="shared" si="43"/>
        <v>620000</v>
      </c>
      <c r="AY17" s="9">
        <f t="shared" si="43"/>
        <v>620000</v>
      </c>
      <c r="AZ17" s="9">
        <f t="shared" si="43"/>
        <v>620000</v>
      </c>
      <c r="BA17" s="9">
        <f t="shared" si="43"/>
        <v>620000</v>
      </c>
      <c r="BB17" s="9">
        <f t="shared" si="43"/>
        <v>620000</v>
      </c>
      <c r="BC17" s="9">
        <f t="shared" si="43"/>
        <v>620000</v>
      </c>
      <c r="BD17" s="9">
        <f t="shared" si="43"/>
        <v>620000</v>
      </c>
      <c r="BE17" s="9">
        <f t="shared" si="43"/>
        <v>620000</v>
      </c>
      <c r="BF17" s="9">
        <f t="shared" si="43"/>
        <v>620000</v>
      </c>
      <c r="BG17" s="9">
        <f t="shared" si="43"/>
        <v>620000</v>
      </c>
      <c r="BH17" s="9">
        <f t="shared" si="43"/>
        <v>620000</v>
      </c>
      <c r="BI17" s="9">
        <f t="shared" si="43"/>
        <v>620000</v>
      </c>
      <c r="BJ17" s="9">
        <f t="shared" si="43"/>
        <v>620000</v>
      </c>
      <c r="BK17" s="9">
        <f t="shared" si="43"/>
        <v>620000</v>
      </c>
      <c r="BL17" s="9">
        <f t="shared" si="43"/>
        <v>620000</v>
      </c>
      <c r="BM17" s="9">
        <f t="shared" si="43"/>
        <v>620000</v>
      </c>
      <c r="BN17" s="9">
        <f t="shared" si="43"/>
        <v>620000</v>
      </c>
      <c r="BO17" s="9">
        <f t="shared" si="43"/>
        <v>620000</v>
      </c>
      <c r="BP17" s="9">
        <f t="shared" si="43"/>
        <v>620000</v>
      </c>
      <c r="BQ17" s="9">
        <f t="shared" si="43"/>
        <v>620000</v>
      </c>
      <c r="BR17" s="9">
        <f t="shared" si="43"/>
        <v>620000</v>
      </c>
      <c r="BS17" s="9">
        <f t="shared" si="43"/>
        <v>620000</v>
      </c>
      <c r="BT17" s="9">
        <f t="shared" si="43"/>
        <v>620000</v>
      </c>
      <c r="BU17" s="9">
        <f t="shared" si="43"/>
        <v>620000</v>
      </c>
      <c r="BV17" s="9">
        <f t="shared" si="43"/>
        <v>620000</v>
      </c>
      <c r="BW17" s="9">
        <f t="shared" si="43"/>
        <v>620000</v>
      </c>
      <c r="BX17" s="9">
        <f t="shared" si="43"/>
        <v>620000</v>
      </c>
      <c r="BY17" s="9">
        <f t="shared" si="43"/>
        <v>620000</v>
      </c>
      <c r="BZ17" s="9">
        <f t="shared" si="43"/>
        <v>620000</v>
      </c>
      <c r="CA17" s="9">
        <f t="shared" si="43"/>
        <v>620000</v>
      </c>
      <c r="CB17" s="9">
        <f t="shared" si="43"/>
        <v>620000</v>
      </c>
      <c r="CC17" s="9">
        <f t="shared" si="43"/>
        <v>620000</v>
      </c>
      <c r="CD17" s="9">
        <f t="shared" si="43"/>
        <v>620000</v>
      </c>
      <c r="CE17" s="9">
        <f t="shared" si="43"/>
        <v>620000</v>
      </c>
      <c r="CF17" s="9">
        <f t="shared" si="43"/>
        <v>620000</v>
      </c>
      <c r="CG17" s="9">
        <f t="shared" si="43"/>
        <v>620000</v>
      </c>
      <c r="CH17" s="9">
        <f t="shared" si="43"/>
        <v>620000</v>
      </c>
      <c r="CI17" s="9">
        <f t="shared" si="43"/>
        <v>620000</v>
      </c>
      <c r="CJ17" s="9">
        <f t="shared" si="43"/>
        <v>620000</v>
      </c>
      <c r="CK17" s="9">
        <f t="shared" si="43"/>
        <v>620000</v>
      </c>
      <c r="CL17" s="9">
        <f t="shared" si="43"/>
        <v>620000</v>
      </c>
      <c r="CM17" s="9">
        <f t="shared" si="43"/>
        <v>620000</v>
      </c>
      <c r="CN17" s="9">
        <f t="shared" si="43"/>
        <v>620000</v>
      </c>
      <c r="CO17" s="9">
        <f t="shared" si="43"/>
        <v>620000</v>
      </c>
      <c r="CP17" s="9">
        <f t="shared" si="43"/>
        <v>620000</v>
      </c>
      <c r="CQ17" s="9">
        <f t="shared" si="43"/>
        <v>620000</v>
      </c>
      <c r="CR17" s="9">
        <f t="shared" si="43"/>
        <v>620000</v>
      </c>
      <c r="CS17" s="9">
        <f t="shared" si="43"/>
        <v>620000</v>
      </c>
      <c r="CT17" s="9">
        <f t="shared" si="43"/>
        <v>620000</v>
      </c>
      <c r="CU17" s="9">
        <f t="shared" si="43"/>
        <v>620000</v>
      </c>
      <c r="CV17" s="9">
        <f t="shared" si="43"/>
        <v>620000</v>
      </c>
      <c r="CW17" s="9">
        <f t="shared" ref="CW17" si="44">+CW16+CV17</f>
        <v>620000</v>
      </c>
      <c r="CX17" s="9">
        <f t="shared" ref="CX17" si="45">+CX16+CW17</f>
        <v>620000</v>
      </c>
      <c r="CY17" s="9">
        <f t="shared" ref="CY17" si="46">+CY16+CX17</f>
        <v>620000</v>
      </c>
      <c r="CZ17" s="9">
        <f t="shared" ref="CZ17" si="47">+CZ16+CY17</f>
        <v>620000</v>
      </c>
      <c r="DA17" s="9">
        <f t="shared" ref="DA17" si="48">+DA16+CZ17</f>
        <v>620000</v>
      </c>
      <c r="DB17" s="9">
        <f t="shared" ref="DB17" si="49">+DB16+DA17</f>
        <v>620000</v>
      </c>
      <c r="DC17" s="9">
        <f t="shared" ref="DC17" si="50">+DC16+DB17</f>
        <v>620000</v>
      </c>
      <c r="DD17" s="9">
        <f t="shared" ref="DD17" si="51">+DD16+DC17</f>
        <v>620000</v>
      </c>
      <c r="DE17" s="9">
        <f t="shared" ref="DE17" si="52">+DE16+DD17</f>
        <v>620000</v>
      </c>
      <c r="DF17" s="9">
        <f t="shared" ref="DF17" si="53">+DF16+DE17</f>
        <v>620000</v>
      </c>
      <c r="DG17" s="9">
        <f t="shared" ref="DG17:DH17" si="54">+DG16+DF17</f>
        <v>620000</v>
      </c>
      <c r="DH17" s="9">
        <f t="shared" si="54"/>
        <v>620000</v>
      </c>
    </row>
    <row r="18" spans="2:112" x14ac:dyDescent="0.3">
      <c r="B18" t="s">
        <v>486</v>
      </c>
      <c r="C18" s="514">
        <f>+EOMONTH(C17,12)</f>
        <v>46022</v>
      </c>
      <c r="D18" t="s">
        <v>290</v>
      </c>
      <c r="F18" s="459">
        <f>+IFERROR(INDEX(Assumptions!$F$31:$F$42, MATCH(F13, Assumptions!$D$31:$D$42, 0))*$C$16, 0)</f>
        <v>0</v>
      </c>
      <c r="G18" s="9">
        <f>+IFERROR(INDEX(Assumptions!$F$31:$F$42, MATCH(G13, Assumptions!$D$31:$D$42, 0))*$C$15, 0)</f>
        <v>0</v>
      </c>
      <c r="H18" s="9">
        <f>+IFERROR(INDEX(Assumptions!$F$31:$F$42, MATCH(H13, Assumptions!$D$31:$D$42, 0))*$C$15, 0)</f>
        <v>0</v>
      </c>
      <c r="I18" s="9">
        <f>+IFERROR(INDEX(Assumptions!$F$31:$F$42, MATCH(I13, Assumptions!$D$31:$D$42, 0))*$C$15, 0)</f>
        <v>0</v>
      </c>
      <c r="J18" s="9">
        <f>+IFERROR(INDEX(Assumptions!$F$31:$F$42, MATCH(J13, Assumptions!$D$31:$D$42, 0))*$C$15, 0)</f>
        <v>0</v>
      </c>
      <c r="K18" s="9">
        <f>+IFERROR(INDEX(Assumptions!$F$31:$F$42, MATCH(K13, Assumptions!$D$31:$D$42, 0))*$C$15, 0)</f>
        <v>0</v>
      </c>
      <c r="L18" s="9">
        <f>+IFERROR(INDEX(Assumptions!$F$31:$F$42, MATCH(L13, Assumptions!$D$31:$D$42, 0))*$C$15, 0)</f>
        <v>0</v>
      </c>
      <c r="M18" s="9">
        <f>+IFERROR(INDEX(Assumptions!$F$31:$F$42, MATCH(M13, Assumptions!$D$31:$D$42, 0))*$C$15, 0)</f>
        <v>0</v>
      </c>
      <c r="N18" s="9">
        <f>+IFERROR(INDEX(Assumptions!$F$31:$F$42, MATCH(N13, Assumptions!$D$31:$D$42, 0))*$C$15, 0)</f>
        <v>0</v>
      </c>
      <c r="O18" s="9">
        <f>+IFERROR(INDEX(Assumptions!$F$31:$F$42, MATCH(O13, Assumptions!$D$31:$D$42, 0))*$C$15, 0)</f>
        <v>0</v>
      </c>
      <c r="P18" s="9">
        <f>+IFERROR(INDEX(Assumptions!$F$31:$F$42, MATCH(P13, Assumptions!$D$31:$D$42, 0))*$C$15, 0)</f>
        <v>0</v>
      </c>
      <c r="Q18" s="9">
        <f>+IFERROR(INDEX(Assumptions!$F$31:$F$42, MATCH(Q13, Assumptions!$D$31:$D$42, 0))*$C$15, 0)</f>
        <v>0</v>
      </c>
      <c r="R18" s="9">
        <f>+IFERROR(INDEX(Assumptions!$F$31:$F$42, MATCH(R13, Assumptions!$D$31:$D$42, 0))*$C$15, 0)</f>
        <v>0</v>
      </c>
      <c r="S18" s="9">
        <f>+IFERROR(INDEX(Assumptions!$F$31:$F$42, MATCH(S13, Assumptions!$D$31:$D$42, 0))*$C$15, 0)</f>
        <v>0</v>
      </c>
      <c r="T18" s="9">
        <f>+IFERROR(INDEX(Assumptions!$F$31:$F$42, MATCH(T13, Assumptions!$D$31:$D$42, 0))*$C$15, 0)</f>
        <v>0</v>
      </c>
      <c r="U18" s="9">
        <f>+IFERROR(INDEX(Assumptions!$F$31:$F$42, MATCH(U13, Assumptions!$D$31:$D$42, 0))*$C$15, 0)</f>
        <v>0</v>
      </c>
      <c r="V18" s="9">
        <f>+IFERROR(INDEX(Assumptions!$F$31:$F$42, MATCH(V13, Assumptions!$D$31:$D$42, 0))*$C$15, 0)</f>
        <v>0</v>
      </c>
      <c r="W18" s="9">
        <f>+IFERROR(INDEX(Assumptions!$F$31:$F$42, MATCH(W13, Assumptions!$D$31:$D$42, 0))*$C$15, 0)</f>
        <v>0</v>
      </c>
      <c r="X18" s="9">
        <f>+IFERROR(INDEX(Assumptions!$F$31:$F$42, MATCH(X13, Assumptions!$D$31:$D$42, 0))*$C$15, 0)</f>
        <v>0</v>
      </c>
      <c r="Y18" s="172">
        <f>+IFERROR(INDEX(Assumptions!$F$31:$F$42, MATCH(Y13, Assumptions!$D$31:$D$42, 0))*$C$15, 0)</f>
        <v>0</v>
      </c>
      <c r="Z18" s="9">
        <f>+IFERROR(INDEX(Assumptions!$F$31:$F$42, MATCH(Z13, Assumptions!$D$31:$D$42, 0))*$C$15, 0)</f>
        <v>0</v>
      </c>
      <c r="AA18" s="9">
        <f>+IFERROR(INDEX(Assumptions!$F$31:$F$42, MATCH(AA13, Assumptions!$D$31:$D$42, 0))*$C$15, 0)</f>
        <v>0</v>
      </c>
      <c r="AB18" s="9">
        <f>+IFERROR(INDEX(Assumptions!$F$31:$F$42, MATCH(AB13, Assumptions!$D$31:$D$42, 0))*$C$15, 0)</f>
        <v>90000</v>
      </c>
      <c r="AC18" s="9">
        <f>+IFERROR(INDEX(Assumptions!$F$31:$F$42, MATCH(AC13, Assumptions!$D$31:$D$42, 0))*$C$15, 0)</f>
        <v>0</v>
      </c>
      <c r="AD18" s="9">
        <f>+IFERROR(INDEX(Assumptions!$F$31:$F$42, MATCH(AD13, Assumptions!$D$31:$D$42, 0))*$C$15, 0)</f>
        <v>0</v>
      </c>
      <c r="AE18" s="9">
        <f>+IFERROR(INDEX(Assumptions!$F$31:$F$42, MATCH(AE13, Assumptions!$D$31:$D$42, 0))*$C$15, 0)</f>
        <v>0</v>
      </c>
      <c r="AF18" s="9">
        <f>+IFERROR(INDEX(Assumptions!$F$31:$F$42, MATCH(AF13, Assumptions!$D$31:$D$42, 0))*$C$15, 0)</f>
        <v>180000</v>
      </c>
      <c r="AG18" s="9">
        <f>+IFERROR(INDEX(Assumptions!$F$31:$F$42, MATCH(AG13, Assumptions!$D$31:$D$42, 0))*$C$15, 0)</f>
        <v>225000</v>
      </c>
      <c r="AH18" s="9">
        <f>+IFERROR(INDEX(Assumptions!$F$31:$F$42, MATCH(AH13, Assumptions!$D$31:$D$42, 0))*$C$15, 0)</f>
        <v>135000</v>
      </c>
      <c r="AI18" s="9">
        <f>+IFERROR(INDEX(Assumptions!$F$31:$F$42, MATCH(AI13, Assumptions!$D$31:$D$42, 0))*$C$15, 0)</f>
        <v>0</v>
      </c>
      <c r="AJ18" s="9">
        <f>+IFERROR(INDEX(Assumptions!$F$31:$F$42, MATCH(AJ13, Assumptions!$D$31:$D$42, 0))*$C$15, 0)</f>
        <v>135000</v>
      </c>
      <c r="AK18" s="9">
        <f>+IFERROR(INDEX(Assumptions!$F$31:$F$42, MATCH(AK13, Assumptions!$D$31:$D$42, 0))*$C$15, 0)</f>
        <v>0</v>
      </c>
      <c r="AL18" s="9">
        <f>+IFERROR(INDEX(Assumptions!$F$31:$F$42, MATCH(AL13, Assumptions!$D$31:$D$42, 0))*$C$15, 0)</f>
        <v>135000</v>
      </c>
      <c r="AM18" s="9">
        <f>+IFERROR(INDEX(Assumptions!$F$31:$F$42, MATCH(AM13, Assumptions!$D$31:$D$42, 0))*$C$15, 0)</f>
        <v>0</v>
      </c>
      <c r="AN18" s="9">
        <f>+IFERROR(INDEX(Assumptions!$F$31:$F$42, MATCH(AN13, Assumptions!$D$31:$D$42, 0))*$C$15, 0)</f>
        <v>0</v>
      </c>
      <c r="AO18" s="9">
        <f>+IFERROR(INDEX(Assumptions!$F$31:$F$42, MATCH(AO13, Assumptions!$D$31:$D$42, 0))*$C$15, 0)</f>
        <v>0</v>
      </c>
      <c r="AP18" s="9">
        <f>+IFERROR(INDEX(Assumptions!$F$31:$F$42, MATCH(AP13, Assumptions!$D$31:$D$42, 0))*$C$15, 0)</f>
        <v>0</v>
      </c>
      <c r="AQ18" s="9">
        <f>+IFERROR(INDEX(Assumptions!$F$31:$F$42, MATCH(AQ13, Assumptions!$D$31:$D$42, 0))*$C$15, 0)</f>
        <v>0</v>
      </c>
      <c r="AR18" s="9">
        <f>+IFERROR(INDEX(Assumptions!$F$31:$F$42, MATCH(AR13, Assumptions!$D$31:$D$42, 0))*$C$15, 0)</f>
        <v>0</v>
      </c>
      <c r="AS18" s="9">
        <f>+IFERROR(INDEX(Assumptions!$F$31:$F$42, MATCH(AS13, Assumptions!$D$31:$D$42, 0))*$C$15, 0)</f>
        <v>0</v>
      </c>
      <c r="AT18" s="9">
        <f>+IFERROR(INDEX(Assumptions!$F$31:$F$42, MATCH(AT13, Assumptions!$D$31:$D$42, 0))*$C$15, 0)</f>
        <v>0</v>
      </c>
      <c r="AU18" s="9">
        <f>+IFERROR(INDEX(Assumptions!$F$31:$F$42, MATCH(AU13, Assumptions!$D$31:$D$42, 0))*$C$15, 0)</f>
        <v>0</v>
      </c>
      <c r="AV18" s="9">
        <f>+IFERROR(INDEX(Assumptions!$F$31:$F$42, MATCH(AV13, Assumptions!$D$31:$D$42, 0))*$C$15, 0)</f>
        <v>0</v>
      </c>
      <c r="AW18" s="9">
        <f>+IFERROR(INDEX(Assumptions!$F$31:$F$42, MATCH(AW13, Assumptions!$D$31:$D$42, 0))*$C$15, 0)</f>
        <v>0</v>
      </c>
      <c r="AX18" s="9">
        <f>+IFERROR(INDEX(Assumptions!$F$31:$F$42, MATCH(AX13, Assumptions!$D$31:$D$42, 0))*$C$15, 0)</f>
        <v>0</v>
      </c>
      <c r="AY18" s="9">
        <f>+IFERROR(INDEX(Assumptions!$F$31:$F$42, MATCH(AY13, Assumptions!$D$31:$D$42, 0))*$C$15, 0)</f>
        <v>0</v>
      </c>
      <c r="AZ18" s="9">
        <f>+IFERROR(INDEX(Assumptions!$F$31:$F$42, MATCH(AZ13, Assumptions!$D$31:$D$42, 0))*$C$15, 0)</f>
        <v>0</v>
      </c>
      <c r="BA18" s="9">
        <f>+IFERROR(INDEX(Assumptions!$F$31:$F$42, MATCH(BA13, Assumptions!$D$31:$D$42, 0))*$C$15, 0)</f>
        <v>0</v>
      </c>
      <c r="BB18" s="9">
        <f>+IFERROR(INDEX(Assumptions!$F$31:$F$42, MATCH(BB13, Assumptions!$D$31:$D$42, 0))*$C$15, 0)</f>
        <v>0</v>
      </c>
      <c r="BC18" s="9">
        <f>+IFERROR(INDEX(Assumptions!$F$31:$F$42, MATCH(BC13, Assumptions!$D$31:$D$42, 0))*$C$15, 0)</f>
        <v>0</v>
      </c>
      <c r="BD18" s="9">
        <f>+IFERROR(INDEX(Assumptions!$F$31:$F$42, MATCH(BD13, Assumptions!$D$31:$D$42, 0))*$C$15, 0)</f>
        <v>0</v>
      </c>
      <c r="BE18" s="9">
        <f>+IFERROR(INDEX(Assumptions!$F$31:$F$42, MATCH(BE13, Assumptions!$D$31:$D$42, 0))*$C$15, 0)</f>
        <v>0</v>
      </c>
      <c r="BF18" s="9">
        <f>+IFERROR(INDEX(Assumptions!$F$31:$F$42, MATCH(BF13, Assumptions!$D$31:$D$42, 0))*$C$15, 0)</f>
        <v>0</v>
      </c>
      <c r="BG18" s="9">
        <f>+IFERROR(INDEX(Assumptions!$F$31:$F$42, MATCH(BG13, Assumptions!$D$31:$D$42, 0))*$C$15, 0)</f>
        <v>0</v>
      </c>
      <c r="BH18" s="9">
        <f>+IFERROR(INDEX(Assumptions!$F$31:$F$42, MATCH(BH13, Assumptions!$D$31:$D$42, 0))*$C$15, 0)</f>
        <v>0</v>
      </c>
      <c r="BI18" s="9">
        <f>+IFERROR(INDEX(Assumptions!$F$31:$F$42, MATCH(BI13, Assumptions!$D$31:$D$42, 0))*$C$15, 0)</f>
        <v>0</v>
      </c>
      <c r="BJ18" s="9">
        <f>+IFERROR(INDEX(Assumptions!$F$31:$F$42, MATCH(BJ13, Assumptions!$D$31:$D$42, 0))*$C$15, 0)</f>
        <v>0</v>
      </c>
      <c r="BK18" s="9">
        <f>+IFERROR(INDEX(Assumptions!$F$31:$F$42, MATCH(BK13, Assumptions!$D$31:$D$42, 0))*$C$15, 0)</f>
        <v>0</v>
      </c>
      <c r="BL18" s="9">
        <f>+IFERROR(INDEX(Assumptions!$F$31:$F$42, MATCH(BL13, Assumptions!$D$31:$D$42, 0))*$C$15, 0)</f>
        <v>0</v>
      </c>
      <c r="BM18" s="9">
        <f>+IFERROR(INDEX(Assumptions!$F$31:$F$42, MATCH(BM13, Assumptions!$D$31:$D$42, 0))*$C$15, 0)</f>
        <v>0</v>
      </c>
      <c r="BN18" s="9">
        <f>+IFERROR(INDEX(Assumptions!$F$31:$F$42, MATCH(BN13, Assumptions!$D$31:$D$42, 0))*$C$15, 0)</f>
        <v>0</v>
      </c>
      <c r="BO18" s="9">
        <f>+IFERROR(INDEX(Assumptions!$F$31:$F$42, MATCH(BO13, Assumptions!$D$31:$D$42, 0))*$C$15, 0)</f>
        <v>0</v>
      </c>
      <c r="BP18" s="9">
        <f>+IFERROR(INDEX(Assumptions!$F$31:$F$42, MATCH(BP13, Assumptions!$D$31:$D$42, 0))*$C$15, 0)</f>
        <v>0</v>
      </c>
      <c r="BQ18" s="9">
        <f>+IFERROR(INDEX(Assumptions!$F$31:$F$42, MATCH(BQ13, Assumptions!$D$31:$D$42, 0))*$C$15, 0)</f>
        <v>0</v>
      </c>
      <c r="BR18" s="9">
        <f>+IFERROR(INDEX(Assumptions!$F$31:$F$42, MATCH(BR13, Assumptions!$D$31:$D$42, 0))*$C$15, 0)</f>
        <v>0</v>
      </c>
      <c r="BS18" s="9">
        <f>+IFERROR(INDEX(Assumptions!$F$31:$F$42, MATCH(BS13, Assumptions!$D$31:$D$42, 0))*$C$15, 0)</f>
        <v>0</v>
      </c>
      <c r="BT18" s="9">
        <f>+IFERROR(INDEX(Assumptions!$F$31:$F$42, MATCH(BT13, Assumptions!$D$31:$D$42, 0))*$C$15, 0)</f>
        <v>0</v>
      </c>
      <c r="BU18" s="9">
        <f>+IFERROR(INDEX(Assumptions!$F$31:$F$42, MATCH(BU13, Assumptions!$D$31:$D$42, 0))*$C$15, 0)</f>
        <v>0</v>
      </c>
      <c r="BV18" s="9">
        <f>+IFERROR(INDEX(Assumptions!$F$31:$F$42, MATCH(BV13, Assumptions!$D$31:$D$42, 0))*$C$15, 0)</f>
        <v>0</v>
      </c>
      <c r="BW18" s="9">
        <f>+IFERROR(INDEX(Assumptions!$F$31:$F$42, MATCH(BW13, Assumptions!$D$31:$D$42, 0))*$C$15, 0)</f>
        <v>0</v>
      </c>
      <c r="BX18" s="9">
        <f>+IFERROR(INDEX(Assumptions!$F$31:$F$42, MATCH(BX13, Assumptions!$D$31:$D$42, 0))*$C$15, 0)</f>
        <v>0</v>
      </c>
      <c r="BY18" s="9">
        <f>+IFERROR(INDEX(Assumptions!$F$31:$F$42, MATCH(BY13, Assumptions!$D$31:$D$42, 0))*$C$15, 0)</f>
        <v>0</v>
      </c>
      <c r="BZ18" s="9">
        <f>+IFERROR(INDEX(Assumptions!$F$31:$F$42, MATCH(BZ13, Assumptions!$D$31:$D$42, 0))*$C$15, 0)</f>
        <v>0</v>
      </c>
      <c r="CA18" s="9">
        <f>+IFERROR(INDEX(Assumptions!$F$31:$F$42, MATCH(CA13, Assumptions!$D$31:$D$42, 0))*$C$15, 0)</f>
        <v>0</v>
      </c>
      <c r="CB18" s="9">
        <f>+IFERROR(INDEX(Assumptions!$F$31:$F$42, MATCH(CB13, Assumptions!$D$31:$D$42, 0))*$C$15, 0)</f>
        <v>0</v>
      </c>
      <c r="CC18" s="9">
        <f>+IFERROR(INDEX(Assumptions!$F$31:$F$42, MATCH(CC13, Assumptions!$D$31:$D$42, 0))*$C$15, 0)</f>
        <v>0</v>
      </c>
      <c r="CD18" s="9">
        <f>+IFERROR(INDEX(Assumptions!$F$31:$F$42, MATCH(CD13, Assumptions!$D$31:$D$42, 0))*$C$15, 0)</f>
        <v>0</v>
      </c>
      <c r="CE18" s="9">
        <f>+IFERROR(INDEX(Assumptions!$F$31:$F$42, MATCH(CE13, Assumptions!$D$31:$D$42, 0))*$C$15, 0)</f>
        <v>0</v>
      </c>
      <c r="CF18" s="9">
        <f>+IFERROR(INDEX(Assumptions!$F$31:$F$42, MATCH(CF13, Assumptions!$D$31:$D$42, 0))*$C$15, 0)</f>
        <v>0</v>
      </c>
      <c r="CG18" s="9">
        <f>+IFERROR(INDEX(Assumptions!$F$31:$F$42, MATCH(CG13, Assumptions!$D$31:$D$42, 0))*$C$15, 0)</f>
        <v>0</v>
      </c>
      <c r="CH18" s="9">
        <f>+IFERROR(INDEX(Assumptions!$F$31:$F$42, MATCH(CH13, Assumptions!$D$31:$D$42, 0))*$C$15, 0)</f>
        <v>0</v>
      </c>
      <c r="CI18" s="9">
        <f>+IFERROR(INDEX(Assumptions!$F$31:$F$42, MATCH(CI13, Assumptions!$D$31:$D$42, 0))*$C$15, 0)</f>
        <v>0</v>
      </c>
      <c r="CJ18" s="9">
        <f>+IFERROR(INDEX(Assumptions!$F$31:$F$42, MATCH(CJ13, Assumptions!$D$31:$D$42, 0))*$C$15, 0)</f>
        <v>0</v>
      </c>
      <c r="CK18" s="9">
        <f>+IFERROR(INDEX(Assumptions!$F$31:$F$42, MATCH(CK13, Assumptions!$D$31:$D$42, 0))*$C$15, 0)</f>
        <v>0</v>
      </c>
      <c r="CL18" s="9">
        <f>+IFERROR(INDEX(Assumptions!$F$31:$F$42, MATCH(CL13, Assumptions!$D$31:$D$42, 0))*$C$15, 0)</f>
        <v>0</v>
      </c>
      <c r="CM18" s="9">
        <f>+IFERROR(INDEX(Assumptions!$F$31:$F$42, MATCH(CM13, Assumptions!$D$31:$D$42, 0))*$C$15, 0)</f>
        <v>0</v>
      </c>
      <c r="CN18" s="9">
        <f>+IFERROR(INDEX(Assumptions!$F$31:$F$42, MATCH(CN13, Assumptions!$D$31:$D$42, 0))*$C$15, 0)</f>
        <v>0</v>
      </c>
      <c r="CO18" s="9">
        <f>+IFERROR(INDEX(Assumptions!$F$31:$F$42, MATCH(CO13, Assumptions!$D$31:$D$42, 0))*$C$15, 0)</f>
        <v>0</v>
      </c>
      <c r="CP18" s="9">
        <f>+IFERROR(INDEX(Assumptions!$F$31:$F$42, MATCH(CP13, Assumptions!$D$31:$D$42, 0))*$C$15, 0)</f>
        <v>0</v>
      </c>
      <c r="CQ18" s="9">
        <f>+IFERROR(INDEX(Assumptions!$F$31:$F$42, MATCH(CQ13, Assumptions!$D$31:$D$42, 0))*$C$15, 0)</f>
        <v>0</v>
      </c>
      <c r="CR18" s="9">
        <f>+IFERROR(INDEX(Assumptions!$F$31:$F$42, MATCH(CR13, Assumptions!$D$31:$D$42, 0))*$C$15, 0)</f>
        <v>0</v>
      </c>
      <c r="CS18" s="9">
        <f>+IFERROR(INDEX(Assumptions!$F$31:$F$42, MATCH(CS13, Assumptions!$D$31:$D$42, 0))*$C$15, 0)</f>
        <v>0</v>
      </c>
      <c r="CT18" s="9">
        <f>+IFERROR(INDEX(Assumptions!$F$31:$F$42, MATCH(CT13, Assumptions!$D$31:$D$42, 0))*$C$15, 0)</f>
        <v>0</v>
      </c>
      <c r="CU18" s="9">
        <f>+IFERROR(INDEX(Assumptions!$F$31:$F$42, MATCH(CU13, Assumptions!$D$31:$D$42, 0))*$C$15, 0)</f>
        <v>0</v>
      </c>
      <c r="CV18" s="9">
        <f>+IFERROR(INDEX(Assumptions!$F$31:$F$42, MATCH(CV13, Assumptions!$D$31:$D$42, 0))*$C$15, 0)</f>
        <v>0</v>
      </c>
      <c r="CW18" s="9">
        <f>+IFERROR(INDEX(Assumptions!$F$31:$F$42, MATCH(CW13, Assumptions!$D$31:$D$42, 0))*$C$15, 0)</f>
        <v>0</v>
      </c>
      <c r="CX18" s="9">
        <f>+IFERROR(INDEX(Assumptions!$F$31:$F$42, MATCH(CX13, Assumptions!$D$31:$D$42, 0))*$C$15, 0)</f>
        <v>0</v>
      </c>
      <c r="CY18" s="9">
        <f>+IFERROR(INDEX(Assumptions!$F$31:$F$42, MATCH(CY13, Assumptions!$D$31:$D$42, 0))*$C$15, 0)</f>
        <v>0</v>
      </c>
      <c r="CZ18" s="9">
        <f>+IFERROR(INDEX(Assumptions!$F$31:$F$42, MATCH(CZ13, Assumptions!$D$31:$D$42, 0))*$C$15, 0)</f>
        <v>0</v>
      </c>
      <c r="DA18" s="9">
        <f>+IFERROR(INDEX(Assumptions!$F$31:$F$42, MATCH(DA13, Assumptions!$D$31:$D$42, 0))*$C$15, 0)</f>
        <v>0</v>
      </c>
      <c r="DB18" s="9">
        <f>+IFERROR(INDEX(Assumptions!$F$31:$F$42, MATCH(DB13, Assumptions!$D$31:$D$42, 0))*$C$15, 0)</f>
        <v>0</v>
      </c>
      <c r="DC18" s="9">
        <f>+IFERROR(INDEX(Assumptions!$F$31:$F$42, MATCH(DC13, Assumptions!$D$31:$D$42, 0))*$C$15, 0)</f>
        <v>0</v>
      </c>
      <c r="DD18" s="9">
        <f>+IFERROR(INDEX(Assumptions!$F$31:$F$42, MATCH(DD13, Assumptions!$D$31:$D$42, 0))*$C$15, 0)</f>
        <v>0</v>
      </c>
      <c r="DE18" s="9">
        <f>+IFERROR(INDEX(Assumptions!$F$31:$F$42, MATCH(DE13, Assumptions!$D$31:$D$42, 0))*$C$15, 0)</f>
        <v>0</v>
      </c>
      <c r="DF18" s="9">
        <f>+IFERROR(INDEX(Assumptions!$F$31:$F$42, MATCH(DF13, Assumptions!$D$31:$D$42, 0))*$C$15, 0)</f>
        <v>0</v>
      </c>
      <c r="DG18" s="9">
        <f>+IFERROR(INDEX(Assumptions!$F$31:$F$42, MATCH(DG13, Assumptions!$D$31:$D$42, 0))*$C$15, 0)</f>
        <v>0</v>
      </c>
      <c r="DH18" s="9">
        <f>+IFERROR(INDEX(Assumptions!$F$31:$F$42, MATCH(DH13, Assumptions!$D$31:$D$42, 0))*$C$15, 0)</f>
        <v>0</v>
      </c>
    </row>
    <row r="19" spans="2:112" x14ac:dyDescent="0.3">
      <c r="D19" t="s">
        <v>289</v>
      </c>
      <c r="F19" s="9">
        <f>+F18+E19</f>
        <v>0</v>
      </c>
      <c r="G19" s="9">
        <f t="shared" ref="G19:V19" si="55">+G18+F19</f>
        <v>0</v>
      </c>
      <c r="H19" s="9">
        <f t="shared" si="55"/>
        <v>0</v>
      </c>
      <c r="I19" s="9">
        <f t="shared" si="55"/>
        <v>0</v>
      </c>
      <c r="J19" s="9">
        <f t="shared" si="55"/>
        <v>0</v>
      </c>
      <c r="K19" s="9">
        <f t="shared" si="55"/>
        <v>0</v>
      </c>
      <c r="L19" s="9">
        <f t="shared" si="55"/>
        <v>0</v>
      </c>
      <c r="M19" s="9">
        <f t="shared" si="55"/>
        <v>0</v>
      </c>
      <c r="N19" s="9">
        <f t="shared" si="55"/>
        <v>0</v>
      </c>
      <c r="O19" s="9">
        <f t="shared" si="55"/>
        <v>0</v>
      </c>
      <c r="P19" s="9">
        <f t="shared" si="55"/>
        <v>0</v>
      </c>
      <c r="Q19" s="9">
        <f t="shared" si="55"/>
        <v>0</v>
      </c>
      <c r="R19" s="9">
        <f t="shared" si="55"/>
        <v>0</v>
      </c>
      <c r="S19" s="9">
        <f t="shared" si="55"/>
        <v>0</v>
      </c>
      <c r="T19" s="9">
        <f t="shared" si="55"/>
        <v>0</v>
      </c>
      <c r="U19" s="9">
        <f t="shared" si="55"/>
        <v>0</v>
      </c>
      <c r="V19" s="9">
        <f t="shared" si="55"/>
        <v>0</v>
      </c>
      <c r="W19" s="9">
        <f>+W18+V19</f>
        <v>0</v>
      </c>
      <c r="X19" s="9">
        <f t="shared" ref="X19:AK19" si="56">+X18+W19</f>
        <v>0</v>
      </c>
      <c r="Y19" s="172">
        <f t="shared" si="56"/>
        <v>0</v>
      </c>
      <c r="Z19" s="9">
        <f t="shared" si="56"/>
        <v>0</v>
      </c>
      <c r="AA19" s="9">
        <f t="shared" si="56"/>
        <v>0</v>
      </c>
      <c r="AB19" s="9">
        <f t="shared" si="56"/>
        <v>90000</v>
      </c>
      <c r="AC19" s="9">
        <f t="shared" si="56"/>
        <v>90000</v>
      </c>
      <c r="AD19" s="9">
        <f t="shared" si="56"/>
        <v>90000</v>
      </c>
      <c r="AE19" s="9">
        <f t="shared" si="56"/>
        <v>90000</v>
      </c>
      <c r="AF19" s="9">
        <f t="shared" si="56"/>
        <v>270000</v>
      </c>
      <c r="AG19" s="9">
        <f t="shared" si="56"/>
        <v>495000</v>
      </c>
      <c r="AH19" s="9">
        <f t="shared" si="56"/>
        <v>630000</v>
      </c>
      <c r="AI19" s="9">
        <f t="shared" si="56"/>
        <v>630000</v>
      </c>
      <c r="AJ19" s="9">
        <f t="shared" si="56"/>
        <v>765000</v>
      </c>
      <c r="AK19" s="9">
        <f t="shared" si="56"/>
        <v>765000</v>
      </c>
      <c r="AL19" s="9">
        <f t="shared" ref="AL19" si="57">+AL18+AK19</f>
        <v>900000</v>
      </c>
      <c r="AM19" s="9">
        <f t="shared" ref="AM19" si="58">+AM18+AL19</f>
        <v>900000</v>
      </c>
      <c r="AN19" s="9">
        <f t="shared" ref="AN19" si="59">+AN18+AM19</f>
        <v>900000</v>
      </c>
      <c r="AO19" s="9">
        <f t="shared" ref="AO19" si="60">+AO18+AN19</f>
        <v>900000</v>
      </c>
      <c r="AP19" s="9">
        <f t="shared" ref="AP19" si="61">+AP18+AO19</f>
        <v>900000</v>
      </c>
      <c r="AQ19" s="9">
        <f t="shared" ref="AQ19" si="62">+AQ18+AP19</f>
        <v>900000</v>
      </c>
      <c r="AR19" s="9">
        <f t="shared" ref="AR19" si="63">+AR18+AQ19</f>
        <v>900000</v>
      </c>
      <c r="AS19" s="9">
        <f t="shared" ref="AS19" si="64">+AS18+AR19</f>
        <v>900000</v>
      </c>
      <c r="AT19" s="9">
        <f t="shared" ref="AT19" si="65">+AT18+AS19</f>
        <v>900000</v>
      </c>
      <c r="AU19" s="9">
        <f t="shared" ref="AU19" si="66">+AU18+AT19</f>
        <v>900000</v>
      </c>
      <c r="AV19" s="9">
        <f t="shared" ref="AV19" si="67">+AV18+AU19</f>
        <v>900000</v>
      </c>
      <c r="AW19" s="9">
        <f t="shared" ref="AW19" si="68">+AW18+AV19</f>
        <v>900000</v>
      </c>
      <c r="AX19" s="9">
        <f t="shared" ref="AX19" si="69">+AX18+AW19</f>
        <v>900000</v>
      </c>
      <c r="AY19" s="9">
        <f t="shared" ref="AY19" si="70">+AY18+AX19</f>
        <v>900000</v>
      </c>
      <c r="AZ19" s="9">
        <f t="shared" ref="AZ19" si="71">+AZ18+AY19</f>
        <v>900000</v>
      </c>
      <c r="BA19" s="9">
        <f t="shared" ref="BA19" si="72">+BA18+AZ19</f>
        <v>900000</v>
      </c>
      <c r="BB19" s="9">
        <f t="shared" ref="BB19" si="73">+BB18+BA19</f>
        <v>900000</v>
      </c>
      <c r="BC19" s="9">
        <f t="shared" ref="BC19" si="74">+BC18+BB19</f>
        <v>900000</v>
      </c>
      <c r="BD19" s="9">
        <f t="shared" ref="BD19" si="75">+BD18+BC19</f>
        <v>900000</v>
      </c>
      <c r="BE19" s="9">
        <f t="shared" ref="BE19" si="76">+BE18+BD19</f>
        <v>900000</v>
      </c>
      <c r="BF19" s="9">
        <f t="shared" ref="BF19" si="77">+BF18+BE19</f>
        <v>900000</v>
      </c>
      <c r="BG19" s="9">
        <f t="shared" ref="BG19" si="78">+BG18+BF19</f>
        <v>900000</v>
      </c>
      <c r="BH19" s="9">
        <f t="shared" ref="BH19" si="79">+BH18+BG19</f>
        <v>900000</v>
      </c>
      <c r="BI19" s="9">
        <f t="shared" ref="BI19" si="80">+BI18+BH19</f>
        <v>900000</v>
      </c>
      <c r="BJ19" s="9">
        <f t="shared" ref="BJ19" si="81">+BJ18+BI19</f>
        <v>900000</v>
      </c>
      <c r="BK19" s="9">
        <f t="shared" ref="BK19" si="82">+BK18+BJ19</f>
        <v>900000</v>
      </c>
      <c r="BL19" s="9">
        <f t="shared" ref="BL19" si="83">+BL18+BK19</f>
        <v>900000</v>
      </c>
      <c r="BM19" s="9">
        <f t="shared" ref="BM19" si="84">+BM18+BL19</f>
        <v>900000</v>
      </c>
      <c r="BN19" s="9">
        <f t="shared" ref="BN19" si="85">+BN18+BM19</f>
        <v>900000</v>
      </c>
      <c r="BO19" s="9">
        <f t="shared" ref="BO19" si="86">+BO18+BN19</f>
        <v>900000</v>
      </c>
      <c r="BP19" s="9">
        <f t="shared" ref="BP19" si="87">+BP18+BO19</f>
        <v>900000</v>
      </c>
      <c r="BQ19" s="9">
        <f t="shared" ref="BQ19" si="88">+BQ18+BP19</f>
        <v>900000</v>
      </c>
      <c r="BR19" s="9">
        <f t="shared" ref="BR19" si="89">+BR18+BQ19</f>
        <v>900000</v>
      </c>
      <c r="BS19" s="9">
        <f t="shared" ref="BS19" si="90">+BS18+BR19</f>
        <v>900000</v>
      </c>
      <c r="BT19" s="9">
        <f t="shared" ref="BT19" si="91">+BT18+BS19</f>
        <v>900000</v>
      </c>
      <c r="BU19" s="9">
        <f t="shared" ref="BU19" si="92">+BU18+BT19</f>
        <v>900000</v>
      </c>
      <c r="BV19" s="9">
        <f t="shared" ref="BV19" si="93">+BV18+BU19</f>
        <v>900000</v>
      </c>
      <c r="BW19" s="9">
        <f t="shared" ref="BW19" si="94">+BW18+BV19</f>
        <v>900000</v>
      </c>
      <c r="BX19" s="9">
        <f t="shared" ref="BX19" si="95">+BX18+BW19</f>
        <v>900000</v>
      </c>
      <c r="BY19" s="9">
        <f t="shared" ref="BY19" si="96">+BY18+BX19</f>
        <v>900000</v>
      </c>
      <c r="BZ19" s="9">
        <f t="shared" ref="BZ19" si="97">+BZ18+BY19</f>
        <v>900000</v>
      </c>
      <c r="CA19" s="9">
        <f t="shared" ref="CA19" si="98">+CA18+BZ19</f>
        <v>900000</v>
      </c>
      <c r="CB19" s="9">
        <f t="shared" ref="CB19" si="99">+CB18+CA19</f>
        <v>900000</v>
      </c>
      <c r="CC19" s="9">
        <f t="shared" ref="CC19" si="100">+CC18+CB19</f>
        <v>900000</v>
      </c>
      <c r="CD19" s="9">
        <f t="shared" ref="CD19" si="101">+CD18+CC19</f>
        <v>900000</v>
      </c>
      <c r="CE19" s="9">
        <f t="shared" ref="CE19" si="102">+CE18+CD19</f>
        <v>900000</v>
      </c>
      <c r="CF19" s="9">
        <f t="shared" ref="CF19" si="103">+CF18+CE19</f>
        <v>900000</v>
      </c>
      <c r="CG19" s="9">
        <f t="shared" ref="CG19" si="104">+CG18+CF19</f>
        <v>900000</v>
      </c>
      <c r="CH19" s="9">
        <f t="shared" ref="CH19" si="105">+CH18+CG19</f>
        <v>900000</v>
      </c>
      <c r="CI19" s="9">
        <f t="shared" ref="CI19" si="106">+CI18+CH19</f>
        <v>900000</v>
      </c>
      <c r="CJ19" s="9">
        <f t="shared" ref="CJ19" si="107">+CJ18+CI19</f>
        <v>900000</v>
      </c>
      <c r="CK19" s="9">
        <f t="shared" ref="CK19" si="108">+CK18+CJ19</f>
        <v>900000</v>
      </c>
      <c r="CL19" s="9">
        <f t="shared" ref="CL19" si="109">+CL18+CK19</f>
        <v>900000</v>
      </c>
      <c r="CM19" s="9">
        <f t="shared" ref="CM19" si="110">+CM18+CL19</f>
        <v>900000</v>
      </c>
      <c r="CN19" s="9">
        <f t="shared" ref="CN19" si="111">+CN18+CM19</f>
        <v>900000</v>
      </c>
      <c r="CO19" s="9">
        <f t="shared" ref="CO19" si="112">+CO18+CN19</f>
        <v>900000</v>
      </c>
      <c r="CP19" s="9">
        <f t="shared" ref="CP19" si="113">+CP18+CO19</f>
        <v>900000</v>
      </c>
      <c r="CQ19" s="9">
        <f t="shared" ref="CQ19" si="114">+CQ18+CP19</f>
        <v>900000</v>
      </c>
      <c r="CR19" s="9">
        <f t="shared" ref="CR19" si="115">+CR18+CQ19</f>
        <v>900000</v>
      </c>
      <c r="CS19" s="9">
        <f t="shared" ref="CS19" si="116">+CS18+CR19</f>
        <v>900000</v>
      </c>
      <c r="CT19" s="9">
        <f t="shared" ref="CT19" si="117">+CT18+CS19</f>
        <v>900000</v>
      </c>
      <c r="CU19" s="9">
        <f t="shared" ref="CU19" si="118">+CU18+CT19</f>
        <v>900000</v>
      </c>
      <c r="CV19" s="9">
        <f t="shared" ref="CV19" si="119">+CV18+CU19</f>
        <v>900000</v>
      </c>
      <c r="CW19" s="9">
        <f t="shared" ref="CW19" si="120">+CW18+CV19</f>
        <v>900000</v>
      </c>
      <c r="CX19" s="9">
        <f t="shared" ref="CX19" si="121">+CX18+CW19</f>
        <v>900000</v>
      </c>
      <c r="CY19" s="9">
        <f t="shared" ref="CY19" si="122">+CY18+CX19</f>
        <v>900000</v>
      </c>
      <c r="CZ19" s="9">
        <f t="shared" ref="CZ19" si="123">+CZ18+CY19</f>
        <v>900000</v>
      </c>
      <c r="DA19" s="9">
        <f t="shared" ref="DA19" si="124">+DA18+CZ19</f>
        <v>900000</v>
      </c>
      <c r="DB19" s="9">
        <f t="shared" ref="DB19" si="125">+DB18+DA19</f>
        <v>900000</v>
      </c>
      <c r="DC19" s="9">
        <f t="shared" ref="DC19" si="126">+DC18+DB19</f>
        <v>900000</v>
      </c>
      <c r="DD19" s="9">
        <f t="shared" ref="DD19" si="127">+DD18+DC19</f>
        <v>900000</v>
      </c>
      <c r="DE19" s="9">
        <f t="shared" ref="DE19" si="128">+DE18+DD19</f>
        <v>900000</v>
      </c>
      <c r="DF19" s="9">
        <f t="shared" ref="DF19" si="129">+DF18+DE19</f>
        <v>900000</v>
      </c>
      <c r="DG19" s="9">
        <f t="shared" ref="DG19:DH19" si="130">+DG18+DF19</f>
        <v>900000</v>
      </c>
      <c r="DH19" s="9">
        <f t="shared" si="130"/>
        <v>900000</v>
      </c>
    </row>
    <row r="20" spans="2:112" x14ac:dyDescent="0.3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72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</row>
    <row r="21" spans="2:112" x14ac:dyDescent="0.3">
      <c r="F21" s="513">
        <f t="shared" ref="F21:AK21" si="131">+IF(F$3&lt;$C$25,0,IF(AND(F$3&gt;=$C$25,E21&lt;12, $C$26&gt;=F$3),E21+1,0))</f>
        <v>0</v>
      </c>
      <c r="G21" s="513">
        <f t="shared" si="131"/>
        <v>0</v>
      </c>
      <c r="H21" s="513">
        <f t="shared" si="131"/>
        <v>0</v>
      </c>
      <c r="I21" s="513">
        <f t="shared" si="131"/>
        <v>0</v>
      </c>
      <c r="J21" s="513">
        <f t="shared" si="131"/>
        <v>0</v>
      </c>
      <c r="K21" s="513">
        <f t="shared" si="131"/>
        <v>0</v>
      </c>
      <c r="L21" s="513">
        <f t="shared" si="131"/>
        <v>0</v>
      </c>
      <c r="M21" s="513">
        <f t="shared" si="131"/>
        <v>0</v>
      </c>
      <c r="N21" s="513">
        <f t="shared" si="131"/>
        <v>0</v>
      </c>
      <c r="O21" s="513">
        <f t="shared" si="131"/>
        <v>0</v>
      </c>
      <c r="P21" s="513">
        <f t="shared" si="131"/>
        <v>0</v>
      </c>
      <c r="Q21" s="513">
        <f t="shared" si="131"/>
        <v>0</v>
      </c>
      <c r="R21" s="513">
        <f t="shared" si="131"/>
        <v>0</v>
      </c>
      <c r="S21" s="513">
        <f t="shared" si="131"/>
        <v>0</v>
      </c>
      <c r="T21" s="513">
        <f t="shared" si="131"/>
        <v>0</v>
      </c>
      <c r="U21" s="513">
        <f t="shared" si="131"/>
        <v>0</v>
      </c>
      <c r="V21" s="82">
        <f t="shared" si="131"/>
        <v>0</v>
      </c>
      <c r="W21" s="82">
        <f t="shared" si="131"/>
        <v>0</v>
      </c>
      <c r="X21" s="82">
        <f t="shared" si="131"/>
        <v>0</v>
      </c>
      <c r="Y21" s="252">
        <f t="shared" si="131"/>
        <v>0</v>
      </c>
      <c r="Z21" s="513">
        <f t="shared" si="131"/>
        <v>0</v>
      </c>
      <c r="AA21" s="513">
        <f t="shared" si="131"/>
        <v>0</v>
      </c>
      <c r="AB21" s="513">
        <f t="shared" si="131"/>
        <v>0</v>
      </c>
      <c r="AC21" s="513">
        <f t="shared" si="131"/>
        <v>0</v>
      </c>
      <c r="AD21" s="513">
        <f t="shared" si="131"/>
        <v>0</v>
      </c>
      <c r="AE21" s="513">
        <f t="shared" si="131"/>
        <v>0</v>
      </c>
      <c r="AF21" s="513">
        <f t="shared" si="131"/>
        <v>0</v>
      </c>
      <c r="AG21" s="513">
        <f t="shared" si="131"/>
        <v>0</v>
      </c>
      <c r="AH21" s="513">
        <f>+IF(AH$3&lt;$C$25,0,IF(AND(AH$3&gt;=$C$25,AG21&lt;12, $C$26&gt;=AH$3),AG21+1,0))</f>
        <v>1</v>
      </c>
      <c r="AI21" s="513">
        <f t="shared" si="131"/>
        <v>2</v>
      </c>
      <c r="AJ21" s="513">
        <f t="shared" si="131"/>
        <v>3</v>
      </c>
      <c r="AK21" s="513">
        <f t="shared" si="131"/>
        <v>4</v>
      </c>
      <c r="AL21" s="513">
        <f t="shared" ref="AL21:BQ21" si="132">+IF(AL$3&lt;$C$25,0,IF(AND(AL$3&gt;=$C$25,AK21&lt;12, $C$26&gt;=AL$3),AK21+1,0))</f>
        <v>5</v>
      </c>
      <c r="AM21" s="513">
        <f t="shared" si="132"/>
        <v>6</v>
      </c>
      <c r="AN21" s="513">
        <f t="shared" si="132"/>
        <v>7</v>
      </c>
      <c r="AO21" s="513">
        <f t="shared" si="132"/>
        <v>8</v>
      </c>
      <c r="AP21" s="513">
        <f t="shared" si="132"/>
        <v>9</v>
      </c>
      <c r="AQ21" s="513">
        <f t="shared" si="132"/>
        <v>10</v>
      </c>
      <c r="AR21" s="513">
        <f t="shared" si="132"/>
        <v>11</v>
      </c>
      <c r="AS21" s="513">
        <f t="shared" si="132"/>
        <v>12</v>
      </c>
      <c r="AT21" s="513">
        <f t="shared" si="132"/>
        <v>0</v>
      </c>
      <c r="AU21" s="513">
        <f t="shared" si="132"/>
        <v>0</v>
      </c>
      <c r="AV21" s="513">
        <f t="shared" si="132"/>
        <v>0</v>
      </c>
      <c r="AW21" s="513">
        <f t="shared" si="132"/>
        <v>0</v>
      </c>
      <c r="AX21" s="513">
        <f t="shared" si="132"/>
        <v>0</v>
      </c>
      <c r="AY21" s="513">
        <f t="shared" si="132"/>
        <v>0</v>
      </c>
      <c r="AZ21" s="513">
        <f t="shared" si="132"/>
        <v>0</v>
      </c>
      <c r="BA21" s="513">
        <f t="shared" si="132"/>
        <v>0</v>
      </c>
      <c r="BB21" s="513">
        <f t="shared" si="132"/>
        <v>0</v>
      </c>
      <c r="BC21" s="513">
        <f t="shared" si="132"/>
        <v>0</v>
      </c>
      <c r="BD21" s="513">
        <f t="shared" si="132"/>
        <v>0</v>
      </c>
      <c r="BE21" s="513">
        <f t="shared" si="132"/>
        <v>0</v>
      </c>
      <c r="BF21" s="513">
        <f t="shared" si="132"/>
        <v>0</v>
      </c>
      <c r="BG21" s="513">
        <f t="shared" si="132"/>
        <v>0</v>
      </c>
      <c r="BH21" s="513">
        <f t="shared" si="132"/>
        <v>0</v>
      </c>
      <c r="BI21" s="513">
        <f t="shared" si="132"/>
        <v>0</v>
      </c>
      <c r="BJ21" s="513">
        <f t="shared" si="132"/>
        <v>0</v>
      </c>
      <c r="BK21" s="513">
        <f t="shared" si="132"/>
        <v>0</v>
      </c>
      <c r="BL21" s="513">
        <f t="shared" si="132"/>
        <v>0</v>
      </c>
      <c r="BM21" s="513">
        <f t="shared" si="132"/>
        <v>0</v>
      </c>
      <c r="BN21" s="513">
        <f t="shared" si="132"/>
        <v>0</v>
      </c>
      <c r="BO21" s="513">
        <f t="shared" si="132"/>
        <v>0</v>
      </c>
      <c r="BP21" s="513">
        <f t="shared" si="132"/>
        <v>0</v>
      </c>
      <c r="BQ21" s="513">
        <f t="shared" si="132"/>
        <v>0</v>
      </c>
      <c r="BR21" s="513">
        <f t="shared" ref="BR21:CV21" si="133">+IF(BR$3&lt;$C$25,0,IF(AND(BR$3&gt;=$C$25,BQ21&lt;12, $C$26&gt;=BR$3),BQ21+1,0))</f>
        <v>0</v>
      </c>
      <c r="BS21" s="513">
        <f t="shared" si="133"/>
        <v>0</v>
      </c>
      <c r="BT21" s="513">
        <f t="shared" si="133"/>
        <v>0</v>
      </c>
      <c r="BU21" s="513">
        <f t="shared" si="133"/>
        <v>0</v>
      </c>
      <c r="BV21" s="513">
        <f t="shared" si="133"/>
        <v>0</v>
      </c>
      <c r="BW21" s="513">
        <f t="shared" si="133"/>
        <v>0</v>
      </c>
      <c r="BX21" s="513">
        <f t="shared" si="133"/>
        <v>0</v>
      </c>
      <c r="BY21" s="513">
        <f t="shared" si="133"/>
        <v>0</v>
      </c>
      <c r="BZ21" s="513">
        <f t="shared" si="133"/>
        <v>0</v>
      </c>
      <c r="CA21" s="513">
        <f t="shared" si="133"/>
        <v>0</v>
      </c>
      <c r="CB21" s="513">
        <f t="shared" si="133"/>
        <v>0</v>
      </c>
      <c r="CC21" s="513">
        <f t="shared" si="133"/>
        <v>0</v>
      </c>
      <c r="CD21" s="513">
        <f t="shared" si="133"/>
        <v>0</v>
      </c>
      <c r="CE21" s="513">
        <f t="shared" si="133"/>
        <v>0</v>
      </c>
      <c r="CF21" s="513">
        <f t="shared" si="133"/>
        <v>0</v>
      </c>
      <c r="CG21" s="513">
        <f t="shared" si="133"/>
        <v>0</v>
      </c>
      <c r="CH21" s="513">
        <f t="shared" si="133"/>
        <v>0</v>
      </c>
      <c r="CI21" s="513">
        <f t="shared" si="133"/>
        <v>0</v>
      </c>
      <c r="CJ21" s="513">
        <f t="shared" si="133"/>
        <v>0</v>
      </c>
      <c r="CK21" s="513">
        <f t="shared" si="133"/>
        <v>0</v>
      </c>
      <c r="CL21" s="513">
        <f t="shared" si="133"/>
        <v>0</v>
      </c>
      <c r="CM21" s="513">
        <f t="shared" si="133"/>
        <v>0</v>
      </c>
      <c r="CN21" s="513">
        <f t="shared" si="133"/>
        <v>0</v>
      </c>
      <c r="CO21" s="513">
        <f t="shared" si="133"/>
        <v>0</v>
      </c>
      <c r="CP21" s="513">
        <f t="shared" si="133"/>
        <v>0</v>
      </c>
      <c r="CQ21" s="513">
        <f t="shared" si="133"/>
        <v>0</v>
      </c>
      <c r="CR21" s="513">
        <f t="shared" si="133"/>
        <v>0</v>
      </c>
      <c r="CS21" s="513">
        <f t="shared" si="133"/>
        <v>0</v>
      </c>
      <c r="CT21" s="513">
        <f t="shared" si="133"/>
        <v>0</v>
      </c>
      <c r="CU21" s="513">
        <f t="shared" si="133"/>
        <v>0</v>
      </c>
      <c r="CV21" s="513">
        <f t="shared" si="133"/>
        <v>0</v>
      </c>
      <c r="CW21" s="513">
        <f t="shared" ref="CW21:DG21" si="134">+IF(CW$3&lt;$C$25,0,IF(AND(CW$3&gt;=$C$25,CV21&lt;12, $C$26&gt;=CW$3),CV21+1,0))</f>
        <v>0</v>
      </c>
      <c r="CX21" s="513">
        <f t="shared" si="134"/>
        <v>0</v>
      </c>
      <c r="CY21" s="513">
        <f t="shared" si="134"/>
        <v>0</v>
      </c>
      <c r="CZ21" s="513">
        <f t="shared" si="134"/>
        <v>0</v>
      </c>
      <c r="DA21" s="513">
        <f t="shared" si="134"/>
        <v>0</v>
      </c>
      <c r="DB21" s="513">
        <f t="shared" si="134"/>
        <v>0</v>
      </c>
      <c r="DC21" s="513">
        <f t="shared" si="134"/>
        <v>0</v>
      </c>
      <c r="DD21" s="513">
        <f t="shared" si="134"/>
        <v>0</v>
      </c>
      <c r="DE21" s="513">
        <f t="shared" si="134"/>
        <v>0</v>
      </c>
      <c r="DF21" s="513">
        <f t="shared" si="134"/>
        <v>0</v>
      </c>
      <c r="DG21" s="513">
        <f t="shared" si="134"/>
        <v>0</v>
      </c>
      <c r="DH21" s="513">
        <f t="shared" ref="DH21" si="135">+IF(DH$3&lt;$C$25,0,IF(AND(DH$3&gt;=$C$25,DG21&lt;12, $C$26&gt;=DH$3),DG21+1,0))</f>
        <v>0</v>
      </c>
    </row>
    <row r="22" spans="2:112" x14ac:dyDescent="0.3">
      <c r="B22" t="s">
        <v>375</v>
      </c>
      <c r="D22" t="s">
        <v>244</v>
      </c>
      <c r="E22" s="459"/>
      <c r="F22" s="459">
        <f>+IFERROR(INDEX(Assumptions!$F$5:$F$16, MATCH(F21, Assumptions!$D$5:$D$16, 0))*$C$23, 0)</f>
        <v>0</v>
      </c>
      <c r="G22" s="459">
        <f>+IFERROR(INDEX(Assumptions!$F$5:$F$16, MATCH(G21, Assumptions!$D$5:$D$16, 0))*$C$23, 0)</f>
        <v>0</v>
      </c>
      <c r="H22" s="459">
        <f>+IFERROR(INDEX(Assumptions!$F$5:$F$16, MATCH(H21, Assumptions!$D$5:$D$16, 0))*$C$23, 0)</f>
        <v>0</v>
      </c>
      <c r="I22" s="459">
        <f>+IFERROR(INDEX(Assumptions!$F$5:$F$16, MATCH(I21, Assumptions!$D$5:$D$16, 0))*$C$23, 0)</f>
        <v>0</v>
      </c>
      <c r="J22" s="459">
        <f>+IFERROR(INDEX(Assumptions!$F$5:$F$16, MATCH(J21, Assumptions!$D$5:$D$16, 0))*$C$23, 0)</f>
        <v>0</v>
      </c>
      <c r="K22" s="459">
        <f>+IFERROR(INDEX(Assumptions!$F$5:$F$16, MATCH(K21, Assumptions!$D$5:$D$16, 0))*$C$23, 0)</f>
        <v>0</v>
      </c>
      <c r="L22" s="459">
        <f>+IFERROR(INDEX(Assumptions!$F$5:$F$16, MATCH(L21, Assumptions!$D$5:$D$16, 0))*$C$23, 0)</f>
        <v>0</v>
      </c>
      <c r="M22" s="459">
        <f>+IFERROR(INDEX(Assumptions!$F$5:$F$16, MATCH(M21, Assumptions!$D$5:$D$16, 0))*$C$23, 0)</f>
        <v>0</v>
      </c>
      <c r="N22" s="459">
        <f>+IFERROR(INDEX(Assumptions!$F$5:$F$16, MATCH(N21, Assumptions!$D$5:$D$16, 0))*$C$23, 0)</f>
        <v>0</v>
      </c>
      <c r="O22" s="459">
        <f>+IFERROR(INDEX(Assumptions!$F$5:$F$16, MATCH(O21, Assumptions!$D$5:$D$16, 0))*$C$23, 0)</f>
        <v>0</v>
      </c>
      <c r="P22" s="459">
        <f>+IFERROR(INDEX(Assumptions!$F$5:$F$16, MATCH(P21, Assumptions!$D$5:$D$16, 0))*$C$23, 0)</f>
        <v>0</v>
      </c>
      <c r="Q22" s="459">
        <f>+IFERROR(INDEX(Assumptions!$F$5:$F$16, MATCH(Q21, Assumptions!$D$5:$D$16, 0))*$C$23, 0)</f>
        <v>0</v>
      </c>
      <c r="R22" s="459">
        <f>+IFERROR(INDEX(Assumptions!$F$5:$F$16, MATCH(R21, Assumptions!$D$5:$D$16, 0))*$C$23, 0)</f>
        <v>0</v>
      </c>
      <c r="S22" s="459">
        <f>+IFERROR(INDEX(Assumptions!$F$5:$F$16, MATCH(S21, Assumptions!$D$5:$D$16, 0))*$C$23, 0)</f>
        <v>0</v>
      </c>
      <c r="T22" s="459">
        <f>+IFERROR(INDEX(Assumptions!$F$5:$F$16, MATCH(T21, Assumptions!$D$5:$D$16, 0))*$C$23, 0)</f>
        <v>0</v>
      </c>
      <c r="U22" s="459">
        <f>+IFERROR(INDEX(Assumptions!$F$5:$F$16, MATCH(U21, Assumptions!$D$5:$D$16, 0))*$C$23, 0)</f>
        <v>0</v>
      </c>
      <c r="V22" s="535">
        <f>+IFERROR(INDEX(Assumptions!$F$5:$F$16, MATCH(V21, Assumptions!$D$5:$D$16, 0))*$C$23, 0)</f>
        <v>0</v>
      </c>
      <c r="W22" s="147">
        <f>+IFERROR(INDEX(Assumptions!$F$5:$F$16, MATCH(W21, Assumptions!$D$5:$D$16, 0))*$C$23, 0)</f>
        <v>0</v>
      </c>
      <c r="X22" s="147">
        <f>+IFERROR(INDEX(Assumptions!$F$5:$F$16, MATCH(X21, Assumptions!$D$5:$D$16, 0))*$C$23, 0)</f>
        <v>0</v>
      </c>
      <c r="Y22" s="347">
        <f>+IFERROR(INDEX(Assumptions!$F$5:$F$16, MATCH(Y21, Assumptions!$D$5:$D$16, 0))*$C$23, 0)</f>
        <v>0</v>
      </c>
      <c r="Z22" s="280">
        <f>+IFERROR(INDEX(Assumptions!$F$5:$F$16, MATCH(Z21, Assumptions!$D$5:$D$16, 0))*$C$23, 0)</f>
        <v>0</v>
      </c>
      <c r="AA22" s="280">
        <f>+IFERROR(INDEX(Assumptions!$F$5:$F$16, MATCH(AA21, Assumptions!$D$5:$D$16, 0))*$C$23, 0)</f>
        <v>0</v>
      </c>
      <c r="AB22" s="280">
        <f>+IFERROR(INDEX(Assumptions!$F$5:$F$16, MATCH(AB21, Assumptions!$D$5:$D$16, 0))*$C$23, 0)</f>
        <v>0</v>
      </c>
      <c r="AC22" s="280">
        <f>+IFERROR(INDEX(Assumptions!$F$5:$F$16, MATCH(AC21, Assumptions!$D$5:$D$16, 0))*$C$23, 0)</f>
        <v>0</v>
      </c>
      <c r="AD22" s="280">
        <f>+IFERROR(INDEX(Assumptions!$F$5:$F$16, MATCH(AD21, Assumptions!$D$5:$D$16, 0))*$C$23, 0)</f>
        <v>0</v>
      </c>
      <c r="AE22" s="280">
        <f>+IFERROR(INDEX(Assumptions!$F$5:$F$16, MATCH(AE21, Assumptions!$D$5:$D$16, 0))*$C$23, 0)</f>
        <v>0</v>
      </c>
      <c r="AF22" s="280">
        <f>+IFERROR(INDEX(Assumptions!$F$5:$F$16, MATCH(AF21, Assumptions!$D$5:$D$16, 0))*$C$23, 0)</f>
        <v>0</v>
      </c>
      <c r="AG22" s="280">
        <f>+IFERROR(INDEX(Assumptions!$F$5:$F$16, MATCH(AG21, Assumptions!$D$5:$D$16, 0))*$C$23, 0)</f>
        <v>0</v>
      </c>
      <c r="AH22" s="280">
        <f>+IFERROR(INDEX(Assumptions!$F$5:$F$16, MATCH(AH21, Assumptions!$D$5:$D$16, 0))*$C$23, 0)</f>
        <v>0</v>
      </c>
      <c r="AI22" s="280">
        <f>+IFERROR(INDEX(Assumptions!$F$5:$F$16, MATCH(AI21, Assumptions!$D$5:$D$16, 0))*$C$23, 0)</f>
        <v>9040.4597555340497</v>
      </c>
      <c r="AJ22" s="280">
        <f>+IFERROR(INDEX(Assumptions!$F$5:$F$16, MATCH(AJ21, Assumptions!$D$5:$D$16, 0))*$C$23, 0)</f>
        <v>1293.0145500852113</v>
      </c>
      <c r="AK22" s="280">
        <f>+IFERROR(INDEX(Assumptions!$F$5:$F$16, MATCH(AK21, Assumptions!$D$5:$D$16, 0))*$C$23, 0)</f>
        <v>53586.167873090031</v>
      </c>
      <c r="AL22" s="280">
        <f>+IFERROR(INDEX(Assumptions!$F$5:$F$16, MATCH(AL21, Assumptions!$D$5:$D$16, 0))*$C$23, 0)</f>
        <v>4837.1514687261815</v>
      </c>
      <c r="AM22" s="280">
        <f>+IFERROR(INDEX(Assumptions!$F$5:$F$16, MATCH(AM21, Assumptions!$D$5:$D$16, 0))*$C$23, 0)</f>
        <v>218827.33477455677</v>
      </c>
      <c r="AN22" s="280">
        <f>+IFERROR(INDEX(Assumptions!$F$5:$F$16, MATCH(AN21, Assumptions!$D$5:$D$16, 0))*$C$23, 0)</f>
        <v>392431.53887035867</v>
      </c>
      <c r="AO22" s="280">
        <f>+IFERROR(INDEX(Assumptions!$F$5:$F$16, MATCH(AO21, Assumptions!$D$5:$D$16, 0))*$C$23, 0)</f>
        <v>264427.16901328409</v>
      </c>
      <c r="AP22" s="280">
        <f>+IFERROR(INDEX(Assumptions!$F$5:$F$16, MATCH(AP21, Assumptions!$D$5:$D$16, 0))*$C$23, 0)</f>
        <v>174488.80164262865</v>
      </c>
      <c r="AQ22" s="280">
        <f>+IFERROR(INDEX(Assumptions!$F$5:$F$16, MATCH(AQ21, Assumptions!$D$5:$D$16, 0))*$C$23, 0)</f>
        <v>36530.960089376575</v>
      </c>
      <c r="AR22" s="280">
        <f>+IFERROR(INDEX(Assumptions!$F$5:$F$16, MATCH(AR21, Assumptions!$D$5:$D$16, 0))*$C$23, 0)</f>
        <v>279754.31340076023</v>
      </c>
      <c r="AS22" s="280">
        <f>+IFERROR(INDEX(Assumptions!$F$5:$F$16, MATCH(AS21, Assumptions!$D$5:$D$16, 0))*$C$23, 0)</f>
        <v>64783.088561599536</v>
      </c>
      <c r="AT22" s="280">
        <f>+IFERROR(INDEX(Assumptions!$F$5:$F$16, MATCH(AT21, Assumptions!$D$5:$D$16, 0))*$C$23, 0)</f>
        <v>0</v>
      </c>
      <c r="AU22" s="280">
        <f>+IFERROR(INDEX(Assumptions!$F$5:$F$16, MATCH(AU21, Assumptions!$D$5:$D$16, 0))*$C$23, 0)</f>
        <v>0</v>
      </c>
      <c r="AV22" s="280">
        <f>+IFERROR(INDEX(Assumptions!$F$5:$F$16, MATCH(AV21, Assumptions!$D$5:$D$16, 0))*$C$23, 0)</f>
        <v>0</v>
      </c>
      <c r="AW22" s="280">
        <f>+IFERROR(INDEX(Assumptions!$F$5:$F$16, MATCH(AW21, Assumptions!$D$5:$D$16, 0))*$C$23, 0)</f>
        <v>0</v>
      </c>
      <c r="AX22" s="280">
        <f>+IFERROR(INDEX(Assumptions!$F$5:$F$16, MATCH(AX21, Assumptions!$D$5:$D$16, 0))*$C$23, 0)</f>
        <v>0</v>
      </c>
      <c r="AY22" s="280">
        <f>+IFERROR(INDEX(Assumptions!$F$5:$F$16, MATCH(AY21, Assumptions!$D$5:$D$16, 0))*$C$23, 0)</f>
        <v>0</v>
      </c>
      <c r="AZ22" s="280">
        <f>+IFERROR(INDEX(Assumptions!$F$5:$F$16, MATCH(AZ21, Assumptions!$D$5:$D$16, 0))*$C$23, 0)</f>
        <v>0</v>
      </c>
      <c r="BA22" s="280">
        <f>+IFERROR(INDEX(Assumptions!$F$5:$F$16, MATCH(BA21, Assumptions!$D$5:$D$16, 0))*$C$23, 0)</f>
        <v>0</v>
      </c>
      <c r="BB22" s="280">
        <f>+IFERROR(INDEX(Assumptions!$F$5:$F$16, MATCH(BB21, Assumptions!$D$5:$D$16, 0))*$C$23, 0)</f>
        <v>0</v>
      </c>
      <c r="BC22" s="280">
        <f>+IFERROR(INDEX(Assumptions!$F$5:$F$16, MATCH(BC21, Assumptions!$D$5:$D$16, 0))*$C$23, 0)</f>
        <v>0</v>
      </c>
      <c r="BD22" s="280">
        <f>+IFERROR(INDEX(Assumptions!$F$5:$F$16, MATCH(BD21, Assumptions!$D$5:$D$16, 0))*$C$23, 0)</f>
        <v>0</v>
      </c>
      <c r="BE22" s="280">
        <f>+IFERROR(INDEX(Assumptions!$F$5:$F$16, MATCH(BE21, Assumptions!$D$5:$D$16, 0))*$C$23, 0)</f>
        <v>0</v>
      </c>
      <c r="BF22" s="280">
        <f>+IFERROR(INDEX(Assumptions!$F$5:$F$16, MATCH(BF21, Assumptions!$D$5:$D$16, 0))*$C$23, 0)</f>
        <v>0</v>
      </c>
      <c r="BG22" s="280">
        <f>+IFERROR(INDEX(Assumptions!$F$5:$F$16, MATCH(BG21, Assumptions!$D$5:$D$16, 0))*$C$23, 0)</f>
        <v>0</v>
      </c>
      <c r="BH22" s="280">
        <f>+IFERROR(INDEX(Assumptions!$F$5:$F$16, MATCH(BH21, Assumptions!$D$5:$D$16, 0))*$C$23, 0)</f>
        <v>0</v>
      </c>
      <c r="BI22" s="280">
        <f>+IFERROR(INDEX(Assumptions!$F$5:$F$16, MATCH(BI21, Assumptions!$D$5:$D$16, 0))*$C$23, 0)</f>
        <v>0</v>
      </c>
      <c r="BJ22" s="280">
        <f>+IFERROR(INDEX(Assumptions!$F$5:$F$16, MATCH(BJ21, Assumptions!$D$5:$D$16, 0))*$C$23, 0)</f>
        <v>0</v>
      </c>
      <c r="BK22" s="280">
        <f>+IFERROR(INDEX(Assumptions!$F$5:$F$16, MATCH(BK21, Assumptions!$D$5:$D$16, 0))*$C$23, 0)</f>
        <v>0</v>
      </c>
      <c r="BL22" s="280">
        <f>+IFERROR(INDEX(Assumptions!$F$5:$F$16, MATCH(BL21, Assumptions!$D$5:$D$16, 0))*$C$23, 0)</f>
        <v>0</v>
      </c>
      <c r="BM22" s="280">
        <f>+IFERROR(INDEX(Assumptions!$F$5:$F$16, MATCH(BM21, Assumptions!$D$5:$D$16, 0))*$C$23, 0)</f>
        <v>0</v>
      </c>
      <c r="BN22" s="280">
        <f>+IFERROR(INDEX(Assumptions!$F$5:$F$16, MATCH(BN21, Assumptions!$D$5:$D$16, 0))*$C$23, 0)</f>
        <v>0</v>
      </c>
      <c r="BO22" s="280">
        <f>+IFERROR(INDEX(Assumptions!$F$5:$F$16, MATCH(BO21, Assumptions!$D$5:$D$16, 0))*$C$23, 0)</f>
        <v>0</v>
      </c>
      <c r="BP22" s="280">
        <f>+IFERROR(INDEX(Assumptions!$F$5:$F$16, MATCH(BP21, Assumptions!$D$5:$D$16, 0))*$C$23, 0)</f>
        <v>0</v>
      </c>
      <c r="BQ22" s="280">
        <f>+IFERROR(INDEX(Assumptions!$F$5:$F$16, MATCH(BQ21, Assumptions!$D$5:$D$16, 0))*$C$23, 0)</f>
        <v>0</v>
      </c>
      <c r="BR22" s="280">
        <f>+IFERROR(INDEX(Assumptions!$F$5:$F$16, MATCH(BR21, Assumptions!$D$5:$D$16, 0))*$C$23, 0)</f>
        <v>0</v>
      </c>
      <c r="BS22" s="280">
        <f>+IFERROR(INDEX(Assumptions!$F$5:$F$16, MATCH(BS21, Assumptions!$D$5:$D$16, 0))*$C$23, 0)</f>
        <v>0</v>
      </c>
      <c r="BT22" s="280">
        <f>+IFERROR(INDEX(Assumptions!$F$5:$F$16, MATCH(BT21, Assumptions!$D$5:$D$16, 0))*$C$23, 0)</f>
        <v>0</v>
      </c>
      <c r="BU22" s="280">
        <f>+IFERROR(INDEX(Assumptions!$F$5:$F$16, MATCH(BU21, Assumptions!$D$5:$D$16, 0))*$C$23, 0)</f>
        <v>0</v>
      </c>
      <c r="BV22" s="280">
        <f>+IFERROR(INDEX(Assumptions!$F$5:$F$16, MATCH(BV21, Assumptions!$D$5:$D$16, 0))*$C$23, 0)</f>
        <v>0</v>
      </c>
      <c r="BW22" s="280">
        <f>+IFERROR(INDEX(Assumptions!$F$5:$F$16, MATCH(BW21, Assumptions!$D$5:$D$16, 0))*$C$23, 0)</f>
        <v>0</v>
      </c>
      <c r="BX22" s="280">
        <f>+IFERROR(INDEX(Assumptions!$F$5:$F$16, MATCH(BX21, Assumptions!$D$5:$D$16, 0))*$C$23, 0)</f>
        <v>0</v>
      </c>
      <c r="BY22" s="280">
        <f>+IFERROR(INDEX(Assumptions!$F$5:$F$16, MATCH(BY21, Assumptions!$D$5:$D$16, 0))*$C$23, 0)</f>
        <v>0</v>
      </c>
      <c r="BZ22" s="280">
        <f>+IFERROR(INDEX(Assumptions!$F$5:$F$16, MATCH(BZ21, Assumptions!$D$5:$D$16, 0))*$C$23, 0)</f>
        <v>0</v>
      </c>
      <c r="CA22" s="280">
        <f>+IFERROR(INDEX(Assumptions!$F$5:$F$16, MATCH(CA21, Assumptions!$D$5:$D$16, 0))*$C$23, 0)</f>
        <v>0</v>
      </c>
      <c r="CB22" s="280">
        <f>+IFERROR(INDEX(Assumptions!$F$5:$F$16, MATCH(CB21, Assumptions!$D$5:$D$16, 0))*$C$23, 0)</f>
        <v>0</v>
      </c>
      <c r="CC22" s="280">
        <f>+IFERROR(INDEX(Assumptions!$F$5:$F$16, MATCH(CC21, Assumptions!$D$5:$D$16, 0))*$C$23, 0)</f>
        <v>0</v>
      </c>
      <c r="CD22" s="280">
        <f>+IFERROR(INDEX(Assumptions!$F$5:$F$16, MATCH(CD21, Assumptions!$D$5:$D$16, 0))*$C$23, 0)</f>
        <v>0</v>
      </c>
      <c r="CE22" s="280">
        <f>+IFERROR(INDEX(Assumptions!$F$5:$F$16, MATCH(CE21, Assumptions!$D$5:$D$16, 0))*$C$23, 0)</f>
        <v>0</v>
      </c>
      <c r="CF22" s="280">
        <f>+IFERROR(INDEX(Assumptions!$F$5:$F$16, MATCH(CF21, Assumptions!$D$5:$D$16, 0))*$C$23, 0)</f>
        <v>0</v>
      </c>
      <c r="CG22" s="280">
        <f>+IFERROR(INDEX(Assumptions!$F$5:$F$16, MATCH(CG21, Assumptions!$D$5:$D$16, 0))*$C$23, 0)</f>
        <v>0</v>
      </c>
      <c r="CH22" s="280">
        <f>+IFERROR(INDEX(Assumptions!$F$5:$F$16, MATCH(CH21, Assumptions!$D$5:$D$16, 0))*$C$23, 0)</f>
        <v>0</v>
      </c>
      <c r="CI22" s="280">
        <f>+IFERROR(INDEX(Assumptions!$F$5:$F$16, MATCH(CI21, Assumptions!$D$5:$D$16, 0))*$C$23, 0)</f>
        <v>0</v>
      </c>
      <c r="CJ22" s="280">
        <f>+IFERROR(INDEX(Assumptions!$F$5:$F$16, MATCH(CJ21, Assumptions!$D$5:$D$16, 0))*$C$23, 0)</f>
        <v>0</v>
      </c>
      <c r="CK22" s="280">
        <f>+IFERROR(INDEX(Assumptions!$F$5:$F$16, MATCH(CK21, Assumptions!$D$5:$D$16, 0))*$C$23, 0)</f>
        <v>0</v>
      </c>
      <c r="CL22" s="280">
        <f>+IFERROR(INDEX(Assumptions!$F$5:$F$16, MATCH(CL21, Assumptions!$D$5:$D$16, 0))*$C$23, 0)</f>
        <v>0</v>
      </c>
      <c r="CM22" s="280">
        <f>+IFERROR(INDEX(Assumptions!$F$5:$F$16, MATCH(CM21, Assumptions!$D$5:$D$16, 0))*$C$23, 0)</f>
        <v>0</v>
      </c>
      <c r="CN22" s="280">
        <f>+IFERROR(INDEX(Assumptions!$F$5:$F$16, MATCH(CN21, Assumptions!$D$5:$D$16, 0))*$C$23, 0)</f>
        <v>0</v>
      </c>
      <c r="CO22" s="280">
        <f>+IFERROR(INDEX(Assumptions!$F$5:$F$16, MATCH(CO21, Assumptions!$D$5:$D$16, 0))*$C$23, 0)</f>
        <v>0</v>
      </c>
      <c r="CP22" s="280">
        <f>+IFERROR(INDEX(Assumptions!$F$5:$F$16, MATCH(CP21, Assumptions!$D$5:$D$16, 0))*$C$23, 0)</f>
        <v>0</v>
      </c>
      <c r="CQ22" s="280">
        <f>+IFERROR(INDEX(Assumptions!$F$5:$F$16, MATCH(CQ21, Assumptions!$D$5:$D$16, 0))*$C$23, 0)</f>
        <v>0</v>
      </c>
      <c r="CR22" s="280">
        <f>+IFERROR(INDEX(Assumptions!$F$5:$F$16, MATCH(CR21, Assumptions!$D$5:$D$16, 0))*$C$23, 0)</f>
        <v>0</v>
      </c>
      <c r="CS22" s="280">
        <f>+IFERROR(INDEX(Assumptions!$F$5:$F$16, MATCH(CS21, Assumptions!$D$5:$D$16, 0))*$C$23, 0)</f>
        <v>0</v>
      </c>
      <c r="CT22" s="280">
        <f>+IFERROR(INDEX(Assumptions!$F$5:$F$16, MATCH(CT21, Assumptions!$D$5:$D$16, 0))*$C$23, 0)</f>
        <v>0</v>
      </c>
      <c r="CU22" s="280">
        <f>+IFERROR(INDEX(Assumptions!$F$5:$F$16, MATCH(CU21, Assumptions!$D$5:$D$16, 0))*$C$23, 0)</f>
        <v>0</v>
      </c>
      <c r="CV22" s="280">
        <f>+IFERROR(INDEX(Assumptions!$F$5:$F$16, MATCH(CV21, Assumptions!$D$5:$D$16, 0))*$C$23, 0)</f>
        <v>0</v>
      </c>
      <c r="CW22" s="280">
        <f>+IFERROR(INDEX(Assumptions!$F$5:$F$16, MATCH(CW21, Assumptions!$D$5:$D$16, 0))*$C$23, 0)</f>
        <v>0</v>
      </c>
      <c r="CX22" s="280">
        <f>+IFERROR(INDEX(Assumptions!$F$5:$F$16, MATCH(CX21, Assumptions!$D$5:$D$16, 0))*$C$23, 0)</f>
        <v>0</v>
      </c>
      <c r="CY22" s="280">
        <f>+IFERROR(INDEX(Assumptions!$F$5:$F$16, MATCH(CY21, Assumptions!$D$5:$D$16, 0))*$C$23, 0)</f>
        <v>0</v>
      </c>
      <c r="CZ22" s="280">
        <f>+IFERROR(INDEX(Assumptions!$F$5:$F$16, MATCH(CZ21, Assumptions!$D$5:$D$16, 0))*$C$23, 0)</f>
        <v>0</v>
      </c>
      <c r="DA22" s="280">
        <f>+IFERROR(INDEX(Assumptions!$F$5:$F$16, MATCH(DA21, Assumptions!$D$5:$D$16, 0))*$C$23, 0)</f>
        <v>0</v>
      </c>
      <c r="DB22" s="280">
        <f>+IFERROR(INDEX(Assumptions!$F$5:$F$16, MATCH(DB21, Assumptions!$D$5:$D$16, 0))*$C$23, 0)</f>
        <v>0</v>
      </c>
      <c r="DC22" s="280">
        <f>+IFERROR(INDEX(Assumptions!$F$5:$F$16, MATCH(DC21, Assumptions!$D$5:$D$16, 0))*$C$23, 0)</f>
        <v>0</v>
      </c>
      <c r="DD22" s="280">
        <f>+IFERROR(INDEX(Assumptions!$F$5:$F$16, MATCH(DD21, Assumptions!$D$5:$D$16, 0))*$C$23, 0)</f>
        <v>0</v>
      </c>
      <c r="DE22" s="280">
        <f>+IFERROR(INDEX(Assumptions!$F$5:$F$16, MATCH(DE21, Assumptions!$D$5:$D$16, 0))*$C$23, 0)</f>
        <v>0</v>
      </c>
      <c r="DF22" s="280">
        <f>+IFERROR(INDEX(Assumptions!$F$5:$F$16, MATCH(DF21, Assumptions!$D$5:$D$16, 0))*$C$23, 0)</f>
        <v>0</v>
      </c>
      <c r="DG22" s="280">
        <f>+IFERROR(INDEX(Assumptions!$F$5:$F$16, MATCH(DG21, Assumptions!$D$5:$D$16, 0))*$C$23, 0)</f>
        <v>0</v>
      </c>
      <c r="DH22" s="280">
        <f>+IFERROR(INDEX(Assumptions!$F$5:$F$16, MATCH(DH21, Assumptions!$D$5:$D$16, 0))*$C$23, 0)</f>
        <v>0</v>
      </c>
    </row>
    <row r="23" spans="2:112" x14ac:dyDescent="0.3">
      <c r="B23" t="s">
        <v>242</v>
      </c>
      <c r="C23" s="208">
        <v>1500000</v>
      </c>
      <c r="D23" t="s">
        <v>294</v>
      </c>
      <c r="E23" s="459"/>
      <c r="F23" s="459">
        <f t="shared" ref="F23" si="136">+F22+E23</f>
        <v>0</v>
      </c>
      <c r="G23" s="459">
        <f t="shared" ref="G23" si="137">+G22+F23</f>
        <v>0</v>
      </c>
      <c r="H23" s="459">
        <f t="shared" ref="H23" si="138">+H22+G23</f>
        <v>0</v>
      </c>
      <c r="I23" s="459">
        <f t="shared" ref="I23" si="139">+I22+H23</f>
        <v>0</v>
      </c>
      <c r="J23" s="459">
        <f t="shared" ref="J23" si="140">+J22+I23</f>
        <v>0</v>
      </c>
      <c r="K23" s="459">
        <f t="shared" ref="K23" si="141">+K22+J23</f>
        <v>0</v>
      </c>
      <c r="L23" s="459">
        <f t="shared" ref="L23" si="142">+L22+K23</f>
        <v>0</v>
      </c>
      <c r="M23" s="459">
        <f t="shared" ref="M23" si="143">+M22+L23</f>
        <v>0</v>
      </c>
      <c r="N23" s="459">
        <f t="shared" ref="N23" si="144">+N22+M23</f>
        <v>0</v>
      </c>
      <c r="O23" s="459">
        <f t="shared" ref="O23" si="145">+O22+N23</f>
        <v>0</v>
      </c>
      <c r="P23" s="459">
        <f t="shared" ref="P23" si="146">+P22+O23</f>
        <v>0</v>
      </c>
      <c r="Q23" s="459">
        <f t="shared" ref="Q23" si="147">+Q22+P23</f>
        <v>0</v>
      </c>
      <c r="R23" s="459">
        <f t="shared" ref="R23" si="148">+R22+Q23</f>
        <v>0</v>
      </c>
      <c r="S23" s="459">
        <f t="shared" ref="S23" si="149">+S22+R23</f>
        <v>0</v>
      </c>
      <c r="T23" s="459">
        <f t="shared" ref="T23" si="150">+T22+S23</f>
        <v>0</v>
      </c>
      <c r="U23" s="459">
        <f t="shared" ref="U23" si="151">+U22+T23</f>
        <v>0</v>
      </c>
      <c r="V23" s="535">
        <f t="shared" ref="V23" si="152">+V22+U23</f>
        <v>0</v>
      </c>
      <c r="W23" s="147">
        <f t="shared" ref="W23:AK23" si="153">+W22+V23</f>
        <v>0</v>
      </c>
      <c r="X23" s="147">
        <f t="shared" si="153"/>
        <v>0</v>
      </c>
      <c r="Y23" s="347">
        <f t="shared" si="153"/>
        <v>0</v>
      </c>
      <c r="Z23" s="280">
        <f t="shared" si="153"/>
        <v>0</v>
      </c>
      <c r="AA23" s="280">
        <f t="shared" si="153"/>
        <v>0</v>
      </c>
      <c r="AB23" s="280">
        <f t="shared" si="153"/>
        <v>0</v>
      </c>
      <c r="AC23" s="280">
        <f t="shared" si="153"/>
        <v>0</v>
      </c>
      <c r="AD23" s="280">
        <f t="shared" si="153"/>
        <v>0</v>
      </c>
      <c r="AE23" s="280">
        <f t="shared" si="153"/>
        <v>0</v>
      </c>
      <c r="AF23" s="280">
        <f t="shared" si="153"/>
        <v>0</v>
      </c>
      <c r="AG23" s="280">
        <f t="shared" si="153"/>
        <v>0</v>
      </c>
      <c r="AH23" s="280">
        <f t="shared" si="153"/>
        <v>0</v>
      </c>
      <c r="AI23" s="280">
        <f t="shared" si="153"/>
        <v>9040.4597555340497</v>
      </c>
      <c r="AJ23" s="280">
        <f t="shared" si="153"/>
        <v>10333.47430561926</v>
      </c>
      <c r="AK23" s="280">
        <f t="shared" si="153"/>
        <v>63919.642178709291</v>
      </c>
      <c r="AL23" s="280">
        <f t="shared" ref="AL23" si="154">+AL22+AK23</f>
        <v>68756.793647435479</v>
      </c>
      <c r="AM23" s="280">
        <f t="shared" ref="AM23" si="155">+AM22+AL23</f>
        <v>287584.12842199224</v>
      </c>
      <c r="AN23" s="280">
        <f t="shared" ref="AN23" si="156">+AN22+AM23</f>
        <v>680015.6672923509</v>
      </c>
      <c r="AO23" s="280">
        <f t="shared" ref="AO23" si="157">+AO22+AN23</f>
        <v>944442.83630563505</v>
      </c>
      <c r="AP23" s="280">
        <f t="shared" ref="AP23" si="158">+AP22+AO23</f>
        <v>1118931.6379482637</v>
      </c>
      <c r="AQ23" s="280">
        <f t="shared" ref="AQ23" si="159">+AQ22+AP23</f>
        <v>1155462.5980376403</v>
      </c>
      <c r="AR23" s="280">
        <f t="shared" ref="AR23" si="160">+AR22+AQ23</f>
        <v>1435216.9114384006</v>
      </c>
      <c r="AS23" s="280">
        <f t="shared" ref="AS23" si="161">+AS22+AR23</f>
        <v>1500000.0000000002</v>
      </c>
      <c r="AT23" s="280">
        <f t="shared" ref="AT23" si="162">+AT22+AS23</f>
        <v>1500000.0000000002</v>
      </c>
      <c r="AU23" s="280">
        <f t="shared" ref="AU23" si="163">+AU22+AT23</f>
        <v>1500000.0000000002</v>
      </c>
      <c r="AV23" s="280">
        <f t="shared" ref="AV23" si="164">+AV22+AU23</f>
        <v>1500000.0000000002</v>
      </c>
      <c r="AW23" s="280">
        <f t="shared" ref="AW23" si="165">+AW22+AV23</f>
        <v>1500000.0000000002</v>
      </c>
      <c r="AX23" s="280">
        <f t="shared" ref="AX23" si="166">+AX22+AW23</f>
        <v>1500000.0000000002</v>
      </c>
      <c r="AY23" s="280">
        <f t="shared" ref="AY23" si="167">+AY22+AX23</f>
        <v>1500000.0000000002</v>
      </c>
      <c r="AZ23" s="280">
        <f t="shared" ref="AZ23" si="168">+AZ22+AY23</f>
        <v>1500000.0000000002</v>
      </c>
      <c r="BA23" s="280">
        <f t="shared" ref="BA23" si="169">+BA22+AZ23</f>
        <v>1500000.0000000002</v>
      </c>
      <c r="BB23" s="280">
        <f t="shared" ref="BB23" si="170">+BB22+BA23</f>
        <v>1500000.0000000002</v>
      </c>
      <c r="BC23" s="280">
        <f t="shared" ref="BC23" si="171">+BC22+BB23</f>
        <v>1500000.0000000002</v>
      </c>
      <c r="BD23" s="280">
        <f t="shared" ref="BD23" si="172">+BD22+BC23</f>
        <v>1500000.0000000002</v>
      </c>
      <c r="BE23" s="280">
        <f t="shared" ref="BE23" si="173">+BE22+BD23</f>
        <v>1500000.0000000002</v>
      </c>
      <c r="BF23" s="280">
        <f t="shared" ref="BF23" si="174">+BF22+BE23</f>
        <v>1500000.0000000002</v>
      </c>
      <c r="BG23" s="280">
        <f t="shared" ref="BG23" si="175">+BG22+BF23</f>
        <v>1500000.0000000002</v>
      </c>
      <c r="BH23" s="280">
        <f t="shared" ref="BH23" si="176">+BH22+BG23</f>
        <v>1500000.0000000002</v>
      </c>
      <c r="BI23" s="280">
        <f t="shared" ref="BI23" si="177">+BI22+BH23</f>
        <v>1500000.0000000002</v>
      </c>
      <c r="BJ23" s="280">
        <f t="shared" ref="BJ23" si="178">+BJ22+BI23</f>
        <v>1500000.0000000002</v>
      </c>
      <c r="BK23" s="280">
        <f t="shared" ref="BK23" si="179">+BK22+BJ23</f>
        <v>1500000.0000000002</v>
      </c>
      <c r="BL23" s="280">
        <f t="shared" ref="BL23" si="180">+BL22+BK23</f>
        <v>1500000.0000000002</v>
      </c>
      <c r="BM23" s="280">
        <f t="shared" ref="BM23" si="181">+BM22+BL23</f>
        <v>1500000.0000000002</v>
      </c>
      <c r="BN23" s="280">
        <f t="shared" ref="BN23" si="182">+BN22+BM23</f>
        <v>1500000.0000000002</v>
      </c>
      <c r="BO23" s="280">
        <f t="shared" ref="BO23" si="183">+BO22+BN23</f>
        <v>1500000.0000000002</v>
      </c>
      <c r="BP23" s="280">
        <f t="shared" ref="BP23" si="184">+BP22+BO23</f>
        <v>1500000.0000000002</v>
      </c>
      <c r="BQ23" s="280">
        <f t="shared" ref="BQ23" si="185">+BQ22+BP23</f>
        <v>1500000.0000000002</v>
      </c>
      <c r="BR23" s="280">
        <f t="shared" ref="BR23" si="186">+BR22+BQ23</f>
        <v>1500000.0000000002</v>
      </c>
      <c r="BS23" s="280">
        <f t="shared" ref="BS23" si="187">+BS22+BR23</f>
        <v>1500000.0000000002</v>
      </c>
      <c r="BT23" s="280">
        <f t="shared" ref="BT23" si="188">+BT22+BS23</f>
        <v>1500000.0000000002</v>
      </c>
      <c r="BU23" s="280">
        <f t="shared" ref="BU23" si="189">+BU22+BT23</f>
        <v>1500000.0000000002</v>
      </c>
      <c r="BV23" s="280">
        <f t="shared" ref="BV23" si="190">+BV22+BU23</f>
        <v>1500000.0000000002</v>
      </c>
      <c r="BW23" s="280">
        <f t="shared" ref="BW23" si="191">+BW22+BV23</f>
        <v>1500000.0000000002</v>
      </c>
      <c r="BX23" s="280">
        <f t="shared" ref="BX23" si="192">+BX22+BW23</f>
        <v>1500000.0000000002</v>
      </c>
      <c r="BY23" s="280">
        <f t="shared" ref="BY23" si="193">+BY22+BX23</f>
        <v>1500000.0000000002</v>
      </c>
      <c r="BZ23" s="280">
        <f t="shared" ref="BZ23" si="194">+BZ22+BY23</f>
        <v>1500000.0000000002</v>
      </c>
      <c r="CA23" s="280">
        <f t="shared" ref="CA23" si="195">+CA22+BZ23</f>
        <v>1500000.0000000002</v>
      </c>
      <c r="CB23" s="280">
        <f t="shared" ref="CB23" si="196">+CB22+CA23</f>
        <v>1500000.0000000002</v>
      </c>
      <c r="CC23" s="280">
        <f t="shared" ref="CC23" si="197">+CC22+CB23</f>
        <v>1500000.0000000002</v>
      </c>
      <c r="CD23" s="280">
        <f t="shared" ref="CD23" si="198">+CD22+CC23</f>
        <v>1500000.0000000002</v>
      </c>
      <c r="CE23" s="280">
        <f t="shared" ref="CE23" si="199">+CE22+CD23</f>
        <v>1500000.0000000002</v>
      </c>
      <c r="CF23" s="280">
        <f t="shared" ref="CF23" si="200">+CF22+CE23</f>
        <v>1500000.0000000002</v>
      </c>
      <c r="CG23" s="280">
        <f t="shared" ref="CG23" si="201">+CG22+CF23</f>
        <v>1500000.0000000002</v>
      </c>
      <c r="CH23" s="280">
        <f t="shared" ref="CH23" si="202">+CH22+CG23</f>
        <v>1500000.0000000002</v>
      </c>
      <c r="CI23" s="280">
        <f t="shared" ref="CI23" si="203">+CI22+CH23</f>
        <v>1500000.0000000002</v>
      </c>
      <c r="CJ23" s="280">
        <f t="shared" ref="CJ23" si="204">+CJ22+CI23</f>
        <v>1500000.0000000002</v>
      </c>
      <c r="CK23" s="280">
        <f t="shared" ref="CK23" si="205">+CK22+CJ23</f>
        <v>1500000.0000000002</v>
      </c>
      <c r="CL23" s="280">
        <f t="shared" ref="CL23" si="206">+CL22+CK23</f>
        <v>1500000.0000000002</v>
      </c>
      <c r="CM23" s="280">
        <f t="shared" ref="CM23" si="207">+CM22+CL23</f>
        <v>1500000.0000000002</v>
      </c>
      <c r="CN23" s="280">
        <f t="shared" ref="CN23" si="208">+CN22+CM23</f>
        <v>1500000.0000000002</v>
      </c>
      <c r="CO23" s="280">
        <f t="shared" ref="CO23" si="209">+CO22+CN23</f>
        <v>1500000.0000000002</v>
      </c>
      <c r="CP23" s="280">
        <f t="shared" ref="CP23" si="210">+CP22+CO23</f>
        <v>1500000.0000000002</v>
      </c>
      <c r="CQ23" s="280">
        <f t="shared" ref="CQ23" si="211">+CQ22+CP23</f>
        <v>1500000.0000000002</v>
      </c>
      <c r="CR23" s="280">
        <f t="shared" ref="CR23" si="212">+CR22+CQ23</f>
        <v>1500000.0000000002</v>
      </c>
      <c r="CS23" s="280">
        <f t="shared" ref="CS23" si="213">+CS22+CR23</f>
        <v>1500000.0000000002</v>
      </c>
      <c r="CT23" s="280">
        <f t="shared" ref="CT23" si="214">+CT22+CS23</f>
        <v>1500000.0000000002</v>
      </c>
      <c r="CU23" s="280">
        <f t="shared" ref="CU23" si="215">+CU22+CT23</f>
        <v>1500000.0000000002</v>
      </c>
      <c r="CV23" s="280">
        <f t="shared" ref="CV23" si="216">+CV22+CU23</f>
        <v>1500000.0000000002</v>
      </c>
      <c r="CW23" s="280">
        <f t="shared" ref="CW23" si="217">+CW22+CV23</f>
        <v>1500000.0000000002</v>
      </c>
      <c r="CX23" s="280">
        <f t="shared" ref="CX23" si="218">+CX22+CW23</f>
        <v>1500000.0000000002</v>
      </c>
      <c r="CY23" s="280">
        <f t="shared" ref="CY23" si="219">+CY22+CX23</f>
        <v>1500000.0000000002</v>
      </c>
      <c r="CZ23" s="280">
        <f t="shared" ref="CZ23" si="220">+CZ22+CY23</f>
        <v>1500000.0000000002</v>
      </c>
      <c r="DA23" s="280">
        <f t="shared" ref="DA23" si="221">+DA22+CZ23</f>
        <v>1500000.0000000002</v>
      </c>
      <c r="DB23" s="280">
        <f t="shared" ref="DB23" si="222">+DB22+DA23</f>
        <v>1500000.0000000002</v>
      </c>
      <c r="DC23" s="280">
        <f t="shared" ref="DC23" si="223">+DC22+DB23</f>
        <v>1500000.0000000002</v>
      </c>
      <c r="DD23" s="280">
        <f t="shared" ref="DD23" si="224">+DD22+DC23</f>
        <v>1500000.0000000002</v>
      </c>
      <c r="DE23" s="280">
        <f t="shared" ref="DE23" si="225">+DE22+DD23</f>
        <v>1500000.0000000002</v>
      </c>
      <c r="DF23" s="280">
        <f t="shared" ref="DF23" si="226">+DF22+DE23</f>
        <v>1500000.0000000002</v>
      </c>
      <c r="DG23" s="280">
        <f t="shared" ref="DG23:DH23" si="227">+DG22+DF23</f>
        <v>1500000.0000000002</v>
      </c>
      <c r="DH23" s="280">
        <f t="shared" si="227"/>
        <v>1500000.0000000002</v>
      </c>
    </row>
    <row r="24" spans="2:112" x14ac:dyDescent="0.3">
      <c r="B24" t="s">
        <v>245</v>
      </c>
      <c r="C24" s="208">
        <v>750000</v>
      </c>
      <c r="D24" t="s">
        <v>243</v>
      </c>
      <c r="E24" s="460"/>
      <c r="F24" s="459">
        <f>+IFERROR(INDEX(Assumptions!$E$18:$E$29, MATCH(F21, Assumptions!$D$18:$D$29, 0))*$C$24, 0)</f>
        <v>0</v>
      </c>
      <c r="G24" s="460">
        <f>+IFERROR(INDEX(Assumptions!$E$18:$E$29, MATCH(G21, Assumptions!$D$18:$D$29, 0))*$C$24, 0)</f>
        <v>0</v>
      </c>
      <c r="H24" s="460">
        <f>+IFERROR(INDEX(Assumptions!$E$18:$E$29, MATCH(H21, Assumptions!$D$18:$D$29, 0))*$C$24, 0)</f>
        <v>0</v>
      </c>
      <c r="I24" s="460">
        <f>+IFERROR(INDEX(Assumptions!$E$18:$E$29, MATCH(I21, Assumptions!$D$18:$D$29, 0))*$C$24, 0)</f>
        <v>0</v>
      </c>
      <c r="J24" s="460">
        <f>+IFERROR(INDEX(Assumptions!$E$18:$E$29, MATCH(J21, Assumptions!$D$18:$D$29, 0))*$C$24, 0)</f>
        <v>0</v>
      </c>
      <c r="K24" s="460">
        <f>+IFERROR(INDEX(Assumptions!$E$18:$E$29, MATCH(K21, Assumptions!$D$18:$D$29, 0))*$C$24, 0)</f>
        <v>0</v>
      </c>
      <c r="L24" s="460">
        <f>+IFERROR(INDEX(Assumptions!$E$18:$E$29, MATCH(L21, Assumptions!$D$18:$D$29, 0))*$C$24, 0)</f>
        <v>0</v>
      </c>
      <c r="M24" s="460">
        <f>+IFERROR(INDEX(Assumptions!$E$18:$E$29, MATCH(M21, Assumptions!$D$18:$D$29, 0))*$C$24, 0)</f>
        <v>0</v>
      </c>
      <c r="N24" s="460">
        <f>+IFERROR(INDEX(Assumptions!$E$18:$E$29, MATCH(N21, Assumptions!$D$18:$D$29, 0))*$C$24, 0)</f>
        <v>0</v>
      </c>
      <c r="O24" s="460">
        <f>+IFERROR(INDEX(Assumptions!$E$18:$E$29, MATCH(O21, Assumptions!$D$18:$D$29, 0))*$C$24, 0)</f>
        <v>0</v>
      </c>
      <c r="P24" s="460">
        <f>+IFERROR(INDEX(Assumptions!$E$18:$E$29, MATCH(P21, Assumptions!$D$18:$D$29, 0))*$C$24, 0)</f>
        <v>0</v>
      </c>
      <c r="Q24" s="460">
        <f>+IFERROR(INDEX(Assumptions!$E$18:$E$29, MATCH(Q21, Assumptions!$D$18:$D$29, 0))*$C$24, 0)</f>
        <v>0</v>
      </c>
      <c r="R24" s="460">
        <f>+IFERROR(INDEX(Assumptions!$E$18:$E$29, MATCH(R21, Assumptions!$D$18:$D$29, 0))*$C$24, 0)</f>
        <v>0</v>
      </c>
      <c r="S24" s="460">
        <f>+IFERROR(INDEX(Assumptions!$E$18:$E$29, MATCH(S21, Assumptions!$D$18:$D$29, 0))*$C$24, 0)</f>
        <v>0</v>
      </c>
      <c r="T24" s="460">
        <f>+IFERROR(INDEX(Assumptions!$E$18:$E$29, MATCH(T21, Assumptions!$D$18:$D$29, 0))*$C$24, 0)</f>
        <v>0</v>
      </c>
      <c r="U24" s="459">
        <f>+IFERROR(INDEX(Assumptions!$E$18:$E$29, MATCH(U21, Assumptions!$D$18:$D$29, 0))*$C$24, 0)</f>
        <v>0</v>
      </c>
      <c r="V24" s="535">
        <f>+IFERROR(INDEX(Assumptions!$E$18:$E$29, MATCH(V21, Assumptions!$D$18:$D$29, 0))*$C$24, 0)</f>
        <v>0</v>
      </c>
      <c r="W24" s="147">
        <f>+IFERROR(INDEX(Assumptions!$E$18:$E$29, MATCH(W21, Assumptions!$D$18:$D$29, 0))*$C$24, 0)</f>
        <v>0</v>
      </c>
      <c r="X24" s="147">
        <f>+IFERROR(INDEX(Assumptions!$E$18:$E$29, MATCH(X21, Assumptions!$D$18:$D$29, 0))*$C$24, 0)</f>
        <v>0</v>
      </c>
      <c r="Y24" s="347">
        <f>+IFERROR(INDEX(Assumptions!$E$18:$E$29, MATCH(Y21, Assumptions!$D$18:$D$29, 0))*$C$24, 0)</f>
        <v>0</v>
      </c>
      <c r="Z24" s="280">
        <f>+IFERROR(INDEX(Assumptions!$E$18:$E$29, MATCH(Z21, Assumptions!$D$18:$D$29, 0))*$C$24, 0)</f>
        <v>0</v>
      </c>
      <c r="AA24" s="280">
        <f>+IFERROR(INDEX(Assumptions!$E$18:$E$29, MATCH(AA21, Assumptions!$D$18:$D$29, 0))*$C$24, 0)</f>
        <v>0</v>
      </c>
      <c r="AB24" s="280">
        <f>+IFERROR(INDEX(Assumptions!$E$18:$E$29, MATCH(AB21, Assumptions!$D$18:$D$29, 0))*$C$24, 0)</f>
        <v>0</v>
      </c>
      <c r="AC24" s="280">
        <f>+IFERROR(INDEX(Assumptions!$E$18:$E$29, MATCH(AC21, Assumptions!$D$18:$D$29, 0))*$C$24, 0)</f>
        <v>0</v>
      </c>
      <c r="AD24" s="280">
        <f>+IFERROR(INDEX(Assumptions!$E$18:$E$29, MATCH(AD21, Assumptions!$D$18:$D$29, 0))*$C$24, 0)</f>
        <v>0</v>
      </c>
      <c r="AE24" s="280">
        <f>+IFERROR(INDEX(Assumptions!$E$18:$E$29, MATCH(AE21, Assumptions!$D$18:$D$29, 0))*$C$24, 0)</f>
        <v>0</v>
      </c>
      <c r="AF24" s="280">
        <f>+IFERROR(INDEX(Assumptions!$E$18:$E$29, MATCH(AF21, Assumptions!$D$18:$D$29, 0))*$C$24, 0)</f>
        <v>0</v>
      </c>
      <c r="AG24" s="280">
        <f>+IFERROR(INDEX(Assumptions!$E$18:$E$29, MATCH(AG21, Assumptions!$D$18:$D$29, 0))*$C$24, 0)</f>
        <v>0</v>
      </c>
      <c r="AH24" s="280">
        <f>+IFERROR(INDEX(Assumptions!$E$18:$E$29, MATCH(AH21, Assumptions!$D$18:$D$29, 0))*$C$24, 0)</f>
        <v>0</v>
      </c>
      <c r="AI24" s="280">
        <f>+IFERROR(INDEX(Assumptions!$E$18:$E$29, MATCH(AI21, Assumptions!$D$18:$D$29, 0))*$C$24, 0)</f>
        <v>4520.2298777670248</v>
      </c>
      <c r="AJ24" s="280">
        <f>+IFERROR(INDEX(Assumptions!$E$18:$E$29, MATCH(AJ21, Assumptions!$D$18:$D$29, 0))*$C$24, 0)</f>
        <v>646.50727504260567</v>
      </c>
      <c r="AK24" s="280">
        <f>+IFERROR(INDEX(Assumptions!$E$18:$E$29, MATCH(AK21, Assumptions!$D$18:$D$29, 0))*$C$24, 0)</f>
        <v>26793.083936545016</v>
      </c>
      <c r="AL24" s="280">
        <f>+IFERROR(INDEX(Assumptions!$E$18:$E$29, MATCH(AL21, Assumptions!$D$18:$D$29, 0))*$C$24, 0)</f>
        <v>2418.5757343630908</v>
      </c>
      <c r="AM24" s="280">
        <f>+IFERROR(INDEX(Assumptions!$E$18:$E$29, MATCH(AM21, Assumptions!$D$18:$D$29, 0))*$C$24, 0)</f>
        <v>109413.66738727839</v>
      </c>
      <c r="AN24" s="280">
        <f>+IFERROR(INDEX(Assumptions!$E$18:$E$29, MATCH(AN21, Assumptions!$D$18:$D$29, 0))*$C$24, 0)</f>
        <v>196215.76943517933</v>
      </c>
      <c r="AO24" s="280">
        <f>+IFERROR(INDEX(Assumptions!$E$18:$E$29, MATCH(AO21, Assumptions!$D$18:$D$29, 0))*$C$24, 0)</f>
        <v>132213.58450664204</v>
      </c>
      <c r="AP24" s="280">
        <f>+IFERROR(INDEX(Assumptions!$E$18:$E$29, MATCH(AP21, Assumptions!$D$18:$D$29, 0))*$C$24, 0)</f>
        <v>87244.400821314324</v>
      </c>
      <c r="AQ24" s="280">
        <f>+IFERROR(INDEX(Assumptions!$E$18:$E$29, MATCH(AQ21, Assumptions!$D$18:$D$29, 0))*$C$24, 0)</f>
        <v>18265.480044688287</v>
      </c>
      <c r="AR24" s="280">
        <f>+IFERROR(INDEX(Assumptions!$E$18:$E$29, MATCH(AR21, Assumptions!$D$18:$D$29, 0))*$C$24, 0)</f>
        <v>139877.15670038012</v>
      </c>
      <c r="AS24" s="280">
        <f>+IFERROR(INDEX(Assumptions!$E$18:$E$29, MATCH(AS21, Assumptions!$D$18:$D$29, 0))*$C$24, 0)</f>
        <v>32391.544280799768</v>
      </c>
      <c r="AT24" s="280">
        <f>+IFERROR(INDEX(Assumptions!$E$18:$E$29, MATCH(AT21, Assumptions!$D$18:$D$29, 0))*$C$24, 0)</f>
        <v>0</v>
      </c>
      <c r="AU24" s="280">
        <f>+IFERROR(INDEX(Assumptions!$E$18:$E$29, MATCH(AU21, Assumptions!$D$18:$D$29, 0))*$C$24, 0)</f>
        <v>0</v>
      </c>
      <c r="AV24" s="280">
        <f>+IFERROR(INDEX(Assumptions!$E$18:$E$29, MATCH(AV21, Assumptions!$D$18:$D$29, 0))*$C$24, 0)</f>
        <v>0</v>
      </c>
      <c r="AW24" s="280">
        <f>+IFERROR(INDEX(Assumptions!$E$18:$E$29, MATCH(AW21, Assumptions!$D$18:$D$29, 0))*$C$24, 0)</f>
        <v>0</v>
      </c>
      <c r="AX24" s="280">
        <f>+IFERROR(INDEX(Assumptions!$E$18:$E$29, MATCH(AX21, Assumptions!$D$18:$D$29, 0))*$C$24, 0)</f>
        <v>0</v>
      </c>
      <c r="AY24" s="280">
        <f>+IFERROR(INDEX(Assumptions!$E$18:$E$29, MATCH(AY21, Assumptions!$D$18:$D$29, 0))*$C$24, 0)</f>
        <v>0</v>
      </c>
      <c r="AZ24" s="280">
        <f>+IFERROR(INDEX(Assumptions!$E$18:$E$29, MATCH(AZ21, Assumptions!$D$18:$D$29, 0))*$C$24, 0)</f>
        <v>0</v>
      </c>
      <c r="BA24" s="280">
        <f>+IFERROR(INDEX(Assumptions!$E$18:$E$29, MATCH(BA21, Assumptions!$D$18:$D$29, 0))*$C$24, 0)</f>
        <v>0</v>
      </c>
      <c r="BB24" s="280">
        <f>+IFERROR(INDEX(Assumptions!$E$18:$E$29, MATCH(BB21, Assumptions!$D$18:$D$29, 0))*$C$24, 0)</f>
        <v>0</v>
      </c>
      <c r="BC24" s="280">
        <f>+IFERROR(INDEX(Assumptions!$E$18:$E$29, MATCH(BC21, Assumptions!$D$18:$D$29, 0))*$C$24, 0)</f>
        <v>0</v>
      </c>
      <c r="BD24" s="280">
        <f>+IFERROR(INDEX(Assumptions!$E$18:$E$29, MATCH(BD21, Assumptions!$D$18:$D$29, 0))*$C$24, 0)</f>
        <v>0</v>
      </c>
      <c r="BE24" s="280">
        <f>+IFERROR(INDEX(Assumptions!$E$18:$E$29, MATCH(BE21, Assumptions!$D$18:$D$29, 0))*$C$24, 0)</f>
        <v>0</v>
      </c>
      <c r="BF24" s="280">
        <f>+IFERROR(INDEX(Assumptions!$E$18:$E$29, MATCH(BF21, Assumptions!$D$18:$D$29, 0))*$C$24, 0)</f>
        <v>0</v>
      </c>
      <c r="BG24" s="280">
        <f>+IFERROR(INDEX(Assumptions!$E$18:$E$29, MATCH(BG21, Assumptions!$D$18:$D$29, 0))*$C$24, 0)</f>
        <v>0</v>
      </c>
      <c r="BH24" s="280">
        <f>+IFERROR(INDEX(Assumptions!$E$18:$E$29, MATCH(BH21, Assumptions!$D$18:$D$29, 0))*$C$24, 0)</f>
        <v>0</v>
      </c>
      <c r="BI24" s="280">
        <f>+IFERROR(INDEX(Assumptions!$E$18:$E$29, MATCH(BI21, Assumptions!$D$18:$D$29, 0))*$C$24, 0)</f>
        <v>0</v>
      </c>
      <c r="BJ24" s="280">
        <f>+IFERROR(INDEX(Assumptions!$E$18:$E$29, MATCH(BJ21, Assumptions!$D$18:$D$29, 0))*$C$24, 0)</f>
        <v>0</v>
      </c>
      <c r="BK24" s="280">
        <f>+IFERROR(INDEX(Assumptions!$E$18:$E$29, MATCH(BK21, Assumptions!$D$18:$D$29, 0))*$C$24, 0)</f>
        <v>0</v>
      </c>
      <c r="BL24" s="280">
        <f>+IFERROR(INDEX(Assumptions!$E$18:$E$29, MATCH(BL21, Assumptions!$D$18:$D$29, 0))*$C$24, 0)</f>
        <v>0</v>
      </c>
      <c r="BM24" s="280">
        <f>+IFERROR(INDEX(Assumptions!$E$18:$E$29, MATCH(BM21, Assumptions!$D$18:$D$29, 0))*$C$24, 0)</f>
        <v>0</v>
      </c>
      <c r="BN24" s="280">
        <f>+IFERROR(INDEX(Assumptions!$E$18:$E$29, MATCH(BN21, Assumptions!$D$18:$D$29, 0))*$C$24, 0)</f>
        <v>0</v>
      </c>
      <c r="BO24" s="280">
        <f>+IFERROR(INDEX(Assumptions!$E$18:$E$29, MATCH(BO21, Assumptions!$D$18:$D$29, 0))*$C$24, 0)</f>
        <v>0</v>
      </c>
      <c r="BP24" s="280">
        <f>+IFERROR(INDEX(Assumptions!$E$18:$E$29, MATCH(BP21, Assumptions!$D$18:$D$29, 0))*$C$24, 0)</f>
        <v>0</v>
      </c>
      <c r="BQ24" s="280">
        <f>+IFERROR(INDEX(Assumptions!$E$18:$E$29, MATCH(BQ21, Assumptions!$D$18:$D$29, 0))*$C$24, 0)</f>
        <v>0</v>
      </c>
      <c r="BR24" s="280">
        <f>+IFERROR(INDEX(Assumptions!$E$18:$E$29, MATCH(BR21, Assumptions!$D$18:$D$29, 0))*$C$24, 0)</f>
        <v>0</v>
      </c>
      <c r="BS24" s="280">
        <f>+IFERROR(INDEX(Assumptions!$E$18:$E$29, MATCH(BS21, Assumptions!$D$18:$D$29, 0))*$C$24, 0)</f>
        <v>0</v>
      </c>
      <c r="BT24" s="280">
        <f>+IFERROR(INDEX(Assumptions!$E$18:$E$29, MATCH(BT21, Assumptions!$D$18:$D$29, 0))*$C$24, 0)</f>
        <v>0</v>
      </c>
      <c r="BU24" s="280">
        <f>+IFERROR(INDEX(Assumptions!$E$18:$E$29, MATCH(BU21, Assumptions!$D$18:$D$29, 0))*$C$24, 0)</f>
        <v>0</v>
      </c>
      <c r="BV24" s="280">
        <f>+IFERROR(INDEX(Assumptions!$E$18:$E$29, MATCH(BV21, Assumptions!$D$18:$D$29, 0))*$C$24, 0)</f>
        <v>0</v>
      </c>
      <c r="BW24" s="280">
        <f>+IFERROR(INDEX(Assumptions!$E$18:$E$29, MATCH(BW21, Assumptions!$D$18:$D$29, 0))*$C$24, 0)</f>
        <v>0</v>
      </c>
      <c r="BX24" s="280">
        <f>+IFERROR(INDEX(Assumptions!$E$18:$E$29, MATCH(BX21, Assumptions!$D$18:$D$29, 0))*$C$24, 0)</f>
        <v>0</v>
      </c>
      <c r="BY24" s="280">
        <f>+IFERROR(INDEX(Assumptions!$E$18:$E$29, MATCH(BY21, Assumptions!$D$18:$D$29, 0))*$C$24, 0)</f>
        <v>0</v>
      </c>
      <c r="BZ24" s="280">
        <f>+IFERROR(INDEX(Assumptions!$E$18:$E$29, MATCH(BZ21, Assumptions!$D$18:$D$29, 0))*$C$24, 0)</f>
        <v>0</v>
      </c>
      <c r="CA24" s="280">
        <f>+IFERROR(INDEX(Assumptions!$E$18:$E$29, MATCH(CA21, Assumptions!$D$18:$D$29, 0))*$C$24, 0)</f>
        <v>0</v>
      </c>
      <c r="CB24" s="280">
        <f>+IFERROR(INDEX(Assumptions!$E$18:$E$29, MATCH(CB21, Assumptions!$D$18:$D$29, 0))*$C$24, 0)</f>
        <v>0</v>
      </c>
      <c r="CC24" s="280">
        <f>+IFERROR(INDEX(Assumptions!$E$18:$E$29, MATCH(CC21, Assumptions!$D$18:$D$29, 0))*$C$24, 0)</f>
        <v>0</v>
      </c>
      <c r="CD24" s="280">
        <f>+IFERROR(INDEX(Assumptions!$E$18:$E$29, MATCH(CD21, Assumptions!$D$18:$D$29, 0))*$C$24, 0)</f>
        <v>0</v>
      </c>
      <c r="CE24" s="280">
        <f>+IFERROR(INDEX(Assumptions!$E$18:$E$29, MATCH(CE21, Assumptions!$D$18:$D$29, 0))*$C$24, 0)</f>
        <v>0</v>
      </c>
      <c r="CF24" s="280">
        <f>+IFERROR(INDEX(Assumptions!$E$18:$E$29, MATCH(CF21, Assumptions!$D$18:$D$29, 0))*$C$24, 0)</f>
        <v>0</v>
      </c>
      <c r="CG24" s="280">
        <f>+IFERROR(INDEX(Assumptions!$E$18:$E$29, MATCH(CG21, Assumptions!$D$18:$D$29, 0))*$C$24, 0)</f>
        <v>0</v>
      </c>
      <c r="CH24" s="280">
        <f>+IFERROR(INDEX(Assumptions!$E$18:$E$29, MATCH(CH21, Assumptions!$D$18:$D$29, 0))*$C$24, 0)</f>
        <v>0</v>
      </c>
      <c r="CI24" s="280">
        <f>+IFERROR(INDEX(Assumptions!$E$18:$E$29, MATCH(CI21, Assumptions!$D$18:$D$29, 0))*$C$24, 0)</f>
        <v>0</v>
      </c>
      <c r="CJ24" s="280">
        <f>+IFERROR(INDEX(Assumptions!$E$18:$E$29, MATCH(CJ21, Assumptions!$D$18:$D$29, 0))*$C$24, 0)</f>
        <v>0</v>
      </c>
      <c r="CK24" s="280">
        <f>+IFERROR(INDEX(Assumptions!$E$18:$E$29, MATCH(CK21, Assumptions!$D$18:$D$29, 0))*$C$24, 0)</f>
        <v>0</v>
      </c>
      <c r="CL24" s="280">
        <f>+IFERROR(INDEX(Assumptions!$E$18:$E$29, MATCH(CL21, Assumptions!$D$18:$D$29, 0))*$C$24, 0)</f>
        <v>0</v>
      </c>
      <c r="CM24" s="280">
        <f>+IFERROR(INDEX(Assumptions!$E$18:$E$29, MATCH(CM21, Assumptions!$D$18:$D$29, 0))*$C$24, 0)</f>
        <v>0</v>
      </c>
      <c r="CN24" s="280">
        <f>+IFERROR(INDEX(Assumptions!$E$18:$E$29, MATCH(CN21, Assumptions!$D$18:$D$29, 0))*$C$24, 0)</f>
        <v>0</v>
      </c>
      <c r="CO24" s="280">
        <f>+IFERROR(INDEX(Assumptions!$E$18:$E$29, MATCH(CO21, Assumptions!$D$18:$D$29, 0))*$C$24, 0)</f>
        <v>0</v>
      </c>
      <c r="CP24" s="280">
        <f>+IFERROR(INDEX(Assumptions!$E$18:$E$29, MATCH(CP21, Assumptions!$D$18:$D$29, 0))*$C$24, 0)</f>
        <v>0</v>
      </c>
      <c r="CQ24" s="280">
        <f>+IFERROR(INDEX(Assumptions!$E$18:$E$29, MATCH(CQ21, Assumptions!$D$18:$D$29, 0))*$C$24, 0)</f>
        <v>0</v>
      </c>
      <c r="CR24" s="280">
        <f>+IFERROR(INDEX(Assumptions!$E$18:$E$29, MATCH(CR21, Assumptions!$D$18:$D$29, 0))*$C$24, 0)</f>
        <v>0</v>
      </c>
      <c r="CS24" s="280">
        <f>+IFERROR(INDEX(Assumptions!$E$18:$E$29, MATCH(CS21, Assumptions!$D$18:$D$29, 0))*$C$24, 0)</f>
        <v>0</v>
      </c>
      <c r="CT24" s="280">
        <f>+IFERROR(INDEX(Assumptions!$E$18:$E$29, MATCH(CT21, Assumptions!$D$18:$D$29, 0))*$C$24, 0)</f>
        <v>0</v>
      </c>
      <c r="CU24" s="280">
        <f>+IFERROR(INDEX(Assumptions!$E$18:$E$29, MATCH(CU21, Assumptions!$D$18:$D$29, 0))*$C$24, 0)</f>
        <v>0</v>
      </c>
      <c r="CV24" s="280">
        <f>+IFERROR(INDEX(Assumptions!$E$18:$E$29, MATCH(CV21, Assumptions!$D$18:$D$29, 0))*$C$24, 0)</f>
        <v>0</v>
      </c>
      <c r="CW24" s="280">
        <f>+IFERROR(INDEX(Assumptions!$E$18:$E$29, MATCH(CW21, Assumptions!$D$18:$D$29, 0))*$C$24, 0)</f>
        <v>0</v>
      </c>
      <c r="CX24" s="280">
        <f>+IFERROR(INDEX(Assumptions!$E$18:$E$29, MATCH(CX21, Assumptions!$D$18:$D$29, 0))*$C$24, 0)</f>
        <v>0</v>
      </c>
      <c r="CY24" s="280">
        <f>+IFERROR(INDEX(Assumptions!$E$18:$E$29, MATCH(CY21, Assumptions!$D$18:$D$29, 0))*$C$24, 0)</f>
        <v>0</v>
      </c>
      <c r="CZ24" s="280">
        <f>+IFERROR(INDEX(Assumptions!$E$18:$E$29, MATCH(CZ21, Assumptions!$D$18:$D$29, 0))*$C$24, 0)</f>
        <v>0</v>
      </c>
      <c r="DA24" s="280">
        <f>+IFERROR(INDEX(Assumptions!$E$18:$E$29, MATCH(DA21, Assumptions!$D$18:$D$29, 0))*$C$24, 0)</f>
        <v>0</v>
      </c>
      <c r="DB24" s="280">
        <f>+IFERROR(INDEX(Assumptions!$E$18:$E$29, MATCH(DB21, Assumptions!$D$18:$D$29, 0))*$C$24, 0)</f>
        <v>0</v>
      </c>
      <c r="DC24" s="280">
        <f>+IFERROR(INDEX(Assumptions!$E$18:$E$29, MATCH(DC21, Assumptions!$D$18:$D$29, 0))*$C$24, 0)</f>
        <v>0</v>
      </c>
      <c r="DD24" s="280">
        <f>+IFERROR(INDEX(Assumptions!$E$18:$E$29, MATCH(DD21, Assumptions!$D$18:$D$29, 0))*$C$24, 0)</f>
        <v>0</v>
      </c>
      <c r="DE24" s="280">
        <f>+IFERROR(INDEX(Assumptions!$E$18:$E$29, MATCH(DE21, Assumptions!$D$18:$D$29, 0))*$C$24, 0)</f>
        <v>0</v>
      </c>
      <c r="DF24" s="280">
        <f>+IFERROR(INDEX(Assumptions!$E$18:$E$29, MATCH(DF21, Assumptions!$D$18:$D$29, 0))*$C$24, 0)</f>
        <v>0</v>
      </c>
      <c r="DG24" s="280">
        <f>+IFERROR(INDEX(Assumptions!$E$18:$E$29, MATCH(DG21, Assumptions!$D$18:$D$29, 0))*$C$24, 0)</f>
        <v>0</v>
      </c>
      <c r="DH24" s="280">
        <f>+IFERROR(INDEX(Assumptions!$E$18:$E$29, MATCH(DH21, Assumptions!$D$18:$D$29, 0))*$C$24, 0)</f>
        <v>0</v>
      </c>
    </row>
    <row r="25" spans="2:112" x14ac:dyDescent="0.3">
      <c r="B25" t="s">
        <v>468</v>
      </c>
      <c r="C25" s="512">
        <v>45838</v>
      </c>
      <c r="D25" t="s">
        <v>255</v>
      </c>
      <c r="F25" s="9">
        <f t="shared" ref="F25" si="228">+F24+E25</f>
        <v>0</v>
      </c>
      <c r="G25" s="9">
        <f t="shared" ref="G25" si="229">+G24+F25</f>
        <v>0</v>
      </c>
      <c r="H25" s="9">
        <f t="shared" ref="H25" si="230">+H24+G25</f>
        <v>0</v>
      </c>
      <c r="I25" s="9">
        <f t="shared" ref="I25" si="231">+I24+H25</f>
        <v>0</v>
      </c>
      <c r="J25" s="9">
        <f t="shared" ref="J25" si="232">+J24+I25</f>
        <v>0</v>
      </c>
      <c r="K25" s="9">
        <f t="shared" ref="K25" si="233">+K24+J25</f>
        <v>0</v>
      </c>
      <c r="L25" s="9">
        <f t="shared" ref="L25" si="234">+L24+K25</f>
        <v>0</v>
      </c>
      <c r="M25" s="9">
        <f t="shared" ref="M25" si="235">+M24+L25</f>
        <v>0</v>
      </c>
      <c r="N25" s="9">
        <f t="shared" ref="N25" si="236">+N24+M25</f>
        <v>0</v>
      </c>
      <c r="O25" s="9">
        <f t="shared" ref="O25" si="237">+O24+N25</f>
        <v>0</v>
      </c>
      <c r="P25" s="9">
        <f t="shared" ref="P25" si="238">+P24+O25</f>
        <v>0</v>
      </c>
      <c r="Q25" s="9">
        <f t="shared" ref="Q25" si="239">+Q24+P25</f>
        <v>0</v>
      </c>
      <c r="R25" s="9">
        <f t="shared" ref="R25" si="240">+R24+Q25</f>
        <v>0</v>
      </c>
      <c r="S25" s="9">
        <f t="shared" ref="S25" si="241">+S24+R25</f>
        <v>0</v>
      </c>
      <c r="T25" s="9">
        <f t="shared" ref="T25" si="242">+T24+S25</f>
        <v>0</v>
      </c>
      <c r="U25" s="9">
        <f t="shared" ref="U25" si="243">+U24+T25</f>
        <v>0</v>
      </c>
      <c r="V25" s="9">
        <f t="shared" ref="V25" si="244">+V24+U25</f>
        <v>0</v>
      </c>
      <c r="W25" s="9">
        <f t="shared" ref="W25:AK25" si="245">+W24+V25</f>
        <v>0</v>
      </c>
      <c r="X25" s="9">
        <f t="shared" si="245"/>
        <v>0</v>
      </c>
      <c r="Y25" s="172">
        <f t="shared" si="245"/>
        <v>0</v>
      </c>
      <c r="Z25" s="9">
        <f t="shared" si="245"/>
        <v>0</v>
      </c>
      <c r="AA25" s="9">
        <f t="shared" si="245"/>
        <v>0</v>
      </c>
      <c r="AB25" s="9">
        <f t="shared" si="245"/>
        <v>0</v>
      </c>
      <c r="AC25" s="9">
        <f t="shared" si="245"/>
        <v>0</v>
      </c>
      <c r="AD25" s="9">
        <f t="shared" si="245"/>
        <v>0</v>
      </c>
      <c r="AE25" s="9">
        <f t="shared" si="245"/>
        <v>0</v>
      </c>
      <c r="AF25" s="9">
        <f t="shared" si="245"/>
        <v>0</v>
      </c>
      <c r="AG25" s="9">
        <f t="shared" si="245"/>
        <v>0</v>
      </c>
      <c r="AH25" s="9">
        <f t="shared" si="245"/>
        <v>0</v>
      </c>
      <c r="AI25" s="9">
        <f t="shared" si="245"/>
        <v>4520.2298777670248</v>
      </c>
      <c r="AJ25" s="9">
        <f t="shared" si="245"/>
        <v>5166.7371528096301</v>
      </c>
      <c r="AK25" s="9">
        <f t="shared" si="245"/>
        <v>31959.821089354646</v>
      </c>
      <c r="AL25" s="9">
        <f t="shared" ref="AL25" si="246">+AL24+AK25</f>
        <v>34378.39682371774</v>
      </c>
      <c r="AM25" s="9">
        <f t="shared" ref="AM25" si="247">+AM24+AL25</f>
        <v>143792.06421099612</v>
      </c>
      <c r="AN25" s="9">
        <f t="shared" ref="AN25" si="248">+AN24+AM25</f>
        <v>340007.83364617545</v>
      </c>
      <c r="AO25" s="9">
        <f t="shared" ref="AO25" si="249">+AO24+AN25</f>
        <v>472221.41815281752</v>
      </c>
      <c r="AP25" s="9">
        <f t="shared" ref="AP25" si="250">+AP24+AO25</f>
        <v>559465.81897413183</v>
      </c>
      <c r="AQ25" s="9">
        <f t="shared" ref="AQ25" si="251">+AQ24+AP25</f>
        <v>577731.29901882017</v>
      </c>
      <c r="AR25" s="9">
        <f t="shared" ref="AR25" si="252">+AR24+AQ25</f>
        <v>717608.45571920031</v>
      </c>
      <c r="AS25" s="9">
        <f t="shared" ref="AS25" si="253">+AS24+AR25</f>
        <v>750000.00000000012</v>
      </c>
      <c r="AT25" s="9">
        <f t="shared" ref="AT25" si="254">+AT24+AS25</f>
        <v>750000.00000000012</v>
      </c>
      <c r="AU25" s="9">
        <f t="shared" ref="AU25" si="255">+AU24+AT25</f>
        <v>750000.00000000012</v>
      </c>
      <c r="AV25" s="9">
        <f t="shared" ref="AV25" si="256">+AV24+AU25</f>
        <v>750000.00000000012</v>
      </c>
      <c r="AW25" s="9">
        <f t="shared" ref="AW25" si="257">+AW24+AV25</f>
        <v>750000.00000000012</v>
      </c>
      <c r="AX25" s="9">
        <f t="shared" ref="AX25" si="258">+AX24+AW25</f>
        <v>750000.00000000012</v>
      </c>
      <c r="AY25" s="9">
        <f t="shared" ref="AY25" si="259">+AY24+AX25</f>
        <v>750000.00000000012</v>
      </c>
      <c r="AZ25" s="9">
        <f t="shared" ref="AZ25" si="260">+AZ24+AY25</f>
        <v>750000.00000000012</v>
      </c>
      <c r="BA25" s="9">
        <f t="shared" ref="BA25" si="261">+BA24+AZ25</f>
        <v>750000.00000000012</v>
      </c>
      <c r="BB25" s="9">
        <f t="shared" ref="BB25" si="262">+BB24+BA25</f>
        <v>750000.00000000012</v>
      </c>
      <c r="BC25" s="9">
        <f t="shared" ref="BC25" si="263">+BC24+BB25</f>
        <v>750000.00000000012</v>
      </c>
      <c r="BD25" s="9">
        <f t="shared" ref="BD25" si="264">+BD24+BC25</f>
        <v>750000.00000000012</v>
      </c>
      <c r="BE25" s="9">
        <f t="shared" ref="BE25" si="265">+BE24+BD25</f>
        <v>750000.00000000012</v>
      </c>
      <c r="BF25" s="9">
        <f t="shared" ref="BF25" si="266">+BF24+BE25</f>
        <v>750000.00000000012</v>
      </c>
      <c r="BG25" s="9">
        <f t="shared" ref="BG25" si="267">+BG24+BF25</f>
        <v>750000.00000000012</v>
      </c>
      <c r="BH25" s="9">
        <f t="shared" ref="BH25" si="268">+BH24+BG25</f>
        <v>750000.00000000012</v>
      </c>
      <c r="BI25" s="9">
        <f t="shared" ref="BI25" si="269">+BI24+BH25</f>
        <v>750000.00000000012</v>
      </c>
      <c r="BJ25" s="9">
        <f t="shared" ref="BJ25" si="270">+BJ24+BI25</f>
        <v>750000.00000000012</v>
      </c>
      <c r="BK25" s="9">
        <f t="shared" ref="BK25" si="271">+BK24+BJ25</f>
        <v>750000.00000000012</v>
      </c>
      <c r="BL25" s="9">
        <f t="shared" ref="BL25" si="272">+BL24+BK25</f>
        <v>750000.00000000012</v>
      </c>
      <c r="BM25" s="9">
        <f t="shared" ref="BM25" si="273">+BM24+BL25</f>
        <v>750000.00000000012</v>
      </c>
      <c r="BN25" s="9">
        <f t="shared" ref="BN25" si="274">+BN24+BM25</f>
        <v>750000.00000000012</v>
      </c>
      <c r="BO25" s="9">
        <f t="shared" ref="BO25" si="275">+BO24+BN25</f>
        <v>750000.00000000012</v>
      </c>
      <c r="BP25" s="9">
        <f t="shared" ref="BP25" si="276">+BP24+BO25</f>
        <v>750000.00000000012</v>
      </c>
      <c r="BQ25" s="9">
        <f t="shared" ref="BQ25" si="277">+BQ24+BP25</f>
        <v>750000.00000000012</v>
      </c>
      <c r="BR25" s="9">
        <f t="shared" ref="BR25" si="278">+BR24+BQ25</f>
        <v>750000.00000000012</v>
      </c>
      <c r="BS25" s="9">
        <f t="shared" ref="BS25" si="279">+BS24+BR25</f>
        <v>750000.00000000012</v>
      </c>
      <c r="BT25" s="9">
        <f t="shared" ref="BT25" si="280">+BT24+BS25</f>
        <v>750000.00000000012</v>
      </c>
      <c r="BU25" s="9">
        <f t="shared" ref="BU25" si="281">+BU24+BT25</f>
        <v>750000.00000000012</v>
      </c>
      <c r="BV25" s="9">
        <f t="shared" ref="BV25" si="282">+BV24+BU25</f>
        <v>750000.00000000012</v>
      </c>
      <c r="BW25" s="9">
        <f t="shared" ref="BW25" si="283">+BW24+BV25</f>
        <v>750000.00000000012</v>
      </c>
      <c r="BX25" s="9">
        <f t="shared" ref="BX25" si="284">+BX24+BW25</f>
        <v>750000.00000000012</v>
      </c>
      <c r="BY25" s="9">
        <f t="shared" ref="BY25" si="285">+BY24+BX25</f>
        <v>750000.00000000012</v>
      </c>
      <c r="BZ25" s="9">
        <f t="shared" ref="BZ25" si="286">+BZ24+BY25</f>
        <v>750000.00000000012</v>
      </c>
      <c r="CA25" s="9">
        <f t="shared" ref="CA25" si="287">+CA24+BZ25</f>
        <v>750000.00000000012</v>
      </c>
      <c r="CB25" s="9">
        <f t="shared" ref="CB25" si="288">+CB24+CA25</f>
        <v>750000.00000000012</v>
      </c>
      <c r="CC25" s="9">
        <f t="shared" ref="CC25" si="289">+CC24+CB25</f>
        <v>750000.00000000012</v>
      </c>
      <c r="CD25" s="9">
        <f t="shared" ref="CD25" si="290">+CD24+CC25</f>
        <v>750000.00000000012</v>
      </c>
      <c r="CE25" s="9">
        <f t="shared" ref="CE25" si="291">+CE24+CD25</f>
        <v>750000.00000000012</v>
      </c>
      <c r="CF25" s="9">
        <f t="shared" ref="CF25" si="292">+CF24+CE25</f>
        <v>750000.00000000012</v>
      </c>
      <c r="CG25" s="9">
        <f t="shared" ref="CG25" si="293">+CG24+CF25</f>
        <v>750000.00000000012</v>
      </c>
      <c r="CH25" s="9">
        <f t="shared" ref="CH25" si="294">+CH24+CG25</f>
        <v>750000.00000000012</v>
      </c>
      <c r="CI25" s="9">
        <f t="shared" ref="CI25" si="295">+CI24+CH25</f>
        <v>750000.00000000012</v>
      </c>
      <c r="CJ25" s="9">
        <f t="shared" ref="CJ25" si="296">+CJ24+CI25</f>
        <v>750000.00000000012</v>
      </c>
      <c r="CK25" s="9">
        <f t="shared" ref="CK25" si="297">+CK24+CJ25</f>
        <v>750000.00000000012</v>
      </c>
      <c r="CL25" s="9">
        <f t="shared" ref="CL25" si="298">+CL24+CK25</f>
        <v>750000.00000000012</v>
      </c>
      <c r="CM25" s="9">
        <f t="shared" ref="CM25" si="299">+CM24+CL25</f>
        <v>750000.00000000012</v>
      </c>
      <c r="CN25" s="9">
        <f t="shared" ref="CN25" si="300">+CN24+CM25</f>
        <v>750000.00000000012</v>
      </c>
      <c r="CO25" s="9">
        <f t="shared" ref="CO25" si="301">+CO24+CN25</f>
        <v>750000.00000000012</v>
      </c>
      <c r="CP25" s="9">
        <f t="shared" ref="CP25" si="302">+CP24+CO25</f>
        <v>750000.00000000012</v>
      </c>
      <c r="CQ25" s="9">
        <f t="shared" ref="CQ25" si="303">+CQ24+CP25</f>
        <v>750000.00000000012</v>
      </c>
      <c r="CR25" s="9">
        <f t="shared" ref="CR25" si="304">+CR24+CQ25</f>
        <v>750000.00000000012</v>
      </c>
      <c r="CS25" s="9">
        <f t="shared" ref="CS25" si="305">+CS24+CR25</f>
        <v>750000.00000000012</v>
      </c>
      <c r="CT25" s="9">
        <f t="shared" ref="CT25" si="306">+CT24+CS25</f>
        <v>750000.00000000012</v>
      </c>
      <c r="CU25" s="9">
        <f t="shared" ref="CU25" si="307">+CU24+CT25</f>
        <v>750000.00000000012</v>
      </c>
      <c r="CV25" s="9">
        <f t="shared" ref="CV25" si="308">+CV24+CU25</f>
        <v>750000.00000000012</v>
      </c>
      <c r="CW25" s="9">
        <f t="shared" ref="CW25" si="309">+CW24+CV25</f>
        <v>750000.00000000012</v>
      </c>
      <c r="CX25" s="9">
        <f t="shared" ref="CX25" si="310">+CX24+CW25</f>
        <v>750000.00000000012</v>
      </c>
      <c r="CY25" s="9">
        <f t="shared" ref="CY25" si="311">+CY24+CX25</f>
        <v>750000.00000000012</v>
      </c>
      <c r="CZ25" s="9">
        <f t="shared" ref="CZ25" si="312">+CZ24+CY25</f>
        <v>750000.00000000012</v>
      </c>
      <c r="DA25" s="9">
        <f t="shared" ref="DA25" si="313">+DA24+CZ25</f>
        <v>750000.00000000012</v>
      </c>
      <c r="DB25" s="9">
        <f t="shared" ref="DB25" si="314">+DB24+DA25</f>
        <v>750000.00000000012</v>
      </c>
      <c r="DC25" s="9">
        <f t="shared" ref="DC25" si="315">+DC24+DB25</f>
        <v>750000.00000000012</v>
      </c>
      <c r="DD25" s="9">
        <f t="shared" ref="DD25" si="316">+DD24+DC25</f>
        <v>750000.00000000012</v>
      </c>
      <c r="DE25" s="9">
        <f t="shared" ref="DE25" si="317">+DE24+DD25</f>
        <v>750000.00000000012</v>
      </c>
      <c r="DF25" s="9">
        <f t="shared" ref="DF25" si="318">+DF24+DE25</f>
        <v>750000.00000000012</v>
      </c>
      <c r="DG25" s="9">
        <f t="shared" ref="DG25:DH25" si="319">+DG24+DF25</f>
        <v>750000.00000000012</v>
      </c>
      <c r="DH25" s="9">
        <f t="shared" si="319"/>
        <v>750000.00000000012</v>
      </c>
    </row>
    <row r="26" spans="2:112" x14ac:dyDescent="0.3">
      <c r="B26" t="s">
        <v>486</v>
      </c>
      <c r="C26" s="514">
        <f>+EOMONTH(C25,12)</f>
        <v>46203</v>
      </c>
      <c r="D26" t="s">
        <v>290</v>
      </c>
      <c r="F26" s="459">
        <f>+IFERROR(INDEX(Assumptions!$F$31:$F$42, MATCH(F21, Assumptions!$D$31:$D$42, 0))*$C$23, 0)</f>
        <v>0</v>
      </c>
      <c r="G26" s="9">
        <f>+IFERROR(INDEX(Assumptions!$F$31:$F$42, MATCH(G21, Assumptions!$D$31:$D$42, 0))*$C$23, 0)</f>
        <v>0</v>
      </c>
      <c r="H26" s="9">
        <f>+IFERROR(INDEX(Assumptions!$F$31:$F$42, MATCH(H21, Assumptions!$D$31:$D$42, 0))*$C$23, 0)</f>
        <v>0</v>
      </c>
      <c r="I26" s="9">
        <f>+IFERROR(INDEX(Assumptions!$F$31:$F$42, MATCH(I21, Assumptions!$D$31:$D$42, 0))*$C$23, 0)</f>
        <v>0</v>
      </c>
      <c r="J26" s="9">
        <f>+IFERROR(INDEX(Assumptions!$F$31:$F$42, MATCH(J21, Assumptions!$D$31:$D$42, 0))*$C$23, 0)</f>
        <v>0</v>
      </c>
      <c r="K26" s="9">
        <f>+IFERROR(INDEX(Assumptions!$F$31:$F$42, MATCH(K21, Assumptions!$D$31:$D$42, 0))*$C$23, 0)</f>
        <v>0</v>
      </c>
      <c r="L26" s="9">
        <f>+IFERROR(INDEX(Assumptions!$F$31:$F$42, MATCH(L21, Assumptions!$D$31:$D$42, 0))*$C$23, 0)</f>
        <v>0</v>
      </c>
      <c r="M26" s="9">
        <f>+IFERROR(INDEX(Assumptions!$F$31:$F$42, MATCH(M21, Assumptions!$D$31:$D$42, 0))*$C$23, 0)</f>
        <v>0</v>
      </c>
      <c r="N26" s="9">
        <f>+IFERROR(INDEX(Assumptions!$F$31:$F$42, MATCH(N21, Assumptions!$D$31:$D$42, 0))*$C$23, 0)</f>
        <v>0</v>
      </c>
      <c r="O26" s="9">
        <f>+IFERROR(INDEX(Assumptions!$F$31:$F$42, MATCH(O21, Assumptions!$D$31:$D$42, 0))*$C$23, 0)</f>
        <v>0</v>
      </c>
      <c r="P26" s="9">
        <f>+IFERROR(INDEX(Assumptions!$F$31:$F$42, MATCH(P21, Assumptions!$D$31:$D$42, 0))*$C$23, 0)</f>
        <v>0</v>
      </c>
      <c r="Q26" s="9">
        <f>+IFERROR(INDEX(Assumptions!$F$31:$F$42, MATCH(Q21, Assumptions!$D$31:$D$42, 0))*$C$23, 0)</f>
        <v>0</v>
      </c>
      <c r="R26" s="9">
        <f>+IFERROR(INDEX(Assumptions!$F$31:$F$42, MATCH(R21, Assumptions!$D$31:$D$42, 0))*$C$23, 0)</f>
        <v>0</v>
      </c>
      <c r="S26" s="9">
        <f>+IFERROR(INDEX(Assumptions!$F$31:$F$42, MATCH(S21, Assumptions!$D$31:$D$42, 0))*$C$23, 0)</f>
        <v>0</v>
      </c>
      <c r="T26" s="9">
        <f>+IFERROR(INDEX(Assumptions!$F$31:$F$42, MATCH(T21, Assumptions!$D$31:$D$42, 0))*$C$23, 0)</f>
        <v>0</v>
      </c>
      <c r="U26" s="9">
        <f>+IFERROR(INDEX(Assumptions!$F$31:$F$42, MATCH(U21, Assumptions!$D$31:$D$42, 0))*$C$23, 0)</f>
        <v>0</v>
      </c>
      <c r="V26" s="9">
        <f>+IFERROR(INDEX(Assumptions!$F$31:$F$42, MATCH(V21, Assumptions!$D$31:$D$42, 0))*$C$23, 0)</f>
        <v>0</v>
      </c>
      <c r="W26" s="9">
        <f>+IFERROR(INDEX(Assumptions!$F$31:$F$42, MATCH(W21, Assumptions!$D$31:$D$42, 0))*$C$23, 0)</f>
        <v>0</v>
      </c>
      <c r="X26" s="9">
        <f>+IFERROR(INDEX(Assumptions!$F$31:$F$42, MATCH(X21, Assumptions!$D$31:$D$42, 0))*$C$23, 0)</f>
        <v>0</v>
      </c>
      <c r="Y26" s="172">
        <f>+IFERROR(INDEX(Assumptions!$F$31:$F$42, MATCH(Y21, Assumptions!$D$31:$D$42, 0))*$C$23, 0)</f>
        <v>0</v>
      </c>
      <c r="Z26" s="9">
        <f>+IFERROR(INDEX(Assumptions!$F$31:$F$42, MATCH(Z21, Assumptions!$D$31:$D$42, 0))*$C$23, 0)</f>
        <v>0</v>
      </c>
      <c r="AA26" s="9">
        <f>+IFERROR(INDEX(Assumptions!$F$31:$F$42, MATCH(AA21, Assumptions!$D$31:$D$42, 0))*$C$23, 0)</f>
        <v>0</v>
      </c>
      <c r="AB26" s="9">
        <f>+IFERROR(INDEX(Assumptions!$F$31:$F$42, MATCH(AB21, Assumptions!$D$31:$D$42, 0))*$C$23, 0)</f>
        <v>0</v>
      </c>
      <c r="AC26" s="9">
        <f>+IFERROR(INDEX(Assumptions!$F$31:$F$42, MATCH(AC21, Assumptions!$D$31:$D$42, 0))*$C$23, 0)</f>
        <v>0</v>
      </c>
      <c r="AD26" s="9">
        <f>+IFERROR(INDEX(Assumptions!$F$31:$F$42, MATCH(AD21, Assumptions!$D$31:$D$42, 0))*$C$23, 0)</f>
        <v>0</v>
      </c>
      <c r="AE26" s="9">
        <f>+IFERROR(INDEX(Assumptions!$F$31:$F$42, MATCH(AE21, Assumptions!$D$31:$D$42, 0))*$C$23, 0)</f>
        <v>0</v>
      </c>
      <c r="AF26" s="9">
        <f>+IFERROR(INDEX(Assumptions!$F$31:$F$42, MATCH(AF21, Assumptions!$D$31:$D$42, 0))*$C$23, 0)</f>
        <v>0</v>
      </c>
      <c r="AG26" s="9">
        <f>+IFERROR(INDEX(Assumptions!$F$31:$F$42, MATCH(AG21, Assumptions!$D$31:$D$42, 0))*$C$23, 0)</f>
        <v>0</v>
      </c>
      <c r="AH26" s="9">
        <f>+IFERROR(INDEX(Assumptions!$F$31:$F$42, MATCH(AH21, Assumptions!$D$31:$D$42, 0))*$C$23, 0)</f>
        <v>150000</v>
      </c>
      <c r="AI26" s="9">
        <f>+IFERROR(INDEX(Assumptions!$F$31:$F$42, MATCH(AI21, Assumptions!$D$31:$D$42, 0))*$C$23, 0)</f>
        <v>0</v>
      </c>
      <c r="AJ26" s="9">
        <f>+IFERROR(INDEX(Assumptions!$F$31:$F$42, MATCH(AJ21, Assumptions!$D$31:$D$42, 0))*$C$23, 0)</f>
        <v>0</v>
      </c>
      <c r="AK26" s="9">
        <f>+IFERROR(INDEX(Assumptions!$F$31:$F$42, MATCH(AK21, Assumptions!$D$31:$D$42, 0))*$C$23, 0)</f>
        <v>0</v>
      </c>
      <c r="AL26" s="9">
        <f>+IFERROR(INDEX(Assumptions!$F$31:$F$42, MATCH(AL21, Assumptions!$D$31:$D$42, 0))*$C$23, 0)</f>
        <v>300000</v>
      </c>
      <c r="AM26" s="9">
        <f>+IFERROR(INDEX(Assumptions!$F$31:$F$42, MATCH(AM21, Assumptions!$D$31:$D$42, 0))*$C$23, 0)</f>
        <v>375000</v>
      </c>
      <c r="AN26" s="9">
        <f>+IFERROR(INDEX(Assumptions!$F$31:$F$42, MATCH(AN21, Assumptions!$D$31:$D$42, 0))*$C$23, 0)</f>
        <v>225000</v>
      </c>
      <c r="AO26" s="9">
        <f>+IFERROR(INDEX(Assumptions!$F$31:$F$42, MATCH(AO21, Assumptions!$D$31:$D$42, 0))*$C$23, 0)</f>
        <v>0</v>
      </c>
      <c r="AP26" s="9">
        <f>+IFERROR(INDEX(Assumptions!$F$31:$F$42, MATCH(AP21, Assumptions!$D$31:$D$42, 0))*$C$23, 0)</f>
        <v>225000</v>
      </c>
      <c r="AQ26" s="9">
        <f>+IFERROR(INDEX(Assumptions!$F$31:$F$42, MATCH(AQ21, Assumptions!$D$31:$D$42, 0))*$C$23, 0)</f>
        <v>0</v>
      </c>
      <c r="AR26" s="9">
        <f>+IFERROR(INDEX(Assumptions!$F$31:$F$42, MATCH(AR21, Assumptions!$D$31:$D$42, 0))*$C$23, 0)</f>
        <v>225000</v>
      </c>
      <c r="AS26" s="9">
        <f>+IFERROR(INDEX(Assumptions!$F$31:$F$42, MATCH(AS21, Assumptions!$D$31:$D$42, 0))*$C$23, 0)</f>
        <v>0</v>
      </c>
      <c r="AT26" s="9">
        <f>+IFERROR(INDEX(Assumptions!$F$31:$F$42, MATCH(AT21, Assumptions!$D$31:$D$42, 0))*$C$23, 0)</f>
        <v>0</v>
      </c>
      <c r="AU26" s="9">
        <f>+IFERROR(INDEX(Assumptions!$F$31:$F$42, MATCH(AU21, Assumptions!$D$31:$D$42, 0))*$C$23, 0)</f>
        <v>0</v>
      </c>
      <c r="AV26" s="9">
        <f>+IFERROR(INDEX(Assumptions!$F$31:$F$42, MATCH(AV21, Assumptions!$D$31:$D$42, 0))*$C$23, 0)</f>
        <v>0</v>
      </c>
      <c r="AW26" s="9">
        <f>+IFERROR(INDEX(Assumptions!$F$31:$F$42, MATCH(AW21, Assumptions!$D$31:$D$42, 0))*$C$23, 0)</f>
        <v>0</v>
      </c>
      <c r="AX26" s="9">
        <f>+IFERROR(INDEX(Assumptions!$F$31:$F$42, MATCH(AX21, Assumptions!$D$31:$D$42, 0))*$C$23, 0)</f>
        <v>0</v>
      </c>
      <c r="AY26" s="9">
        <f>+IFERROR(INDEX(Assumptions!$F$31:$F$42, MATCH(AY21, Assumptions!$D$31:$D$42, 0))*$C$23, 0)</f>
        <v>0</v>
      </c>
      <c r="AZ26" s="9">
        <f>+IFERROR(INDEX(Assumptions!$F$31:$F$42, MATCH(AZ21, Assumptions!$D$31:$D$42, 0))*$C$23, 0)</f>
        <v>0</v>
      </c>
      <c r="BA26" s="9">
        <f>+IFERROR(INDEX(Assumptions!$F$31:$F$42, MATCH(BA21, Assumptions!$D$31:$D$42, 0))*$C$23, 0)</f>
        <v>0</v>
      </c>
      <c r="BB26" s="9">
        <f>+IFERROR(INDEX(Assumptions!$F$31:$F$42, MATCH(BB21, Assumptions!$D$31:$D$42, 0))*$C$23, 0)</f>
        <v>0</v>
      </c>
      <c r="BC26" s="9">
        <f>+IFERROR(INDEX(Assumptions!$F$31:$F$42, MATCH(BC21, Assumptions!$D$31:$D$42, 0))*$C$23, 0)</f>
        <v>0</v>
      </c>
      <c r="BD26" s="9">
        <f>+IFERROR(INDEX(Assumptions!$F$31:$F$42, MATCH(BD21, Assumptions!$D$31:$D$42, 0))*$C$23, 0)</f>
        <v>0</v>
      </c>
      <c r="BE26" s="9">
        <f>+IFERROR(INDEX(Assumptions!$F$31:$F$42, MATCH(BE21, Assumptions!$D$31:$D$42, 0))*$C$23, 0)</f>
        <v>0</v>
      </c>
      <c r="BF26" s="9">
        <f>+IFERROR(INDEX(Assumptions!$F$31:$F$42, MATCH(BF21, Assumptions!$D$31:$D$42, 0))*$C$23, 0)</f>
        <v>0</v>
      </c>
      <c r="BG26" s="9">
        <f>+IFERROR(INDEX(Assumptions!$F$31:$F$42, MATCH(BG21, Assumptions!$D$31:$D$42, 0))*$C$23, 0)</f>
        <v>0</v>
      </c>
      <c r="BH26" s="9">
        <f>+IFERROR(INDEX(Assumptions!$F$31:$F$42, MATCH(BH21, Assumptions!$D$31:$D$42, 0))*$C$23, 0)</f>
        <v>0</v>
      </c>
      <c r="BI26" s="9">
        <f>+IFERROR(INDEX(Assumptions!$F$31:$F$42, MATCH(BI21, Assumptions!$D$31:$D$42, 0))*$C$23, 0)</f>
        <v>0</v>
      </c>
      <c r="BJ26" s="9">
        <f>+IFERROR(INDEX(Assumptions!$F$31:$F$42, MATCH(BJ21, Assumptions!$D$31:$D$42, 0))*$C$23, 0)</f>
        <v>0</v>
      </c>
      <c r="BK26" s="9">
        <f>+IFERROR(INDEX(Assumptions!$F$31:$F$42, MATCH(BK21, Assumptions!$D$31:$D$42, 0))*$C$23, 0)</f>
        <v>0</v>
      </c>
      <c r="BL26" s="9">
        <f>+IFERROR(INDEX(Assumptions!$F$31:$F$42, MATCH(BL21, Assumptions!$D$31:$D$42, 0))*$C$23, 0)</f>
        <v>0</v>
      </c>
      <c r="BM26" s="9">
        <f>+IFERROR(INDEX(Assumptions!$F$31:$F$42, MATCH(BM21, Assumptions!$D$31:$D$42, 0))*$C$23, 0)</f>
        <v>0</v>
      </c>
      <c r="BN26" s="9">
        <f>+IFERROR(INDEX(Assumptions!$F$31:$F$42, MATCH(BN21, Assumptions!$D$31:$D$42, 0))*$C$23, 0)</f>
        <v>0</v>
      </c>
      <c r="BO26" s="9">
        <f>+IFERROR(INDEX(Assumptions!$F$31:$F$42, MATCH(BO21, Assumptions!$D$31:$D$42, 0))*$C$23, 0)</f>
        <v>0</v>
      </c>
      <c r="BP26" s="9">
        <f>+IFERROR(INDEX(Assumptions!$F$31:$F$42, MATCH(BP21, Assumptions!$D$31:$D$42, 0))*$C$23, 0)</f>
        <v>0</v>
      </c>
      <c r="BQ26" s="9">
        <f>+IFERROR(INDEX(Assumptions!$F$31:$F$42, MATCH(BQ21, Assumptions!$D$31:$D$42, 0))*$C$23, 0)</f>
        <v>0</v>
      </c>
      <c r="BR26" s="9">
        <f>+IFERROR(INDEX(Assumptions!$F$31:$F$42, MATCH(BR21, Assumptions!$D$31:$D$42, 0))*$C$23, 0)</f>
        <v>0</v>
      </c>
      <c r="BS26" s="9">
        <f>+IFERROR(INDEX(Assumptions!$F$31:$F$42, MATCH(BS21, Assumptions!$D$31:$D$42, 0))*$C$23, 0)</f>
        <v>0</v>
      </c>
      <c r="BT26" s="9">
        <f>+IFERROR(INDEX(Assumptions!$F$31:$F$42, MATCH(BT21, Assumptions!$D$31:$D$42, 0))*$C$23, 0)</f>
        <v>0</v>
      </c>
      <c r="BU26" s="9">
        <f>+IFERROR(INDEX(Assumptions!$F$31:$F$42, MATCH(BU21, Assumptions!$D$31:$D$42, 0))*$C$23, 0)</f>
        <v>0</v>
      </c>
      <c r="BV26" s="9">
        <f>+IFERROR(INDEX(Assumptions!$F$31:$F$42, MATCH(BV21, Assumptions!$D$31:$D$42, 0))*$C$23, 0)</f>
        <v>0</v>
      </c>
      <c r="BW26" s="9">
        <f>+IFERROR(INDEX(Assumptions!$F$31:$F$42, MATCH(BW21, Assumptions!$D$31:$D$42, 0))*$C$23, 0)</f>
        <v>0</v>
      </c>
      <c r="BX26" s="9">
        <f>+IFERROR(INDEX(Assumptions!$F$31:$F$42, MATCH(BX21, Assumptions!$D$31:$D$42, 0))*$C$23, 0)</f>
        <v>0</v>
      </c>
      <c r="BY26" s="9">
        <f>+IFERROR(INDEX(Assumptions!$F$31:$F$42, MATCH(BY21, Assumptions!$D$31:$D$42, 0))*$C$23, 0)</f>
        <v>0</v>
      </c>
      <c r="BZ26" s="9">
        <f>+IFERROR(INDEX(Assumptions!$F$31:$F$42, MATCH(BZ21, Assumptions!$D$31:$D$42, 0))*$C$23, 0)</f>
        <v>0</v>
      </c>
      <c r="CA26" s="9">
        <f>+IFERROR(INDEX(Assumptions!$F$31:$F$42, MATCH(CA21, Assumptions!$D$31:$D$42, 0))*$C$23, 0)</f>
        <v>0</v>
      </c>
      <c r="CB26" s="9">
        <f>+IFERROR(INDEX(Assumptions!$F$31:$F$42, MATCH(CB21, Assumptions!$D$31:$D$42, 0))*$C$23, 0)</f>
        <v>0</v>
      </c>
      <c r="CC26" s="9">
        <f>+IFERROR(INDEX(Assumptions!$F$31:$F$42, MATCH(CC21, Assumptions!$D$31:$D$42, 0))*$C$23, 0)</f>
        <v>0</v>
      </c>
      <c r="CD26" s="9">
        <f>+IFERROR(INDEX(Assumptions!$F$31:$F$42, MATCH(CD21, Assumptions!$D$31:$D$42, 0))*$C$23, 0)</f>
        <v>0</v>
      </c>
      <c r="CE26" s="9">
        <f>+IFERROR(INDEX(Assumptions!$F$31:$F$42, MATCH(CE21, Assumptions!$D$31:$D$42, 0))*$C$23, 0)</f>
        <v>0</v>
      </c>
      <c r="CF26" s="9">
        <f>+IFERROR(INDEX(Assumptions!$F$31:$F$42, MATCH(CF21, Assumptions!$D$31:$D$42, 0))*$C$23, 0)</f>
        <v>0</v>
      </c>
      <c r="CG26" s="9">
        <f>+IFERROR(INDEX(Assumptions!$F$31:$F$42, MATCH(CG21, Assumptions!$D$31:$D$42, 0))*$C$23, 0)</f>
        <v>0</v>
      </c>
      <c r="CH26" s="9">
        <f>+IFERROR(INDEX(Assumptions!$F$31:$F$42, MATCH(CH21, Assumptions!$D$31:$D$42, 0))*$C$23, 0)</f>
        <v>0</v>
      </c>
      <c r="CI26" s="9">
        <f>+IFERROR(INDEX(Assumptions!$F$31:$F$42, MATCH(CI21, Assumptions!$D$31:$D$42, 0))*$C$23, 0)</f>
        <v>0</v>
      </c>
      <c r="CJ26" s="9">
        <f>+IFERROR(INDEX(Assumptions!$F$31:$F$42, MATCH(CJ21, Assumptions!$D$31:$D$42, 0))*$C$23, 0)</f>
        <v>0</v>
      </c>
      <c r="CK26" s="9">
        <f>+IFERROR(INDEX(Assumptions!$F$31:$F$42, MATCH(CK21, Assumptions!$D$31:$D$42, 0))*$C$23, 0)</f>
        <v>0</v>
      </c>
      <c r="CL26" s="9">
        <f>+IFERROR(INDEX(Assumptions!$F$31:$F$42, MATCH(CL21, Assumptions!$D$31:$D$42, 0))*$C$23, 0)</f>
        <v>0</v>
      </c>
      <c r="CM26" s="9">
        <f>+IFERROR(INDEX(Assumptions!$F$31:$F$42, MATCH(CM21, Assumptions!$D$31:$D$42, 0))*$C$23, 0)</f>
        <v>0</v>
      </c>
      <c r="CN26" s="9">
        <f>+IFERROR(INDEX(Assumptions!$F$31:$F$42, MATCH(CN21, Assumptions!$D$31:$D$42, 0))*$C$23, 0)</f>
        <v>0</v>
      </c>
      <c r="CO26" s="9">
        <f>+IFERROR(INDEX(Assumptions!$F$31:$F$42, MATCH(CO21, Assumptions!$D$31:$D$42, 0))*$C$23, 0)</f>
        <v>0</v>
      </c>
      <c r="CP26" s="9">
        <f>+IFERROR(INDEX(Assumptions!$F$31:$F$42, MATCH(CP21, Assumptions!$D$31:$D$42, 0))*$C$23, 0)</f>
        <v>0</v>
      </c>
      <c r="CQ26" s="9">
        <f>+IFERROR(INDEX(Assumptions!$F$31:$F$42, MATCH(CQ21, Assumptions!$D$31:$D$42, 0))*$C$23, 0)</f>
        <v>0</v>
      </c>
      <c r="CR26" s="9">
        <f>+IFERROR(INDEX(Assumptions!$F$31:$F$42, MATCH(CR21, Assumptions!$D$31:$D$42, 0))*$C$23, 0)</f>
        <v>0</v>
      </c>
      <c r="CS26" s="9">
        <f>+IFERROR(INDEX(Assumptions!$F$31:$F$42, MATCH(CS21, Assumptions!$D$31:$D$42, 0))*$C$23, 0)</f>
        <v>0</v>
      </c>
      <c r="CT26" s="9">
        <f>+IFERROR(INDEX(Assumptions!$F$31:$F$42, MATCH(CT21, Assumptions!$D$31:$D$42, 0))*$C$23, 0)</f>
        <v>0</v>
      </c>
      <c r="CU26" s="9">
        <f>+IFERROR(INDEX(Assumptions!$F$31:$F$42, MATCH(CU21, Assumptions!$D$31:$D$42, 0))*$C$23, 0)</f>
        <v>0</v>
      </c>
      <c r="CV26" s="9">
        <f>+IFERROR(INDEX(Assumptions!$F$31:$F$42, MATCH(CV21, Assumptions!$D$31:$D$42, 0))*$C$23, 0)</f>
        <v>0</v>
      </c>
      <c r="CW26" s="9">
        <f>+IFERROR(INDEX(Assumptions!$F$31:$F$42, MATCH(CW21, Assumptions!$D$31:$D$42, 0))*$C$23, 0)</f>
        <v>0</v>
      </c>
      <c r="CX26" s="9">
        <f>+IFERROR(INDEX(Assumptions!$F$31:$F$42, MATCH(CX21, Assumptions!$D$31:$D$42, 0))*$C$23, 0)</f>
        <v>0</v>
      </c>
      <c r="CY26" s="9">
        <f>+IFERROR(INDEX(Assumptions!$F$31:$F$42, MATCH(CY21, Assumptions!$D$31:$D$42, 0))*$C$23, 0)</f>
        <v>0</v>
      </c>
      <c r="CZ26" s="9">
        <f>+IFERROR(INDEX(Assumptions!$F$31:$F$42, MATCH(CZ21, Assumptions!$D$31:$D$42, 0))*$C$23, 0)</f>
        <v>0</v>
      </c>
      <c r="DA26" s="9">
        <f>+IFERROR(INDEX(Assumptions!$F$31:$F$42, MATCH(DA21, Assumptions!$D$31:$D$42, 0))*$C$23, 0)</f>
        <v>0</v>
      </c>
      <c r="DB26" s="9">
        <f>+IFERROR(INDEX(Assumptions!$F$31:$F$42, MATCH(DB21, Assumptions!$D$31:$D$42, 0))*$C$23, 0)</f>
        <v>0</v>
      </c>
      <c r="DC26" s="9">
        <f>+IFERROR(INDEX(Assumptions!$F$31:$F$42, MATCH(DC21, Assumptions!$D$31:$D$42, 0))*$C$23, 0)</f>
        <v>0</v>
      </c>
      <c r="DD26" s="9">
        <f>+IFERROR(INDEX(Assumptions!$F$31:$F$42, MATCH(DD21, Assumptions!$D$31:$D$42, 0))*$C$23, 0)</f>
        <v>0</v>
      </c>
      <c r="DE26" s="9">
        <f>+IFERROR(INDEX(Assumptions!$F$31:$F$42, MATCH(DE21, Assumptions!$D$31:$D$42, 0))*$C$23, 0)</f>
        <v>0</v>
      </c>
      <c r="DF26" s="9">
        <f>+IFERROR(INDEX(Assumptions!$F$31:$F$42, MATCH(DF21, Assumptions!$D$31:$D$42, 0))*$C$23, 0)</f>
        <v>0</v>
      </c>
      <c r="DG26" s="9">
        <f>+IFERROR(INDEX(Assumptions!$F$31:$F$42, MATCH(DG21, Assumptions!$D$31:$D$42, 0))*$C$23, 0)</f>
        <v>0</v>
      </c>
      <c r="DH26" s="9">
        <f>+IFERROR(INDEX(Assumptions!$F$31:$F$42, MATCH(DH21, Assumptions!$D$31:$D$42, 0))*$C$23, 0)</f>
        <v>0</v>
      </c>
    </row>
    <row r="27" spans="2:112" x14ac:dyDescent="0.3">
      <c r="D27" t="s">
        <v>289</v>
      </c>
      <c r="F27" s="9">
        <f t="shared" ref="F27" si="320">+F26+E27</f>
        <v>0</v>
      </c>
      <c r="G27" s="9">
        <f t="shared" ref="G27" si="321">+G26+F27</f>
        <v>0</v>
      </c>
      <c r="H27" s="9">
        <f t="shared" ref="H27" si="322">+H26+G27</f>
        <v>0</v>
      </c>
      <c r="I27" s="9">
        <f t="shared" ref="I27" si="323">+I26+H27</f>
        <v>0</v>
      </c>
      <c r="J27" s="9">
        <f t="shared" ref="J27" si="324">+J26+I27</f>
        <v>0</v>
      </c>
      <c r="K27" s="9">
        <f t="shared" ref="K27" si="325">+K26+J27</f>
        <v>0</v>
      </c>
      <c r="L27" s="9">
        <f t="shared" ref="L27" si="326">+L26+K27</f>
        <v>0</v>
      </c>
      <c r="M27" s="9">
        <f t="shared" ref="M27" si="327">+M26+L27</f>
        <v>0</v>
      </c>
      <c r="N27" s="9">
        <f t="shared" ref="N27" si="328">+N26+M27</f>
        <v>0</v>
      </c>
      <c r="O27" s="9">
        <f t="shared" ref="O27" si="329">+O26+N27</f>
        <v>0</v>
      </c>
      <c r="P27" s="9">
        <f t="shared" ref="P27" si="330">+P26+O27</f>
        <v>0</v>
      </c>
      <c r="Q27" s="9">
        <f t="shared" ref="Q27" si="331">+Q26+P27</f>
        <v>0</v>
      </c>
      <c r="R27" s="9">
        <f t="shared" ref="R27" si="332">+R26+Q27</f>
        <v>0</v>
      </c>
      <c r="S27" s="9">
        <f t="shared" ref="S27" si="333">+S26+R27</f>
        <v>0</v>
      </c>
      <c r="T27" s="9">
        <f t="shared" ref="T27" si="334">+T26+S27</f>
        <v>0</v>
      </c>
      <c r="U27" s="9">
        <f t="shared" ref="U27" si="335">+U26+T27</f>
        <v>0</v>
      </c>
      <c r="V27" s="9">
        <f t="shared" ref="V27" si="336">+V26+U27</f>
        <v>0</v>
      </c>
      <c r="W27" s="9">
        <f>+W26+V27</f>
        <v>0</v>
      </c>
      <c r="X27" s="9">
        <f t="shared" ref="X27" si="337">+X26+W27</f>
        <v>0</v>
      </c>
      <c r="Y27" s="172">
        <f t="shared" ref="Y27" si="338">+Y26+X27</f>
        <v>0</v>
      </c>
      <c r="Z27" s="9">
        <f t="shared" ref="Z27" si="339">+Z26+Y27</f>
        <v>0</v>
      </c>
      <c r="AA27" s="9">
        <f t="shared" ref="AA27" si="340">+AA26+Z27</f>
        <v>0</v>
      </c>
      <c r="AB27" s="9">
        <f t="shared" ref="AB27" si="341">+AB26+AA27</f>
        <v>0</v>
      </c>
      <c r="AC27" s="9">
        <f t="shared" ref="AC27" si="342">+AC26+AB27</f>
        <v>0</v>
      </c>
      <c r="AD27" s="9">
        <f t="shared" ref="AD27" si="343">+AD26+AC27</f>
        <v>0</v>
      </c>
      <c r="AE27" s="9">
        <f t="shared" ref="AE27" si="344">+AE26+AD27</f>
        <v>0</v>
      </c>
      <c r="AF27" s="9">
        <f t="shared" ref="AF27" si="345">+AF26+AE27</f>
        <v>0</v>
      </c>
      <c r="AG27" s="9">
        <f t="shared" ref="AG27" si="346">+AG26+AF27</f>
        <v>0</v>
      </c>
      <c r="AH27" s="9">
        <f t="shared" ref="AH27" si="347">+AH26+AG27</f>
        <v>150000</v>
      </c>
      <c r="AI27" s="9">
        <f t="shared" ref="AI27" si="348">+AI26+AH27</f>
        <v>150000</v>
      </c>
      <c r="AJ27" s="9">
        <f t="shared" ref="AJ27" si="349">+AJ26+AI27</f>
        <v>150000</v>
      </c>
      <c r="AK27" s="9">
        <f t="shared" ref="AK27" si="350">+AK26+AJ27</f>
        <v>150000</v>
      </c>
      <c r="AL27" s="9">
        <f t="shared" ref="AL27" si="351">+AL26+AK27</f>
        <v>450000</v>
      </c>
      <c r="AM27" s="9">
        <f t="shared" ref="AM27" si="352">+AM26+AL27</f>
        <v>825000</v>
      </c>
      <c r="AN27" s="9">
        <f t="shared" ref="AN27" si="353">+AN26+AM27</f>
        <v>1050000</v>
      </c>
      <c r="AO27" s="9">
        <f t="shared" ref="AO27" si="354">+AO26+AN27</f>
        <v>1050000</v>
      </c>
      <c r="AP27" s="9">
        <f t="shared" ref="AP27" si="355">+AP26+AO27</f>
        <v>1275000</v>
      </c>
      <c r="AQ27" s="9">
        <f t="shared" ref="AQ27" si="356">+AQ26+AP27</f>
        <v>1275000</v>
      </c>
      <c r="AR27" s="9">
        <f t="shared" ref="AR27" si="357">+AR26+AQ27</f>
        <v>1500000</v>
      </c>
      <c r="AS27" s="9">
        <f t="shared" ref="AS27" si="358">+AS26+AR27</f>
        <v>1500000</v>
      </c>
      <c r="AT27" s="9">
        <f t="shared" ref="AT27" si="359">+AT26+AS27</f>
        <v>1500000</v>
      </c>
      <c r="AU27" s="9">
        <f t="shared" ref="AU27" si="360">+AU26+AT27</f>
        <v>1500000</v>
      </c>
      <c r="AV27" s="9">
        <f t="shared" ref="AV27" si="361">+AV26+AU27</f>
        <v>1500000</v>
      </c>
      <c r="AW27" s="9">
        <f t="shared" ref="AW27" si="362">+AW26+AV27</f>
        <v>1500000</v>
      </c>
      <c r="AX27" s="9">
        <f t="shared" ref="AX27" si="363">+AX26+AW27</f>
        <v>1500000</v>
      </c>
      <c r="AY27" s="9">
        <f t="shared" ref="AY27" si="364">+AY26+AX27</f>
        <v>1500000</v>
      </c>
      <c r="AZ27" s="9">
        <f t="shared" ref="AZ27" si="365">+AZ26+AY27</f>
        <v>1500000</v>
      </c>
      <c r="BA27" s="9">
        <f t="shared" ref="BA27" si="366">+BA26+AZ27</f>
        <v>1500000</v>
      </c>
      <c r="BB27" s="9">
        <f t="shared" ref="BB27" si="367">+BB26+BA27</f>
        <v>1500000</v>
      </c>
      <c r="BC27" s="9">
        <f t="shared" ref="BC27" si="368">+BC26+BB27</f>
        <v>1500000</v>
      </c>
      <c r="BD27" s="9">
        <f t="shared" ref="BD27" si="369">+BD26+BC27</f>
        <v>1500000</v>
      </c>
      <c r="BE27" s="9">
        <f t="shared" ref="BE27" si="370">+BE26+BD27</f>
        <v>1500000</v>
      </c>
      <c r="BF27" s="9">
        <f t="shared" ref="BF27" si="371">+BF26+BE27</f>
        <v>1500000</v>
      </c>
      <c r="BG27" s="9">
        <f t="shared" ref="BG27" si="372">+BG26+BF27</f>
        <v>1500000</v>
      </c>
      <c r="BH27" s="9">
        <f t="shared" ref="BH27" si="373">+BH26+BG27</f>
        <v>1500000</v>
      </c>
      <c r="BI27" s="9">
        <f t="shared" ref="BI27" si="374">+BI26+BH27</f>
        <v>1500000</v>
      </c>
      <c r="BJ27" s="9">
        <f t="shared" ref="BJ27" si="375">+BJ26+BI27</f>
        <v>1500000</v>
      </c>
      <c r="BK27" s="9">
        <f t="shared" ref="BK27" si="376">+BK26+BJ27</f>
        <v>1500000</v>
      </c>
      <c r="BL27" s="9">
        <f t="shared" ref="BL27" si="377">+BL26+BK27</f>
        <v>1500000</v>
      </c>
      <c r="BM27" s="9">
        <f t="shared" ref="BM27" si="378">+BM26+BL27</f>
        <v>1500000</v>
      </c>
      <c r="BN27" s="9">
        <f t="shared" ref="BN27" si="379">+BN26+BM27</f>
        <v>1500000</v>
      </c>
      <c r="BO27" s="9">
        <f t="shared" ref="BO27" si="380">+BO26+BN27</f>
        <v>1500000</v>
      </c>
      <c r="BP27" s="9">
        <f t="shared" ref="BP27" si="381">+BP26+BO27</f>
        <v>1500000</v>
      </c>
      <c r="BQ27" s="9">
        <f t="shared" ref="BQ27" si="382">+BQ26+BP27</f>
        <v>1500000</v>
      </c>
      <c r="BR27" s="9">
        <f t="shared" ref="BR27" si="383">+BR26+BQ27</f>
        <v>1500000</v>
      </c>
      <c r="BS27" s="9">
        <f t="shared" ref="BS27" si="384">+BS26+BR27</f>
        <v>1500000</v>
      </c>
      <c r="BT27" s="9">
        <f t="shared" ref="BT27" si="385">+BT26+BS27</f>
        <v>1500000</v>
      </c>
      <c r="BU27" s="9">
        <f t="shared" ref="BU27" si="386">+BU26+BT27</f>
        <v>1500000</v>
      </c>
      <c r="BV27" s="9">
        <f t="shared" ref="BV27" si="387">+BV26+BU27</f>
        <v>1500000</v>
      </c>
      <c r="BW27" s="9">
        <f t="shared" ref="BW27" si="388">+BW26+BV27</f>
        <v>1500000</v>
      </c>
      <c r="BX27" s="9">
        <f t="shared" ref="BX27" si="389">+BX26+BW27</f>
        <v>1500000</v>
      </c>
      <c r="BY27" s="9">
        <f t="shared" ref="BY27" si="390">+BY26+BX27</f>
        <v>1500000</v>
      </c>
      <c r="BZ27" s="9">
        <f t="shared" ref="BZ27" si="391">+BZ26+BY27</f>
        <v>1500000</v>
      </c>
      <c r="CA27" s="9">
        <f t="shared" ref="CA27" si="392">+CA26+BZ27</f>
        <v>1500000</v>
      </c>
      <c r="CB27" s="9">
        <f t="shared" ref="CB27" si="393">+CB26+CA27</f>
        <v>1500000</v>
      </c>
      <c r="CC27" s="9">
        <f t="shared" ref="CC27" si="394">+CC26+CB27</f>
        <v>1500000</v>
      </c>
      <c r="CD27" s="9">
        <f t="shared" ref="CD27" si="395">+CD26+CC27</f>
        <v>1500000</v>
      </c>
      <c r="CE27" s="9">
        <f t="shared" ref="CE27" si="396">+CE26+CD27</f>
        <v>1500000</v>
      </c>
      <c r="CF27" s="9">
        <f t="shared" ref="CF27" si="397">+CF26+CE27</f>
        <v>1500000</v>
      </c>
      <c r="CG27" s="9">
        <f t="shared" ref="CG27" si="398">+CG26+CF27</f>
        <v>1500000</v>
      </c>
      <c r="CH27" s="9">
        <f t="shared" ref="CH27" si="399">+CH26+CG27</f>
        <v>1500000</v>
      </c>
      <c r="CI27" s="9">
        <f t="shared" ref="CI27" si="400">+CI26+CH27</f>
        <v>1500000</v>
      </c>
      <c r="CJ27" s="9">
        <f t="shared" ref="CJ27" si="401">+CJ26+CI27</f>
        <v>1500000</v>
      </c>
      <c r="CK27" s="9">
        <f t="shared" ref="CK27" si="402">+CK26+CJ27</f>
        <v>1500000</v>
      </c>
      <c r="CL27" s="9">
        <f t="shared" ref="CL27" si="403">+CL26+CK27</f>
        <v>1500000</v>
      </c>
      <c r="CM27" s="9">
        <f t="shared" ref="CM27" si="404">+CM26+CL27</f>
        <v>1500000</v>
      </c>
      <c r="CN27" s="9">
        <f t="shared" ref="CN27" si="405">+CN26+CM27</f>
        <v>1500000</v>
      </c>
      <c r="CO27" s="9">
        <f t="shared" ref="CO27" si="406">+CO26+CN27</f>
        <v>1500000</v>
      </c>
      <c r="CP27" s="9">
        <f t="shared" ref="CP27" si="407">+CP26+CO27</f>
        <v>1500000</v>
      </c>
      <c r="CQ27" s="9">
        <f t="shared" ref="CQ27" si="408">+CQ26+CP27</f>
        <v>1500000</v>
      </c>
      <c r="CR27" s="9">
        <f t="shared" ref="CR27" si="409">+CR26+CQ27</f>
        <v>1500000</v>
      </c>
      <c r="CS27" s="9">
        <f t="shared" ref="CS27" si="410">+CS26+CR27</f>
        <v>1500000</v>
      </c>
      <c r="CT27" s="9">
        <f t="shared" ref="CT27" si="411">+CT26+CS27</f>
        <v>1500000</v>
      </c>
      <c r="CU27" s="9">
        <f t="shared" ref="CU27" si="412">+CU26+CT27</f>
        <v>1500000</v>
      </c>
      <c r="CV27" s="9">
        <f t="shared" ref="CV27" si="413">+CV26+CU27</f>
        <v>1500000</v>
      </c>
      <c r="CW27" s="9">
        <f t="shared" ref="CW27" si="414">+CW26+CV27</f>
        <v>1500000</v>
      </c>
      <c r="CX27" s="9">
        <f t="shared" ref="CX27" si="415">+CX26+CW27</f>
        <v>1500000</v>
      </c>
      <c r="CY27" s="9">
        <f t="shared" ref="CY27" si="416">+CY26+CX27</f>
        <v>1500000</v>
      </c>
      <c r="CZ27" s="9">
        <f t="shared" ref="CZ27" si="417">+CZ26+CY27</f>
        <v>1500000</v>
      </c>
      <c r="DA27" s="9">
        <f t="shared" ref="DA27" si="418">+DA26+CZ27</f>
        <v>1500000</v>
      </c>
      <c r="DB27" s="9">
        <f t="shared" ref="DB27" si="419">+DB26+DA27</f>
        <v>1500000</v>
      </c>
      <c r="DC27" s="9">
        <f t="shared" ref="DC27" si="420">+DC26+DB27</f>
        <v>1500000</v>
      </c>
      <c r="DD27" s="9">
        <f t="shared" ref="DD27" si="421">+DD26+DC27</f>
        <v>1500000</v>
      </c>
      <c r="DE27" s="9">
        <f t="shared" ref="DE27" si="422">+DE26+DD27</f>
        <v>1500000</v>
      </c>
      <c r="DF27" s="9">
        <f t="shared" ref="DF27" si="423">+DF26+DE27</f>
        <v>1500000</v>
      </c>
      <c r="DG27" s="9">
        <f t="shared" ref="DG27:DH27" si="424">+DG26+DF27</f>
        <v>1500000</v>
      </c>
      <c r="DH27" s="9">
        <f t="shared" si="424"/>
        <v>1500000</v>
      </c>
    </row>
    <row r="28" spans="2:112" x14ac:dyDescent="0.3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72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</row>
    <row r="29" spans="2:112" x14ac:dyDescent="0.3">
      <c r="F29" s="513">
        <f t="shared" ref="F29:AK29" si="425">+IF(F$3&lt;$C$33,0,IF(AND(F$3&gt;=$C$33,E29&lt;12, $C$34&gt;=F$3),E29+1,0))</f>
        <v>0</v>
      </c>
      <c r="G29" s="513">
        <f t="shared" si="425"/>
        <v>0</v>
      </c>
      <c r="H29" s="513">
        <f t="shared" si="425"/>
        <v>0</v>
      </c>
      <c r="I29" s="513">
        <f t="shared" si="425"/>
        <v>0</v>
      </c>
      <c r="J29" s="513">
        <f t="shared" si="425"/>
        <v>0</v>
      </c>
      <c r="K29" s="513">
        <f t="shared" si="425"/>
        <v>0</v>
      </c>
      <c r="L29" s="513">
        <f t="shared" si="425"/>
        <v>0</v>
      </c>
      <c r="M29" s="513">
        <f t="shared" si="425"/>
        <v>0</v>
      </c>
      <c r="N29" s="513">
        <f t="shared" si="425"/>
        <v>0</v>
      </c>
      <c r="O29" s="513">
        <f t="shared" si="425"/>
        <v>0</v>
      </c>
      <c r="P29" s="513">
        <f t="shared" si="425"/>
        <v>0</v>
      </c>
      <c r="Q29" s="513">
        <f t="shared" si="425"/>
        <v>0</v>
      </c>
      <c r="R29" s="513">
        <f t="shared" si="425"/>
        <v>0</v>
      </c>
      <c r="S29" s="513">
        <f t="shared" si="425"/>
        <v>0</v>
      </c>
      <c r="T29" s="513">
        <f t="shared" si="425"/>
        <v>0</v>
      </c>
      <c r="U29" s="513">
        <f t="shared" si="425"/>
        <v>0</v>
      </c>
      <c r="V29" s="82">
        <f t="shared" si="425"/>
        <v>0</v>
      </c>
      <c r="W29" s="82">
        <f t="shared" si="425"/>
        <v>0</v>
      </c>
      <c r="X29" s="82">
        <f t="shared" si="425"/>
        <v>0</v>
      </c>
      <c r="Y29" s="252">
        <f t="shared" si="425"/>
        <v>0</v>
      </c>
      <c r="Z29" s="513">
        <f t="shared" si="425"/>
        <v>0</v>
      </c>
      <c r="AA29" s="513">
        <f t="shared" si="425"/>
        <v>0</v>
      </c>
      <c r="AB29" s="513">
        <f t="shared" si="425"/>
        <v>0</v>
      </c>
      <c r="AC29" s="513">
        <f t="shared" si="425"/>
        <v>0</v>
      </c>
      <c r="AD29" s="513">
        <f t="shared" si="425"/>
        <v>0</v>
      </c>
      <c r="AE29" s="513">
        <f t="shared" si="425"/>
        <v>0</v>
      </c>
      <c r="AF29" s="513">
        <f t="shared" si="425"/>
        <v>0</v>
      </c>
      <c r="AG29" s="513">
        <f t="shared" si="425"/>
        <v>0</v>
      </c>
      <c r="AH29" s="513">
        <f t="shared" si="425"/>
        <v>0</v>
      </c>
      <c r="AI29" s="513">
        <f t="shared" si="425"/>
        <v>0</v>
      </c>
      <c r="AJ29" s="513">
        <f t="shared" si="425"/>
        <v>0</v>
      </c>
      <c r="AK29" s="513">
        <f t="shared" si="425"/>
        <v>0</v>
      </c>
      <c r="AL29" s="513">
        <f t="shared" ref="AL29:BQ29" si="426">+IF(AL$3&lt;$C$33,0,IF(AND(AL$3&gt;=$C$33,AK29&lt;12, $C$34&gt;=AL$3),AK29+1,0))</f>
        <v>0</v>
      </c>
      <c r="AM29" s="513">
        <f t="shared" si="426"/>
        <v>0</v>
      </c>
      <c r="AN29" s="513">
        <f t="shared" si="426"/>
        <v>0</v>
      </c>
      <c r="AO29" s="513">
        <f t="shared" si="426"/>
        <v>0</v>
      </c>
      <c r="AP29" s="513">
        <f t="shared" si="426"/>
        <v>0</v>
      </c>
      <c r="AQ29" s="513">
        <f t="shared" si="426"/>
        <v>0</v>
      </c>
      <c r="AR29" s="513">
        <f t="shared" si="426"/>
        <v>0</v>
      </c>
      <c r="AS29" s="513">
        <f t="shared" si="426"/>
        <v>1</v>
      </c>
      <c r="AT29" s="513">
        <f t="shared" si="426"/>
        <v>2</v>
      </c>
      <c r="AU29" s="513">
        <f t="shared" si="426"/>
        <v>3</v>
      </c>
      <c r="AV29" s="513">
        <f t="shared" si="426"/>
        <v>4</v>
      </c>
      <c r="AW29" s="513">
        <f t="shared" si="426"/>
        <v>5</v>
      </c>
      <c r="AX29" s="513">
        <f t="shared" si="426"/>
        <v>6</v>
      </c>
      <c r="AY29" s="513">
        <f t="shared" si="426"/>
        <v>7</v>
      </c>
      <c r="AZ29" s="513">
        <f t="shared" si="426"/>
        <v>8</v>
      </c>
      <c r="BA29" s="513">
        <f t="shared" si="426"/>
        <v>9</v>
      </c>
      <c r="BB29" s="513">
        <f t="shared" si="426"/>
        <v>10</v>
      </c>
      <c r="BC29" s="513">
        <f t="shared" si="426"/>
        <v>11</v>
      </c>
      <c r="BD29" s="513">
        <f t="shared" si="426"/>
        <v>12</v>
      </c>
      <c r="BE29" s="513">
        <f t="shared" si="426"/>
        <v>0</v>
      </c>
      <c r="BF29" s="513">
        <f t="shared" si="426"/>
        <v>0</v>
      </c>
      <c r="BG29" s="513">
        <f t="shared" si="426"/>
        <v>0</v>
      </c>
      <c r="BH29" s="513">
        <f t="shared" si="426"/>
        <v>0</v>
      </c>
      <c r="BI29" s="513">
        <f t="shared" si="426"/>
        <v>0</v>
      </c>
      <c r="BJ29" s="513">
        <f t="shared" si="426"/>
        <v>0</v>
      </c>
      <c r="BK29" s="513">
        <f t="shared" si="426"/>
        <v>0</v>
      </c>
      <c r="BL29" s="513">
        <f t="shared" si="426"/>
        <v>0</v>
      </c>
      <c r="BM29" s="513">
        <f t="shared" si="426"/>
        <v>0</v>
      </c>
      <c r="BN29" s="513">
        <f t="shared" si="426"/>
        <v>0</v>
      </c>
      <c r="BO29" s="513">
        <f t="shared" si="426"/>
        <v>0</v>
      </c>
      <c r="BP29" s="513">
        <f t="shared" si="426"/>
        <v>0</v>
      </c>
      <c r="BQ29" s="513">
        <f t="shared" si="426"/>
        <v>0</v>
      </c>
      <c r="BR29" s="513">
        <f t="shared" ref="BR29:CV29" si="427">+IF(BR$3&lt;$C$33,0,IF(AND(BR$3&gt;=$C$33,BQ29&lt;12, $C$34&gt;=BR$3),BQ29+1,0))</f>
        <v>0</v>
      </c>
      <c r="BS29" s="513">
        <f t="shared" si="427"/>
        <v>0</v>
      </c>
      <c r="BT29" s="513">
        <f t="shared" si="427"/>
        <v>0</v>
      </c>
      <c r="BU29" s="513">
        <f t="shared" si="427"/>
        <v>0</v>
      </c>
      <c r="BV29" s="513">
        <f t="shared" si="427"/>
        <v>0</v>
      </c>
      <c r="BW29" s="513">
        <f t="shared" si="427"/>
        <v>0</v>
      </c>
      <c r="BX29" s="513">
        <f t="shared" si="427"/>
        <v>0</v>
      </c>
      <c r="BY29" s="513">
        <f t="shared" si="427"/>
        <v>0</v>
      </c>
      <c r="BZ29" s="513">
        <f t="shared" si="427"/>
        <v>0</v>
      </c>
      <c r="CA29" s="513">
        <f t="shared" si="427"/>
        <v>0</v>
      </c>
      <c r="CB29" s="513">
        <f t="shared" si="427"/>
        <v>0</v>
      </c>
      <c r="CC29" s="513">
        <f t="shared" si="427"/>
        <v>0</v>
      </c>
      <c r="CD29" s="513">
        <f t="shared" si="427"/>
        <v>0</v>
      </c>
      <c r="CE29" s="513">
        <f t="shared" si="427"/>
        <v>0</v>
      </c>
      <c r="CF29" s="513">
        <f t="shared" si="427"/>
        <v>0</v>
      </c>
      <c r="CG29" s="513">
        <f t="shared" si="427"/>
        <v>0</v>
      </c>
      <c r="CH29" s="513">
        <f t="shared" si="427"/>
        <v>0</v>
      </c>
      <c r="CI29" s="513">
        <f t="shared" si="427"/>
        <v>0</v>
      </c>
      <c r="CJ29" s="513">
        <f t="shared" si="427"/>
        <v>0</v>
      </c>
      <c r="CK29" s="513">
        <f t="shared" si="427"/>
        <v>0</v>
      </c>
      <c r="CL29" s="513">
        <f t="shared" si="427"/>
        <v>0</v>
      </c>
      <c r="CM29" s="513">
        <f t="shared" si="427"/>
        <v>0</v>
      </c>
      <c r="CN29" s="513">
        <f t="shared" si="427"/>
        <v>0</v>
      </c>
      <c r="CO29" s="513">
        <f t="shared" si="427"/>
        <v>0</v>
      </c>
      <c r="CP29" s="513">
        <f t="shared" si="427"/>
        <v>0</v>
      </c>
      <c r="CQ29" s="513">
        <f t="shared" si="427"/>
        <v>0</v>
      </c>
      <c r="CR29" s="513">
        <f t="shared" si="427"/>
        <v>0</v>
      </c>
      <c r="CS29" s="513">
        <f t="shared" si="427"/>
        <v>0</v>
      </c>
      <c r="CT29" s="513">
        <f t="shared" si="427"/>
        <v>0</v>
      </c>
      <c r="CU29" s="513">
        <f t="shared" si="427"/>
        <v>0</v>
      </c>
      <c r="CV29" s="513">
        <f t="shared" si="427"/>
        <v>0</v>
      </c>
      <c r="CW29" s="513">
        <f t="shared" ref="CW29:DG29" si="428">+IF(CW$3&lt;$C$33,0,IF(AND(CW$3&gt;=$C$33,CV29&lt;12, $C$34&gt;=CW$3),CV29+1,0))</f>
        <v>0</v>
      </c>
      <c r="CX29" s="513">
        <f t="shared" si="428"/>
        <v>0</v>
      </c>
      <c r="CY29" s="513">
        <f t="shared" si="428"/>
        <v>0</v>
      </c>
      <c r="CZ29" s="513">
        <f t="shared" si="428"/>
        <v>0</v>
      </c>
      <c r="DA29" s="513">
        <f t="shared" si="428"/>
        <v>0</v>
      </c>
      <c r="DB29" s="513">
        <f t="shared" si="428"/>
        <v>0</v>
      </c>
      <c r="DC29" s="513">
        <f t="shared" si="428"/>
        <v>0</v>
      </c>
      <c r="DD29" s="513">
        <f t="shared" si="428"/>
        <v>0</v>
      </c>
      <c r="DE29" s="513">
        <f t="shared" si="428"/>
        <v>0</v>
      </c>
      <c r="DF29" s="513">
        <f t="shared" si="428"/>
        <v>0</v>
      </c>
      <c r="DG29" s="513">
        <f t="shared" si="428"/>
        <v>0</v>
      </c>
      <c r="DH29" s="513">
        <f t="shared" ref="DH29" si="429">+IF(DH$3&lt;$C$33,0,IF(AND(DH$3&gt;=$C$33,DG29&lt;12, $C$34&gt;=DH$3),DG29+1,0))</f>
        <v>0</v>
      </c>
    </row>
    <row r="30" spans="2:112" x14ac:dyDescent="0.3">
      <c r="B30" t="s">
        <v>376</v>
      </c>
      <c r="D30" t="s">
        <v>244</v>
      </c>
      <c r="E30" s="459"/>
      <c r="F30" s="459">
        <f>+IFERROR(INDEX(Assumptions!$F$5:$F$16, MATCH(F29, Assumptions!$D$5:$D$16, 0))*$C$31, 0)</f>
        <v>0</v>
      </c>
      <c r="G30" s="459">
        <f>+IFERROR(INDEX(Assumptions!$F$5:$F$16, MATCH(G29, Assumptions!$D$5:$D$16, 0))*$C$31, 0)</f>
        <v>0</v>
      </c>
      <c r="H30" s="459">
        <f>+IFERROR(INDEX(Assumptions!$F$5:$F$16, MATCH(H29, Assumptions!$D$5:$D$16, 0))*$C$31, 0)</f>
        <v>0</v>
      </c>
      <c r="I30" s="459">
        <f>+IFERROR(INDEX(Assumptions!$F$5:$F$16, MATCH(I29, Assumptions!$D$5:$D$16, 0))*$C$31, 0)</f>
        <v>0</v>
      </c>
      <c r="J30" s="459">
        <f>+IFERROR(INDEX(Assumptions!$F$5:$F$16, MATCH(J29, Assumptions!$D$5:$D$16, 0))*$C$31, 0)</f>
        <v>0</v>
      </c>
      <c r="K30" s="459">
        <f>+IFERROR(INDEX(Assumptions!$F$5:$F$16, MATCH(K29, Assumptions!$D$5:$D$16, 0))*$C$31, 0)</f>
        <v>0</v>
      </c>
      <c r="L30" s="459">
        <f>+IFERROR(INDEX(Assumptions!$F$5:$F$16, MATCH(L29, Assumptions!$D$5:$D$16, 0))*$C$31, 0)</f>
        <v>0</v>
      </c>
      <c r="M30" s="459">
        <f>+IFERROR(INDEX(Assumptions!$F$5:$F$16, MATCH(M29, Assumptions!$D$5:$D$16, 0))*$C$31, 0)</f>
        <v>0</v>
      </c>
      <c r="N30" s="459">
        <f>+IFERROR(INDEX(Assumptions!$F$5:$F$16, MATCH(N29, Assumptions!$D$5:$D$16, 0))*$C$31, 0)</f>
        <v>0</v>
      </c>
      <c r="O30" s="459">
        <f>+IFERROR(INDEX(Assumptions!$F$5:$F$16, MATCH(O29, Assumptions!$D$5:$D$16, 0))*$C$31, 0)</f>
        <v>0</v>
      </c>
      <c r="P30" s="459">
        <f>+IFERROR(INDEX(Assumptions!$F$5:$F$16, MATCH(P29, Assumptions!$D$5:$D$16, 0))*$C$31, 0)</f>
        <v>0</v>
      </c>
      <c r="Q30" s="459">
        <f>+IFERROR(INDEX(Assumptions!$F$5:$F$16, MATCH(Q29, Assumptions!$D$5:$D$16, 0))*$C$31, 0)</f>
        <v>0</v>
      </c>
      <c r="R30" s="459">
        <f>+IFERROR(INDEX(Assumptions!$F$5:$F$16, MATCH(R29, Assumptions!$D$5:$D$16, 0))*$C$31, 0)</f>
        <v>0</v>
      </c>
      <c r="S30" s="459">
        <f>+IFERROR(INDEX(Assumptions!$F$5:$F$16, MATCH(S29, Assumptions!$D$5:$D$16, 0))*$C$31, 0)</f>
        <v>0</v>
      </c>
      <c r="T30" s="459">
        <f>+IFERROR(INDEX(Assumptions!$F$5:$F$16, MATCH(T29, Assumptions!$D$5:$D$16, 0))*$C$31, 0)</f>
        <v>0</v>
      </c>
      <c r="U30" s="459">
        <f>+IFERROR(INDEX(Assumptions!$F$5:$F$16, MATCH(U29, Assumptions!$D$5:$D$16, 0))*$C$31, 0)</f>
        <v>0</v>
      </c>
      <c r="V30" s="535">
        <f>+IFERROR(INDEX(Assumptions!$F$5:$F$16, MATCH(V29, Assumptions!$D$5:$D$16, 0))*$C$31, 0)</f>
        <v>0</v>
      </c>
      <c r="W30" s="147">
        <f>+IFERROR(INDEX(Assumptions!$F$5:$F$16, MATCH(W29, Assumptions!$D$5:$D$16, 0))*$C$31, 0)</f>
        <v>0</v>
      </c>
      <c r="X30" s="147">
        <f>+IFERROR(INDEX(Assumptions!$F$5:$F$16, MATCH(X29, Assumptions!$D$5:$D$16, 0))*$C$31, 0)</f>
        <v>0</v>
      </c>
      <c r="Y30" s="347">
        <f>+IFERROR(INDEX(Assumptions!$F$5:$F$16, MATCH(Y29, Assumptions!$D$5:$D$16, 0))*$C$31, 0)</f>
        <v>0</v>
      </c>
      <c r="Z30" s="280">
        <f>+IFERROR(INDEX(Assumptions!$F$5:$F$16, MATCH(Z29, Assumptions!$D$5:$D$16, 0))*$C$31, 0)</f>
        <v>0</v>
      </c>
      <c r="AA30" s="280">
        <f>+IFERROR(INDEX(Assumptions!$F$5:$F$16, MATCH(AA29, Assumptions!$D$5:$D$16, 0))*$C$31, 0)</f>
        <v>0</v>
      </c>
      <c r="AB30" s="280">
        <f>+IFERROR(INDEX(Assumptions!$F$5:$F$16, MATCH(AB29, Assumptions!$D$5:$D$16, 0))*$C$31, 0)</f>
        <v>0</v>
      </c>
      <c r="AC30" s="280">
        <f>+IFERROR(INDEX(Assumptions!$F$5:$F$16, MATCH(AC29, Assumptions!$D$5:$D$16, 0))*$C$31, 0)</f>
        <v>0</v>
      </c>
      <c r="AD30" s="280">
        <f>+IFERROR(INDEX(Assumptions!$F$5:$F$16, MATCH(AD29, Assumptions!$D$5:$D$16, 0))*$C$31, 0)</f>
        <v>0</v>
      </c>
      <c r="AE30" s="280">
        <f>+IFERROR(INDEX(Assumptions!$F$5:$F$16, MATCH(AE29, Assumptions!$D$5:$D$16, 0))*$C$31, 0)</f>
        <v>0</v>
      </c>
      <c r="AF30" s="280">
        <f>+IFERROR(INDEX(Assumptions!$F$5:$F$16, MATCH(AF29, Assumptions!$D$5:$D$16, 0))*$C$31, 0)</f>
        <v>0</v>
      </c>
      <c r="AG30" s="280">
        <f>+IFERROR(INDEX(Assumptions!$F$5:$F$16, MATCH(AG29, Assumptions!$D$5:$D$16, 0))*$C$31, 0)</f>
        <v>0</v>
      </c>
      <c r="AH30" s="280">
        <f>+IFERROR(INDEX(Assumptions!$F$5:$F$16, MATCH(AH29, Assumptions!$D$5:$D$16, 0))*$C$31, 0)</f>
        <v>0</v>
      </c>
      <c r="AI30" s="280">
        <f>+IFERROR(INDEX(Assumptions!$F$5:$F$16, MATCH(AI29, Assumptions!$D$5:$D$16, 0))*$C$31, 0)</f>
        <v>0</v>
      </c>
      <c r="AJ30" s="280">
        <f>+IFERROR(INDEX(Assumptions!$F$5:$F$16, MATCH(AJ29, Assumptions!$D$5:$D$16, 0))*$C$31, 0)</f>
        <v>0</v>
      </c>
      <c r="AK30" s="280">
        <f>+IFERROR(INDEX(Assumptions!$F$5:$F$16, MATCH(AK29, Assumptions!$D$5:$D$16, 0))*$C$31, 0)</f>
        <v>0</v>
      </c>
      <c r="AL30" s="280">
        <f>+IFERROR(INDEX(Assumptions!$F$5:$F$16, MATCH(AL29, Assumptions!$D$5:$D$16, 0))*$C$31, 0)</f>
        <v>0</v>
      </c>
      <c r="AM30" s="280">
        <f>+IFERROR(INDEX(Assumptions!$F$5:$F$16, MATCH(AM29, Assumptions!$D$5:$D$16, 0))*$C$31, 0)</f>
        <v>0</v>
      </c>
      <c r="AN30" s="280">
        <f>+IFERROR(INDEX(Assumptions!$F$5:$F$16, MATCH(AN29, Assumptions!$D$5:$D$16, 0))*$C$31, 0)</f>
        <v>0</v>
      </c>
      <c r="AO30" s="280">
        <f>+IFERROR(INDEX(Assumptions!$F$5:$F$16, MATCH(AO29, Assumptions!$D$5:$D$16, 0))*$C$31, 0)</f>
        <v>0</v>
      </c>
      <c r="AP30" s="280">
        <f>+IFERROR(INDEX(Assumptions!$F$5:$F$16, MATCH(AP29, Assumptions!$D$5:$D$16, 0))*$C$31, 0)</f>
        <v>0</v>
      </c>
      <c r="AQ30" s="280">
        <f>+IFERROR(INDEX(Assumptions!$F$5:$F$16, MATCH(AQ29, Assumptions!$D$5:$D$16, 0))*$C$31, 0)</f>
        <v>0</v>
      </c>
      <c r="AR30" s="280">
        <f>+IFERROR(INDEX(Assumptions!$F$5:$F$16, MATCH(AR29, Assumptions!$D$5:$D$16, 0))*$C$31, 0)</f>
        <v>0</v>
      </c>
      <c r="AS30" s="280">
        <f>+IFERROR(INDEX(Assumptions!$F$5:$F$16, MATCH(AS29, Assumptions!$D$5:$D$16, 0))*$C$31, 0)</f>
        <v>0</v>
      </c>
      <c r="AT30" s="280">
        <f>+IFERROR(INDEX(Assumptions!$F$5:$F$16, MATCH(AT29, Assumptions!$D$5:$D$16, 0))*$C$31, 0)</f>
        <v>12957.99231626547</v>
      </c>
      <c r="AU30" s="280">
        <f>+IFERROR(INDEX(Assumptions!$F$5:$F$16, MATCH(AU29, Assumptions!$D$5:$D$16, 0))*$C$31, 0)</f>
        <v>1853.3208551221362</v>
      </c>
      <c r="AV30" s="280">
        <f>+IFERROR(INDEX(Assumptions!$F$5:$F$16, MATCH(AV29, Assumptions!$D$5:$D$16, 0))*$C$31, 0)</f>
        <v>76806.84061809571</v>
      </c>
      <c r="AW30" s="280">
        <f>+IFERROR(INDEX(Assumptions!$F$5:$F$16, MATCH(AW29, Assumptions!$D$5:$D$16, 0))*$C$31, 0)</f>
        <v>6933.2504385075263</v>
      </c>
      <c r="AX30" s="280">
        <f>+IFERROR(INDEX(Assumptions!$F$5:$F$16, MATCH(AX29, Assumptions!$D$5:$D$16, 0))*$C$31, 0)</f>
        <v>313652.51317686471</v>
      </c>
      <c r="AY30" s="280">
        <f>+IFERROR(INDEX(Assumptions!$F$5:$F$16, MATCH(AY29, Assumptions!$D$5:$D$16, 0))*$C$31, 0)</f>
        <v>562485.20571418072</v>
      </c>
      <c r="AZ30" s="280">
        <f>+IFERROR(INDEX(Assumptions!$F$5:$F$16, MATCH(AZ29, Assumptions!$D$5:$D$16, 0))*$C$31, 0)</f>
        <v>379012.27558570716</v>
      </c>
      <c r="BA30" s="280">
        <f>+IFERROR(INDEX(Assumptions!$F$5:$F$16, MATCH(BA29, Assumptions!$D$5:$D$16, 0))*$C$31, 0)</f>
        <v>250100.61568776774</v>
      </c>
      <c r="BB30" s="280">
        <f>+IFERROR(INDEX(Assumptions!$F$5:$F$16, MATCH(BB29, Assumptions!$D$5:$D$16, 0))*$C$31, 0)</f>
        <v>52361.042794773093</v>
      </c>
      <c r="BC30" s="280">
        <f>+IFERROR(INDEX(Assumptions!$F$5:$F$16, MATCH(BC29, Assumptions!$D$5:$D$16, 0))*$C$31, 0)</f>
        <v>400981.18254108966</v>
      </c>
      <c r="BD30" s="280">
        <f>+IFERROR(INDEX(Assumptions!$F$5:$F$16, MATCH(BD29, Assumptions!$D$5:$D$16, 0))*$C$31, 0)</f>
        <v>92855.760271626001</v>
      </c>
      <c r="BE30" s="280">
        <f>+IFERROR(INDEX(Assumptions!$F$5:$F$16, MATCH(BE29, Assumptions!$D$5:$D$16, 0))*$C$31, 0)</f>
        <v>0</v>
      </c>
      <c r="BF30" s="280">
        <f>+IFERROR(INDEX(Assumptions!$F$5:$F$16, MATCH(BF29, Assumptions!$D$5:$D$16, 0))*$C$31, 0)</f>
        <v>0</v>
      </c>
      <c r="BG30" s="280">
        <f>+IFERROR(INDEX(Assumptions!$F$5:$F$16, MATCH(BG29, Assumptions!$D$5:$D$16, 0))*$C$31, 0)</f>
        <v>0</v>
      </c>
      <c r="BH30" s="280">
        <f>+IFERROR(INDEX(Assumptions!$F$5:$F$16, MATCH(BH29, Assumptions!$D$5:$D$16, 0))*$C$31, 0)</f>
        <v>0</v>
      </c>
      <c r="BI30" s="280">
        <f>+IFERROR(INDEX(Assumptions!$F$5:$F$16, MATCH(BI29, Assumptions!$D$5:$D$16, 0))*$C$31, 0)</f>
        <v>0</v>
      </c>
      <c r="BJ30" s="280">
        <f>+IFERROR(INDEX(Assumptions!$F$5:$F$16, MATCH(BJ29, Assumptions!$D$5:$D$16, 0))*$C$31, 0)</f>
        <v>0</v>
      </c>
      <c r="BK30" s="280">
        <f>+IFERROR(INDEX(Assumptions!$F$5:$F$16, MATCH(BK29, Assumptions!$D$5:$D$16, 0))*$C$31, 0)</f>
        <v>0</v>
      </c>
      <c r="BL30" s="280">
        <f>+IFERROR(INDEX(Assumptions!$F$5:$F$16, MATCH(BL29, Assumptions!$D$5:$D$16, 0))*$C$31, 0)</f>
        <v>0</v>
      </c>
      <c r="BM30" s="280">
        <f>+IFERROR(INDEX(Assumptions!$F$5:$F$16, MATCH(BM29, Assumptions!$D$5:$D$16, 0))*$C$31, 0)</f>
        <v>0</v>
      </c>
      <c r="BN30" s="280">
        <f>+IFERROR(INDEX(Assumptions!$F$5:$F$16, MATCH(BN29, Assumptions!$D$5:$D$16, 0))*$C$31, 0)</f>
        <v>0</v>
      </c>
      <c r="BO30" s="280">
        <f>+IFERROR(INDEX(Assumptions!$F$5:$F$16, MATCH(BO29, Assumptions!$D$5:$D$16, 0))*$C$31, 0)</f>
        <v>0</v>
      </c>
      <c r="BP30" s="280">
        <f>+IFERROR(INDEX(Assumptions!$F$5:$F$16, MATCH(BP29, Assumptions!$D$5:$D$16, 0))*$C$31, 0)</f>
        <v>0</v>
      </c>
      <c r="BQ30" s="280">
        <f>+IFERROR(INDEX(Assumptions!$F$5:$F$16, MATCH(BQ29, Assumptions!$D$5:$D$16, 0))*$C$31, 0)</f>
        <v>0</v>
      </c>
      <c r="BR30" s="280">
        <f>+IFERROR(INDEX(Assumptions!$F$5:$F$16, MATCH(BR29, Assumptions!$D$5:$D$16, 0))*$C$31, 0)</f>
        <v>0</v>
      </c>
      <c r="BS30" s="280">
        <f>+IFERROR(INDEX(Assumptions!$F$5:$F$16, MATCH(BS29, Assumptions!$D$5:$D$16, 0))*$C$31, 0)</f>
        <v>0</v>
      </c>
      <c r="BT30" s="280">
        <f>+IFERROR(INDEX(Assumptions!$F$5:$F$16, MATCH(BT29, Assumptions!$D$5:$D$16, 0))*$C$31, 0)</f>
        <v>0</v>
      </c>
      <c r="BU30" s="280">
        <f>+IFERROR(INDEX(Assumptions!$F$5:$F$16, MATCH(BU29, Assumptions!$D$5:$D$16, 0))*$C$31, 0)</f>
        <v>0</v>
      </c>
      <c r="BV30" s="280">
        <f>+IFERROR(INDEX(Assumptions!$F$5:$F$16, MATCH(BV29, Assumptions!$D$5:$D$16, 0))*$C$31, 0)</f>
        <v>0</v>
      </c>
      <c r="BW30" s="280">
        <f>+IFERROR(INDEX(Assumptions!$F$5:$F$16, MATCH(BW29, Assumptions!$D$5:$D$16, 0))*$C$31, 0)</f>
        <v>0</v>
      </c>
      <c r="BX30" s="280">
        <f>+IFERROR(INDEX(Assumptions!$F$5:$F$16, MATCH(BX29, Assumptions!$D$5:$D$16, 0))*$C$31, 0)</f>
        <v>0</v>
      </c>
      <c r="BY30" s="280">
        <f>+IFERROR(INDEX(Assumptions!$F$5:$F$16, MATCH(BY29, Assumptions!$D$5:$D$16, 0))*$C$31, 0)</f>
        <v>0</v>
      </c>
      <c r="BZ30" s="280">
        <f>+IFERROR(INDEX(Assumptions!$F$5:$F$16, MATCH(BZ29, Assumptions!$D$5:$D$16, 0))*$C$31, 0)</f>
        <v>0</v>
      </c>
      <c r="CA30" s="280">
        <f>+IFERROR(INDEX(Assumptions!$F$5:$F$16, MATCH(CA29, Assumptions!$D$5:$D$16, 0))*$C$31, 0)</f>
        <v>0</v>
      </c>
      <c r="CB30" s="280">
        <f>+IFERROR(INDEX(Assumptions!$F$5:$F$16, MATCH(CB29, Assumptions!$D$5:$D$16, 0))*$C$31, 0)</f>
        <v>0</v>
      </c>
      <c r="CC30" s="280">
        <f>+IFERROR(INDEX(Assumptions!$F$5:$F$16, MATCH(CC29, Assumptions!$D$5:$D$16, 0))*$C$31, 0)</f>
        <v>0</v>
      </c>
      <c r="CD30" s="280">
        <f>+IFERROR(INDEX(Assumptions!$F$5:$F$16, MATCH(CD29, Assumptions!$D$5:$D$16, 0))*$C$31, 0)</f>
        <v>0</v>
      </c>
      <c r="CE30" s="280">
        <f>+IFERROR(INDEX(Assumptions!$F$5:$F$16, MATCH(CE29, Assumptions!$D$5:$D$16, 0))*$C$31, 0)</f>
        <v>0</v>
      </c>
      <c r="CF30" s="280">
        <f>+IFERROR(INDEX(Assumptions!$F$5:$F$16, MATCH(CF29, Assumptions!$D$5:$D$16, 0))*$C$31, 0)</f>
        <v>0</v>
      </c>
      <c r="CG30" s="280">
        <f>+IFERROR(INDEX(Assumptions!$F$5:$F$16, MATCH(CG29, Assumptions!$D$5:$D$16, 0))*$C$31, 0)</f>
        <v>0</v>
      </c>
      <c r="CH30" s="280">
        <f>+IFERROR(INDEX(Assumptions!$F$5:$F$16, MATCH(CH29, Assumptions!$D$5:$D$16, 0))*$C$31, 0)</f>
        <v>0</v>
      </c>
      <c r="CI30" s="280">
        <f>+IFERROR(INDEX(Assumptions!$F$5:$F$16, MATCH(CI29, Assumptions!$D$5:$D$16, 0))*$C$31, 0)</f>
        <v>0</v>
      </c>
      <c r="CJ30" s="280">
        <f>+IFERROR(INDEX(Assumptions!$F$5:$F$16, MATCH(CJ29, Assumptions!$D$5:$D$16, 0))*$C$31, 0)</f>
        <v>0</v>
      </c>
      <c r="CK30" s="280">
        <f>+IFERROR(INDEX(Assumptions!$F$5:$F$16, MATCH(CK29, Assumptions!$D$5:$D$16, 0))*$C$31, 0)</f>
        <v>0</v>
      </c>
      <c r="CL30" s="280">
        <f>+IFERROR(INDEX(Assumptions!$F$5:$F$16, MATCH(CL29, Assumptions!$D$5:$D$16, 0))*$C$31, 0)</f>
        <v>0</v>
      </c>
      <c r="CM30" s="280">
        <f>+IFERROR(INDEX(Assumptions!$F$5:$F$16, MATCH(CM29, Assumptions!$D$5:$D$16, 0))*$C$31, 0)</f>
        <v>0</v>
      </c>
      <c r="CN30" s="280">
        <f>+IFERROR(INDEX(Assumptions!$F$5:$F$16, MATCH(CN29, Assumptions!$D$5:$D$16, 0))*$C$31, 0)</f>
        <v>0</v>
      </c>
      <c r="CO30" s="280">
        <f>+IFERROR(INDEX(Assumptions!$F$5:$F$16, MATCH(CO29, Assumptions!$D$5:$D$16, 0))*$C$31, 0)</f>
        <v>0</v>
      </c>
      <c r="CP30" s="280">
        <f>+IFERROR(INDEX(Assumptions!$F$5:$F$16, MATCH(CP29, Assumptions!$D$5:$D$16, 0))*$C$31, 0)</f>
        <v>0</v>
      </c>
      <c r="CQ30" s="280">
        <f>+IFERROR(INDEX(Assumptions!$F$5:$F$16, MATCH(CQ29, Assumptions!$D$5:$D$16, 0))*$C$31, 0)</f>
        <v>0</v>
      </c>
      <c r="CR30" s="280">
        <f>+IFERROR(INDEX(Assumptions!$F$5:$F$16, MATCH(CR29, Assumptions!$D$5:$D$16, 0))*$C$31, 0)</f>
        <v>0</v>
      </c>
      <c r="CS30" s="280">
        <f>+IFERROR(INDEX(Assumptions!$F$5:$F$16, MATCH(CS29, Assumptions!$D$5:$D$16, 0))*$C$31, 0)</f>
        <v>0</v>
      </c>
      <c r="CT30" s="280">
        <f>+IFERROR(INDEX(Assumptions!$F$5:$F$16, MATCH(CT29, Assumptions!$D$5:$D$16, 0))*$C$31, 0)</f>
        <v>0</v>
      </c>
      <c r="CU30" s="280">
        <f>+IFERROR(INDEX(Assumptions!$F$5:$F$16, MATCH(CU29, Assumptions!$D$5:$D$16, 0))*$C$31, 0)</f>
        <v>0</v>
      </c>
      <c r="CV30" s="280">
        <f>+IFERROR(INDEX(Assumptions!$F$5:$F$16, MATCH(CV29, Assumptions!$D$5:$D$16, 0))*$C$31, 0)</f>
        <v>0</v>
      </c>
      <c r="CW30" s="280">
        <f>+IFERROR(INDEX(Assumptions!$F$5:$F$16, MATCH(CW29, Assumptions!$D$5:$D$16, 0))*$C$31, 0)</f>
        <v>0</v>
      </c>
      <c r="CX30" s="280">
        <f>+IFERROR(INDEX(Assumptions!$F$5:$F$16, MATCH(CX29, Assumptions!$D$5:$D$16, 0))*$C$31, 0)</f>
        <v>0</v>
      </c>
      <c r="CY30" s="280">
        <f>+IFERROR(INDEX(Assumptions!$F$5:$F$16, MATCH(CY29, Assumptions!$D$5:$D$16, 0))*$C$31, 0)</f>
        <v>0</v>
      </c>
      <c r="CZ30" s="280">
        <f>+IFERROR(INDEX(Assumptions!$F$5:$F$16, MATCH(CZ29, Assumptions!$D$5:$D$16, 0))*$C$31, 0)</f>
        <v>0</v>
      </c>
      <c r="DA30" s="280">
        <f>+IFERROR(INDEX(Assumptions!$F$5:$F$16, MATCH(DA29, Assumptions!$D$5:$D$16, 0))*$C$31, 0)</f>
        <v>0</v>
      </c>
      <c r="DB30" s="280">
        <f>+IFERROR(INDEX(Assumptions!$F$5:$F$16, MATCH(DB29, Assumptions!$D$5:$D$16, 0))*$C$31, 0)</f>
        <v>0</v>
      </c>
      <c r="DC30" s="280">
        <f>+IFERROR(INDEX(Assumptions!$F$5:$F$16, MATCH(DC29, Assumptions!$D$5:$D$16, 0))*$C$31, 0)</f>
        <v>0</v>
      </c>
      <c r="DD30" s="280">
        <f>+IFERROR(INDEX(Assumptions!$F$5:$F$16, MATCH(DD29, Assumptions!$D$5:$D$16, 0))*$C$31, 0)</f>
        <v>0</v>
      </c>
      <c r="DE30" s="280">
        <f>+IFERROR(INDEX(Assumptions!$F$5:$F$16, MATCH(DE29, Assumptions!$D$5:$D$16, 0))*$C$31, 0)</f>
        <v>0</v>
      </c>
      <c r="DF30" s="280">
        <f>+IFERROR(INDEX(Assumptions!$F$5:$F$16, MATCH(DF29, Assumptions!$D$5:$D$16, 0))*$C$31, 0)</f>
        <v>0</v>
      </c>
      <c r="DG30" s="280">
        <f>+IFERROR(INDEX(Assumptions!$F$5:$F$16, MATCH(DG29, Assumptions!$D$5:$D$16, 0))*$C$31, 0)</f>
        <v>0</v>
      </c>
      <c r="DH30" s="280">
        <f>+IFERROR(INDEX(Assumptions!$F$5:$F$16, MATCH(DH29, Assumptions!$D$5:$D$16, 0))*$C$31, 0)</f>
        <v>0</v>
      </c>
    </row>
    <row r="31" spans="2:112" x14ac:dyDescent="0.3">
      <c r="B31" t="s">
        <v>242</v>
      </c>
      <c r="C31" s="208">
        <v>2150000</v>
      </c>
      <c r="D31" t="s">
        <v>294</v>
      </c>
      <c r="E31" s="459"/>
      <c r="F31" s="459">
        <f t="shared" ref="F31" si="430">+F30+E31</f>
        <v>0</v>
      </c>
      <c r="G31" s="459">
        <f t="shared" ref="G31" si="431">+G30+F31</f>
        <v>0</v>
      </c>
      <c r="H31" s="459">
        <f t="shared" ref="H31" si="432">+H30+G31</f>
        <v>0</v>
      </c>
      <c r="I31" s="459">
        <f t="shared" ref="I31" si="433">+I30+H31</f>
        <v>0</v>
      </c>
      <c r="J31" s="459">
        <f t="shared" ref="J31" si="434">+J30+I31</f>
        <v>0</v>
      </c>
      <c r="K31" s="459">
        <f t="shared" ref="K31" si="435">+K30+J31</f>
        <v>0</v>
      </c>
      <c r="L31" s="459">
        <f t="shared" ref="L31" si="436">+L30+K31</f>
        <v>0</v>
      </c>
      <c r="M31" s="459">
        <f t="shared" ref="M31" si="437">+M30+L31</f>
        <v>0</v>
      </c>
      <c r="N31" s="459">
        <f t="shared" ref="N31" si="438">+N30+M31</f>
        <v>0</v>
      </c>
      <c r="O31" s="459">
        <f t="shared" ref="O31" si="439">+O30+N31</f>
        <v>0</v>
      </c>
      <c r="P31" s="459">
        <f t="shared" ref="P31" si="440">+P30+O31</f>
        <v>0</v>
      </c>
      <c r="Q31" s="459">
        <f t="shared" ref="Q31" si="441">+Q30+P31</f>
        <v>0</v>
      </c>
      <c r="R31" s="459">
        <f t="shared" ref="R31" si="442">+R30+Q31</f>
        <v>0</v>
      </c>
      <c r="S31" s="459">
        <f t="shared" ref="S31" si="443">+S30+R31</f>
        <v>0</v>
      </c>
      <c r="T31" s="459">
        <f t="shared" ref="T31" si="444">+T30+S31</f>
        <v>0</v>
      </c>
      <c r="U31" s="459">
        <f t="shared" ref="U31" si="445">+U30+T31</f>
        <v>0</v>
      </c>
      <c r="V31" s="535">
        <f t="shared" ref="V31" si="446">+V30+U31</f>
        <v>0</v>
      </c>
      <c r="W31" s="147">
        <f t="shared" ref="W31:AK31" si="447">+W30+V31</f>
        <v>0</v>
      </c>
      <c r="X31" s="147">
        <f t="shared" si="447"/>
        <v>0</v>
      </c>
      <c r="Y31" s="347">
        <f t="shared" si="447"/>
        <v>0</v>
      </c>
      <c r="Z31" s="280">
        <f t="shared" si="447"/>
        <v>0</v>
      </c>
      <c r="AA31" s="280">
        <f t="shared" si="447"/>
        <v>0</v>
      </c>
      <c r="AB31" s="280">
        <f t="shared" si="447"/>
        <v>0</v>
      </c>
      <c r="AC31" s="280">
        <f t="shared" si="447"/>
        <v>0</v>
      </c>
      <c r="AD31" s="280">
        <f t="shared" si="447"/>
        <v>0</v>
      </c>
      <c r="AE31" s="280">
        <f t="shared" si="447"/>
        <v>0</v>
      </c>
      <c r="AF31" s="280">
        <f t="shared" si="447"/>
        <v>0</v>
      </c>
      <c r="AG31" s="280">
        <f t="shared" si="447"/>
        <v>0</v>
      </c>
      <c r="AH31" s="280">
        <f t="shared" si="447"/>
        <v>0</v>
      </c>
      <c r="AI31" s="280">
        <f t="shared" si="447"/>
        <v>0</v>
      </c>
      <c r="AJ31" s="280">
        <f t="shared" si="447"/>
        <v>0</v>
      </c>
      <c r="AK31" s="280">
        <f t="shared" si="447"/>
        <v>0</v>
      </c>
      <c r="AL31" s="280">
        <f t="shared" ref="AL31" si="448">+AL30+AK31</f>
        <v>0</v>
      </c>
      <c r="AM31" s="280">
        <f t="shared" ref="AM31" si="449">+AM30+AL31</f>
        <v>0</v>
      </c>
      <c r="AN31" s="280">
        <f t="shared" ref="AN31" si="450">+AN30+AM31</f>
        <v>0</v>
      </c>
      <c r="AO31" s="280">
        <f t="shared" ref="AO31" si="451">+AO30+AN31</f>
        <v>0</v>
      </c>
      <c r="AP31" s="280">
        <f t="shared" ref="AP31" si="452">+AP30+AO31</f>
        <v>0</v>
      </c>
      <c r="AQ31" s="280">
        <f t="shared" ref="AQ31" si="453">+AQ30+AP31</f>
        <v>0</v>
      </c>
      <c r="AR31" s="280">
        <f t="shared" ref="AR31" si="454">+AR30+AQ31</f>
        <v>0</v>
      </c>
      <c r="AS31" s="280">
        <f t="shared" ref="AS31" si="455">+AS30+AR31</f>
        <v>0</v>
      </c>
      <c r="AT31" s="280">
        <f t="shared" ref="AT31" si="456">+AT30+AS31</f>
        <v>12957.99231626547</v>
      </c>
      <c r="AU31" s="280">
        <f t="shared" ref="AU31" si="457">+AU30+AT31</f>
        <v>14811.313171387606</v>
      </c>
      <c r="AV31" s="280">
        <f t="shared" ref="AV31" si="458">+AV30+AU31</f>
        <v>91618.153789483316</v>
      </c>
      <c r="AW31" s="280">
        <f t="shared" ref="AW31" si="459">+AW30+AV31</f>
        <v>98551.404227990846</v>
      </c>
      <c r="AX31" s="280">
        <f t="shared" ref="AX31" si="460">+AX30+AW31</f>
        <v>412203.91740485554</v>
      </c>
      <c r="AY31" s="280">
        <f t="shared" ref="AY31" si="461">+AY30+AX31</f>
        <v>974689.1231190362</v>
      </c>
      <c r="AZ31" s="280">
        <f t="shared" ref="AZ31" si="462">+AZ30+AY31</f>
        <v>1353701.3987047435</v>
      </c>
      <c r="BA31" s="280">
        <f t="shared" ref="BA31" si="463">+BA30+AZ31</f>
        <v>1603802.0143925112</v>
      </c>
      <c r="BB31" s="280">
        <f t="shared" ref="BB31" si="464">+BB30+BA31</f>
        <v>1656163.0571872843</v>
      </c>
      <c r="BC31" s="280">
        <f t="shared" ref="BC31" si="465">+BC30+BB31</f>
        <v>2057144.2397283739</v>
      </c>
      <c r="BD31" s="280">
        <f t="shared" ref="BD31" si="466">+BD30+BC31</f>
        <v>2150000</v>
      </c>
      <c r="BE31" s="280">
        <f t="shared" ref="BE31" si="467">+BE30+BD31</f>
        <v>2150000</v>
      </c>
      <c r="BF31" s="280">
        <f t="shared" ref="BF31" si="468">+BF30+BE31</f>
        <v>2150000</v>
      </c>
      <c r="BG31" s="280">
        <f t="shared" ref="BG31" si="469">+BG30+BF31</f>
        <v>2150000</v>
      </c>
      <c r="BH31" s="280">
        <f t="shared" ref="BH31" si="470">+BH30+BG31</f>
        <v>2150000</v>
      </c>
      <c r="BI31" s="280">
        <f t="shared" ref="BI31" si="471">+BI30+BH31</f>
        <v>2150000</v>
      </c>
      <c r="BJ31" s="280">
        <f t="shared" ref="BJ31" si="472">+BJ30+BI31</f>
        <v>2150000</v>
      </c>
      <c r="BK31" s="280">
        <f t="shared" ref="BK31" si="473">+BK30+BJ31</f>
        <v>2150000</v>
      </c>
      <c r="BL31" s="280">
        <f t="shared" ref="BL31" si="474">+BL30+BK31</f>
        <v>2150000</v>
      </c>
      <c r="BM31" s="280">
        <f t="shared" ref="BM31" si="475">+BM30+BL31</f>
        <v>2150000</v>
      </c>
      <c r="BN31" s="280">
        <f t="shared" ref="BN31" si="476">+BN30+BM31</f>
        <v>2150000</v>
      </c>
      <c r="BO31" s="280">
        <f t="shared" ref="BO31" si="477">+BO30+BN31</f>
        <v>2150000</v>
      </c>
      <c r="BP31" s="280">
        <f t="shared" ref="BP31" si="478">+BP30+BO31</f>
        <v>2150000</v>
      </c>
      <c r="BQ31" s="280">
        <f t="shared" ref="BQ31" si="479">+BQ30+BP31</f>
        <v>2150000</v>
      </c>
      <c r="BR31" s="280">
        <f t="shared" ref="BR31" si="480">+BR30+BQ31</f>
        <v>2150000</v>
      </c>
      <c r="BS31" s="280">
        <f t="shared" ref="BS31" si="481">+BS30+BR31</f>
        <v>2150000</v>
      </c>
      <c r="BT31" s="280">
        <f t="shared" ref="BT31" si="482">+BT30+BS31</f>
        <v>2150000</v>
      </c>
      <c r="BU31" s="280">
        <f t="shared" ref="BU31" si="483">+BU30+BT31</f>
        <v>2150000</v>
      </c>
      <c r="BV31" s="280">
        <f t="shared" ref="BV31" si="484">+BV30+BU31</f>
        <v>2150000</v>
      </c>
      <c r="BW31" s="280">
        <f t="shared" ref="BW31" si="485">+BW30+BV31</f>
        <v>2150000</v>
      </c>
      <c r="BX31" s="280">
        <f t="shared" ref="BX31" si="486">+BX30+BW31</f>
        <v>2150000</v>
      </c>
      <c r="BY31" s="280">
        <f t="shared" ref="BY31" si="487">+BY30+BX31</f>
        <v>2150000</v>
      </c>
      <c r="BZ31" s="280">
        <f t="shared" ref="BZ31" si="488">+BZ30+BY31</f>
        <v>2150000</v>
      </c>
      <c r="CA31" s="280">
        <f t="shared" ref="CA31" si="489">+CA30+BZ31</f>
        <v>2150000</v>
      </c>
      <c r="CB31" s="280">
        <f t="shared" ref="CB31" si="490">+CB30+CA31</f>
        <v>2150000</v>
      </c>
      <c r="CC31" s="280">
        <f t="shared" ref="CC31" si="491">+CC30+CB31</f>
        <v>2150000</v>
      </c>
      <c r="CD31" s="280">
        <f t="shared" ref="CD31" si="492">+CD30+CC31</f>
        <v>2150000</v>
      </c>
      <c r="CE31" s="280">
        <f t="shared" ref="CE31" si="493">+CE30+CD31</f>
        <v>2150000</v>
      </c>
      <c r="CF31" s="280">
        <f t="shared" ref="CF31" si="494">+CF30+CE31</f>
        <v>2150000</v>
      </c>
      <c r="CG31" s="280">
        <f t="shared" ref="CG31" si="495">+CG30+CF31</f>
        <v>2150000</v>
      </c>
      <c r="CH31" s="280">
        <f t="shared" ref="CH31" si="496">+CH30+CG31</f>
        <v>2150000</v>
      </c>
      <c r="CI31" s="280">
        <f t="shared" ref="CI31" si="497">+CI30+CH31</f>
        <v>2150000</v>
      </c>
      <c r="CJ31" s="280">
        <f t="shared" ref="CJ31" si="498">+CJ30+CI31</f>
        <v>2150000</v>
      </c>
      <c r="CK31" s="280">
        <f t="shared" ref="CK31" si="499">+CK30+CJ31</f>
        <v>2150000</v>
      </c>
      <c r="CL31" s="280">
        <f t="shared" ref="CL31" si="500">+CL30+CK31</f>
        <v>2150000</v>
      </c>
      <c r="CM31" s="280">
        <f t="shared" ref="CM31" si="501">+CM30+CL31</f>
        <v>2150000</v>
      </c>
      <c r="CN31" s="280">
        <f t="shared" ref="CN31" si="502">+CN30+CM31</f>
        <v>2150000</v>
      </c>
      <c r="CO31" s="280">
        <f t="shared" ref="CO31" si="503">+CO30+CN31</f>
        <v>2150000</v>
      </c>
      <c r="CP31" s="280">
        <f t="shared" ref="CP31" si="504">+CP30+CO31</f>
        <v>2150000</v>
      </c>
      <c r="CQ31" s="280">
        <f t="shared" ref="CQ31" si="505">+CQ30+CP31</f>
        <v>2150000</v>
      </c>
      <c r="CR31" s="280">
        <f t="shared" ref="CR31" si="506">+CR30+CQ31</f>
        <v>2150000</v>
      </c>
      <c r="CS31" s="280">
        <f t="shared" ref="CS31" si="507">+CS30+CR31</f>
        <v>2150000</v>
      </c>
      <c r="CT31" s="280">
        <f t="shared" ref="CT31" si="508">+CT30+CS31</f>
        <v>2150000</v>
      </c>
      <c r="CU31" s="280">
        <f t="shared" ref="CU31" si="509">+CU30+CT31</f>
        <v>2150000</v>
      </c>
      <c r="CV31" s="280">
        <f t="shared" ref="CV31" si="510">+CV30+CU31</f>
        <v>2150000</v>
      </c>
      <c r="CW31" s="280">
        <f t="shared" ref="CW31" si="511">+CW30+CV31</f>
        <v>2150000</v>
      </c>
      <c r="CX31" s="280">
        <f t="shared" ref="CX31" si="512">+CX30+CW31</f>
        <v>2150000</v>
      </c>
      <c r="CY31" s="280">
        <f t="shared" ref="CY31" si="513">+CY30+CX31</f>
        <v>2150000</v>
      </c>
      <c r="CZ31" s="280">
        <f t="shared" ref="CZ31" si="514">+CZ30+CY31</f>
        <v>2150000</v>
      </c>
      <c r="DA31" s="280">
        <f t="shared" ref="DA31" si="515">+DA30+CZ31</f>
        <v>2150000</v>
      </c>
      <c r="DB31" s="280">
        <f t="shared" ref="DB31" si="516">+DB30+DA31</f>
        <v>2150000</v>
      </c>
      <c r="DC31" s="280">
        <f t="shared" ref="DC31" si="517">+DC30+DB31</f>
        <v>2150000</v>
      </c>
      <c r="DD31" s="280">
        <f t="shared" ref="DD31" si="518">+DD30+DC31</f>
        <v>2150000</v>
      </c>
      <c r="DE31" s="280">
        <f t="shared" ref="DE31" si="519">+DE30+DD31</f>
        <v>2150000</v>
      </c>
      <c r="DF31" s="280">
        <f t="shared" ref="DF31" si="520">+DF30+DE31</f>
        <v>2150000</v>
      </c>
      <c r="DG31" s="280">
        <f t="shared" ref="DG31:DH31" si="521">+DG30+DF31</f>
        <v>2150000</v>
      </c>
      <c r="DH31" s="280">
        <f t="shared" si="521"/>
        <v>2150000</v>
      </c>
    </row>
    <row r="32" spans="2:112" x14ac:dyDescent="0.3">
      <c r="B32" t="s">
        <v>245</v>
      </c>
      <c r="C32" s="208">
        <v>850000</v>
      </c>
      <c r="D32" t="s">
        <v>243</v>
      </c>
      <c r="E32" s="460"/>
      <c r="F32" s="459">
        <f>+IFERROR(INDEX(Assumptions!$E$18:$E$29, MATCH(F29, Assumptions!$D$18:$D$29, 0))*$C$32, 0)</f>
        <v>0</v>
      </c>
      <c r="G32" s="460">
        <f>+IFERROR(INDEX(Assumptions!$E$18:$E$29, MATCH(G29, Assumptions!$D$18:$D$29, 0))*$C$32, 0)</f>
        <v>0</v>
      </c>
      <c r="H32" s="460">
        <f>+IFERROR(INDEX(Assumptions!$E$18:$E$29, MATCH(H29, Assumptions!$D$18:$D$29, 0))*$C$32, 0)</f>
        <v>0</v>
      </c>
      <c r="I32" s="460">
        <f>+IFERROR(INDEX(Assumptions!$E$18:$E$29, MATCH(I29, Assumptions!$D$18:$D$29, 0))*$C$32, 0)</f>
        <v>0</v>
      </c>
      <c r="J32" s="460">
        <f>+IFERROR(INDEX(Assumptions!$E$18:$E$29, MATCH(J29, Assumptions!$D$18:$D$29, 0))*$C$32, 0)</f>
        <v>0</v>
      </c>
      <c r="K32" s="460">
        <f>+IFERROR(INDEX(Assumptions!$E$18:$E$29, MATCH(K29, Assumptions!$D$18:$D$29, 0))*$C$32, 0)</f>
        <v>0</v>
      </c>
      <c r="L32" s="460">
        <f>+IFERROR(INDEX(Assumptions!$E$18:$E$29, MATCH(L29, Assumptions!$D$18:$D$29, 0))*$C$32, 0)</f>
        <v>0</v>
      </c>
      <c r="M32" s="460">
        <f>+IFERROR(INDEX(Assumptions!$E$18:$E$29, MATCH(M29, Assumptions!$D$18:$D$29, 0))*$C$32, 0)</f>
        <v>0</v>
      </c>
      <c r="N32" s="460">
        <f>+IFERROR(INDEX(Assumptions!$E$18:$E$29, MATCH(N29, Assumptions!$D$18:$D$29, 0))*$C$32, 0)</f>
        <v>0</v>
      </c>
      <c r="O32" s="460">
        <f>+IFERROR(INDEX(Assumptions!$E$18:$E$29, MATCH(O29, Assumptions!$D$18:$D$29, 0))*$C$32, 0)</f>
        <v>0</v>
      </c>
      <c r="P32" s="460">
        <f>+IFERROR(INDEX(Assumptions!$E$18:$E$29, MATCH(P29, Assumptions!$D$18:$D$29, 0))*$C$32, 0)</f>
        <v>0</v>
      </c>
      <c r="Q32" s="460">
        <f>+IFERROR(INDEX(Assumptions!$E$18:$E$29, MATCH(Q29, Assumptions!$D$18:$D$29, 0))*$C$32, 0)</f>
        <v>0</v>
      </c>
      <c r="R32" s="460">
        <f>+IFERROR(INDEX(Assumptions!$E$18:$E$29, MATCH(R29, Assumptions!$D$18:$D$29, 0))*$C$32, 0)</f>
        <v>0</v>
      </c>
      <c r="S32" s="460">
        <f>+IFERROR(INDEX(Assumptions!$E$18:$E$29, MATCH(S29, Assumptions!$D$18:$D$29, 0))*$C$32, 0)</f>
        <v>0</v>
      </c>
      <c r="T32" s="460">
        <f>+IFERROR(INDEX(Assumptions!$E$18:$E$29, MATCH(T29, Assumptions!$D$18:$D$29, 0))*$C$32, 0)</f>
        <v>0</v>
      </c>
      <c r="U32" s="459">
        <f>+IFERROR(INDEX(Assumptions!$E$18:$E$29, MATCH(U29, Assumptions!$D$18:$D$29, 0))*$C$32, 0)</f>
        <v>0</v>
      </c>
      <c r="V32" s="535">
        <f>+IFERROR(INDEX(Assumptions!$E$18:$E$29, MATCH(V29, Assumptions!$D$18:$D$29, 0))*$C$32, 0)</f>
        <v>0</v>
      </c>
      <c r="W32" s="147">
        <f>+IFERROR(INDEX(Assumptions!$E$18:$E$29, MATCH(W29, Assumptions!$D$18:$D$29, 0))*$C$32, 0)</f>
        <v>0</v>
      </c>
      <c r="X32" s="147">
        <f>+IFERROR(INDEX(Assumptions!$E$18:$E$29, MATCH(X29, Assumptions!$D$18:$D$29, 0))*$C$32, 0)</f>
        <v>0</v>
      </c>
      <c r="Y32" s="347">
        <f>+IFERROR(INDEX(Assumptions!$E$18:$E$29, MATCH(Y29, Assumptions!$D$18:$D$29, 0))*$C$32, 0)</f>
        <v>0</v>
      </c>
      <c r="Z32" s="280">
        <f>+IFERROR(INDEX(Assumptions!$E$18:$E$29, MATCH(Z29, Assumptions!$D$18:$D$29, 0))*$C$32, 0)</f>
        <v>0</v>
      </c>
      <c r="AA32" s="280">
        <f>+IFERROR(INDEX(Assumptions!$E$18:$E$29, MATCH(AA29, Assumptions!$D$18:$D$29, 0))*$C$32, 0)</f>
        <v>0</v>
      </c>
      <c r="AB32" s="280">
        <f>+IFERROR(INDEX(Assumptions!$E$18:$E$29, MATCH(AB29, Assumptions!$D$18:$D$29, 0))*$C$32, 0)</f>
        <v>0</v>
      </c>
      <c r="AC32" s="280">
        <f>+IFERROR(INDEX(Assumptions!$E$18:$E$29, MATCH(AC29, Assumptions!$D$18:$D$29, 0))*$C$32, 0)</f>
        <v>0</v>
      </c>
      <c r="AD32" s="280">
        <f>+IFERROR(INDEX(Assumptions!$E$18:$E$29, MATCH(AD29, Assumptions!$D$18:$D$29, 0))*$C$32, 0)</f>
        <v>0</v>
      </c>
      <c r="AE32" s="280">
        <f>+IFERROR(INDEX(Assumptions!$E$18:$E$29, MATCH(AE29, Assumptions!$D$18:$D$29, 0))*$C$32, 0)</f>
        <v>0</v>
      </c>
      <c r="AF32" s="280">
        <f>+IFERROR(INDEX(Assumptions!$E$18:$E$29, MATCH(AF29, Assumptions!$D$18:$D$29, 0))*$C$32, 0)</f>
        <v>0</v>
      </c>
      <c r="AG32" s="280">
        <f>+IFERROR(INDEX(Assumptions!$E$18:$E$29, MATCH(AG29, Assumptions!$D$18:$D$29, 0))*$C$32, 0)</f>
        <v>0</v>
      </c>
      <c r="AH32" s="280">
        <f>+IFERROR(INDEX(Assumptions!$E$18:$E$29, MATCH(AH29, Assumptions!$D$18:$D$29, 0))*$C$32, 0)</f>
        <v>0</v>
      </c>
      <c r="AI32" s="280">
        <f>+IFERROR(INDEX(Assumptions!$E$18:$E$29, MATCH(AI29, Assumptions!$D$18:$D$29, 0))*$C$32, 0)</f>
        <v>0</v>
      </c>
      <c r="AJ32" s="280">
        <f>+IFERROR(INDEX(Assumptions!$E$18:$E$29, MATCH(AJ29, Assumptions!$D$18:$D$29, 0))*$C$32, 0)</f>
        <v>0</v>
      </c>
      <c r="AK32" s="280">
        <f>+IFERROR(INDEX(Assumptions!$E$18:$E$29, MATCH(AK29, Assumptions!$D$18:$D$29, 0))*$C$32, 0)</f>
        <v>0</v>
      </c>
      <c r="AL32" s="280">
        <f>+IFERROR(INDEX(Assumptions!$E$18:$E$29, MATCH(AL29, Assumptions!$D$18:$D$29, 0))*$C$32, 0)</f>
        <v>0</v>
      </c>
      <c r="AM32" s="280">
        <f>+IFERROR(INDEX(Assumptions!$E$18:$E$29, MATCH(AM29, Assumptions!$D$18:$D$29, 0))*$C$32, 0)</f>
        <v>0</v>
      </c>
      <c r="AN32" s="280">
        <f>+IFERROR(INDEX(Assumptions!$E$18:$E$29, MATCH(AN29, Assumptions!$D$18:$D$29, 0))*$C$32, 0)</f>
        <v>0</v>
      </c>
      <c r="AO32" s="280">
        <f>+IFERROR(INDEX(Assumptions!$E$18:$E$29, MATCH(AO29, Assumptions!$D$18:$D$29, 0))*$C$32, 0)</f>
        <v>0</v>
      </c>
      <c r="AP32" s="280">
        <f>+IFERROR(INDEX(Assumptions!$E$18:$E$29, MATCH(AP29, Assumptions!$D$18:$D$29, 0))*$C$32, 0)</f>
        <v>0</v>
      </c>
      <c r="AQ32" s="280">
        <f>+IFERROR(INDEX(Assumptions!$E$18:$E$29, MATCH(AQ29, Assumptions!$D$18:$D$29, 0))*$C$32, 0)</f>
        <v>0</v>
      </c>
      <c r="AR32" s="280">
        <f>+IFERROR(INDEX(Assumptions!$E$18:$E$29, MATCH(AR29, Assumptions!$D$18:$D$29, 0))*$C$32, 0)</f>
        <v>0</v>
      </c>
      <c r="AS32" s="280">
        <f>+IFERROR(INDEX(Assumptions!$E$18:$E$29, MATCH(AS29, Assumptions!$D$18:$D$29, 0))*$C$32, 0)</f>
        <v>0</v>
      </c>
      <c r="AT32" s="280">
        <f>+IFERROR(INDEX(Assumptions!$E$18:$E$29, MATCH(AT29, Assumptions!$D$18:$D$29, 0))*$C$32, 0)</f>
        <v>5122.927194802628</v>
      </c>
      <c r="AU32" s="280">
        <f>+IFERROR(INDEX(Assumptions!$E$18:$E$29, MATCH(AU29, Assumptions!$D$18:$D$29, 0))*$C$32, 0)</f>
        <v>732.70824504828636</v>
      </c>
      <c r="AV32" s="280">
        <f>+IFERROR(INDEX(Assumptions!$E$18:$E$29, MATCH(AV29, Assumptions!$D$18:$D$29, 0))*$C$32, 0)</f>
        <v>30365.495128084352</v>
      </c>
      <c r="AW32" s="280">
        <f>+IFERROR(INDEX(Assumptions!$E$18:$E$29, MATCH(AW29, Assumptions!$D$18:$D$29, 0))*$C$32, 0)</f>
        <v>2741.0524989448359</v>
      </c>
      <c r="AX32" s="280">
        <f>+IFERROR(INDEX(Assumptions!$E$18:$E$29, MATCH(AX29, Assumptions!$D$18:$D$29, 0))*$C$32, 0)</f>
        <v>124002.15637224884</v>
      </c>
      <c r="AY32" s="280">
        <f>+IFERROR(INDEX(Assumptions!$E$18:$E$29, MATCH(AY29, Assumptions!$D$18:$D$29, 0))*$C$32, 0)</f>
        <v>222377.87202653658</v>
      </c>
      <c r="AZ32" s="280">
        <f>+IFERROR(INDEX(Assumptions!$E$18:$E$29, MATCH(AZ29, Assumptions!$D$18:$D$29, 0))*$C$32, 0)</f>
        <v>149842.06244086099</v>
      </c>
      <c r="BA32" s="280">
        <f>+IFERROR(INDEX(Assumptions!$E$18:$E$29, MATCH(BA29, Assumptions!$D$18:$D$29, 0))*$C$32, 0)</f>
        <v>98876.987597489569</v>
      </c>
      <c r="BB32" s="280">
        <f>+IFERROR(INDEX(Assumptions!$E$18:$E$29, MATCH(BB29, Assumptions!$D$18:$D$29, 0))*$C$32, 0)</f>
        <v>20700.87738398006</v>
      </c>
      <c r="BC32" s="280">
        <f>+IFERROR(INDEX(Assumptions!$E$18:$E$29, MATCH(BC29, Assumptions!$D$18:$D$29, 0))*$C$32, 0)</f>
        <v>158527.44426043081</v>
      </c>
      <c r="BD32" s="280">
        <f>+IFERROR(INDEX(Assumptions!$E$18:$E$29, MATCH(BD29, Assumptions!$D$18:$D$29, 0))*$C$32, 0)</f>
        <v>36710.416851573071</v>
      </c>
      <c r="BE32" s="280">
        <f>+IFERROR(INDEX(Assumptions!$E$18:$E$29, MATCH(BE29, Assumptions!$D$18:$D$29, 0))*$C$32, 0)</f>
        <v>0</v>
      </c>
      <c r="BF32" s="280">
        <f>+IFERROR(INDEX(Assumptions!$E$18:$E$29, MATCH(BF29, Assumptions!$D$18:$D$29, 0))*$C$32, 0)</f>
        <v>0</v>
      </c>
      <c r="BG32" s="280">
        <f>+IFERROR(INDEX(Assumptions!$E$18:$E$29, MATCH(BG29, Assumptions!$D$18:$D$29, 0))*$C$32, 0)</f>
        <v>0</v>
      </c>
      <c r="BH32" s="280">
        <f>+IFERROR(INDEX(Assumptions!$E$18:$E$29, MATCH(BH29, Assumptions!$D$18:$D$29, 0))*$C$32, 0)</f>
        <v>0</v>
      </c>
      <c r="BI32" s="280">
        <f>+IFERROR(INDEX(Assumptions!$E$18:$E$29, MATCH(BI29, Assumptions!$D$18:$D$29, 0))*$C$32, 0)</f>
        <v>0</v>
      </c>
      <c r="BJ32" s="280">
        <f>+IFERROR(INDEX(Assumptions!$E$18:$E$29, MATCH(BJ29, Assumptions!$D$18:$D$29, 0))*$C$32, 0)</f>
        <v>0</v>
      </c>
      <c r="BK32" s="280">
        <f>+IFERROR(INDEX(Assumptions!$E$18:$E$29, MATCH(BK29, Assumptions!$D$18:$D$29, 0))*$C$32, 0)</f>
        <v>0</v>
      </c>
      <c r="BL32" s="280">
        <f>+IFERROR(INDEX(Assumptions!$E$18:$E$29, MATCH(BL29, Assumptions!$D$18:$D$29, 0))*$C$32, 0)</f>
        <v>0</v>
      </c>
      <c r="BM32" s="280">
        <f>+IFERROR(INDEX(Assumptions!$E$18:$E$29, MATCH(BM29, Assumptions!$D$18:$D$29, 0))*$C$32, 0)</f>
        <v>0</v>
      </c>
      <c r="BN32" s="280">
        <f>+IFERROR(INDEX(Assumptions!$E$18:$E$29, MATCH(BN29, Assumptions!$D$18:$D$29, 0))*$C$32, 0)</f>
        <v>0</v>
      </c>
      <c r="BO32" s="280">
        <f>+IFERROR(INDEX(Assumptions!$E$18:$E$29, MATCH(BO29, Assumptions!$D$18:$D$29, 0))*$C$32, 0)</f>
        <v>0</v>
      </c>
      <c r="BP32" s="280">
        <f>+IFERROR(INDEX(Assumptions!$E$18:$E$29, MATCH(BP29, Assumptions!$D$18:$D$29, 0))*$C$32, 0)</f>
        <v>0</v>
      </c>
      <c r="BQ32" s="280">
        <f>+IFERROR(INDEX(Assumptions!$E$18:$E$29, MATCH(BQ29, Assumptions!$D$18:$D$29, 0))*$C$32, 0)</f>
        <v>0</v>
      </c>
      <c r="BR32" s="280">
        <f>+IFERROR(INDEX(Assumptions!$E$18:$E$29, MATCH(BR29, Assumptions!$D$18:$D$29, 0))*$C$32, 0)</f>
        <v>0</v>
      </c>
      <c r="BS32" s="280">
        <f>+IFERROR(INDEX(Assumptions!$E$18:$E$29, MATCH(BS29, Assumptions!$D$18:$D$29, 0))*$C$32, 0)</f>
        <v>0</v>
      </c>
      <c r="BT32" s="280">
        <f>+IFERROR(INDEX(Assumptions!$E$18:$E$29, MATCH(BT29, Assumptions!$D$18:$D$29, 0))*$C$32, 0)</f>
        <v>0</v>
      </c>
      <c r="BU32" s="280">
        <f>+IFERROR(INDEX(Assumptions!$E$18:$E$29, MATCH(BU29, Assumptions!$D$18:$D$29, 0))*$C$32, 0)</f>
        <v>0</v>
      </c>
      <c r="BV32" s="280">
        <f>+IFERROR(INDEX(Assumptions!$E$18:$E$29, MATCH(BV29, Assumptions!$D$18:$D$29, 0))*$C$32, 0)</f>
        <v>0</v>
      </c>
      <c r="BW32" s="280">
        <f>+IFERROR(INDEX(Assumptions!$E$18:$E$29, MATCH(BW29, Assumptions!$D$18:$D$29, 0))*$C$32, 0)</f>
        <v>0</v>
      </c>
      <c r="BX32" s="280">
        <f>+IFERROR(INDEX(Assumptions!$E$18:$E$29, MATCH(BX29, Assumptions!$D$18:$D$29, 0))*$C$32, 0)</f>
        <v>0</v>
      </c>
      <c r="BY32" s="280">
        <f>+IFERROR(INDEX(Assumptions!$E$18:$E$29, MATCH(BY29, Assumptions!$D$18:$D$29, 0))*$C$32, 0)</f>
        <v>0</v>
      </c>
      <c r="BZ32" s="280">
        <f>+IFERROR(INDEX(Assumptions!$E$18:$E$29, MATCH(BZ29, Assumptions!$D$18:$D$29, 0))*$C$32, 0)</f>
        <v>0</v>
      </c>
      <c r="CA32" s="280">
        <f>+IFERROR(INDEX(Assumptions!$E$18:$E$29, MATCH(CA29, Assumptions!$D$18:$D$29, 0))*$C$32, 0)</f>
        <v>0</v>
      </c>
      <c r="CB32" s="280">
        <f>+IFERROR(INDEX(Assumptions!$E$18:$E$29, MATCH(CB29, Assumptions!$D$18:$D$29, 0))*$C$32, 0)</f>
        <v>0</v>
      </c>
      <c r="CC32" s="280">
        <f>+IFERROR(INDEX(Assumptions!$E$18:$E$29, MATCH(CC29, Assumptions!$D$18:$D$29, 0))*$C$32, 0)</f>
        <v>0</v>
      </c>
      <c r="CD32" s="280">
        <f>+IFERROR(INDEX(Assumptions!$E$18:$E$29, MATCH(CD29, Assumptions!$D$18:$D$29, 0))*$C$32, 0)</f>
        <v>0</v>
      </c>
      <c r="CE32" s="280">
        <f>+IFERROR(INDEX(Assumptions!$E$18:$E$29, MATCH(CE29, Assumptions!$D$18:$D$29, 0))*$C$32, 0)</f>
        <v>0</v>
      </c>
      <c r="CF32" s="280">
        <f>+IFERROR(INDEX(Assumptions!$E$18:$E$29, MATCH(CF29, Assumptions!$D$18:$D$29, 0))*$C$32, 0)</f>
        <v>0</v>
      </c>
      <c r="CG32" s="280">
        <f>+IFERROR(INDEX(Assumptions!$E$18:$E$29, MATCH(CG29, Assumptions!$D$18:$D$29, 0))*$C$32, 0)</f>
        <v>0</v>
      </c>
      <c r="CH32" s="280">
        <f>+IFERROR(INDEX(Assumptions!$E$18:$E$29, MATCH(CH29, Assumptions!$D$18:$D$29, 0))*$C$32, 0)</f>
        <v>0</v>
      </c>
      <c r="CI32" s="280">
        <f>+IFERROR(INDEX(Assumptions!$E$18:$E$29, MATCH(CI29, Assumptions!$D$18:$D$29, 0))*$C$32, 0)</f>
        <v>0</v>
      </c>
      <c r="CJ32" s="280">
        <f>+IFERROR(INDEX(Assumptions!$E$18:$E$29, MATCH(CJ29, Assumptions!$D$18:$D$29, 0))*$C$32, 0)</f>
        <v>0</v>
      </c>
      <c r="CK32" s="280">
        <f>+IFERROR(INDEX(Assumptions!$E$18:$E$29, MATCH(CK29, Assumptions!$D$18:$D$29, 0))*$C$32, 0)</f>
        <v>0</v>
      </c>
      <c r="CL32" s="280">
        <f>+IFERROR(INDEX(Assumptions!$E$18:$E$29, MATCH(CL29, Assumptions!$D$18:$D$29, 0))*$C$32, 0)</f>
        <v>0</v>
      </c>
      <c r="CM32" s="280">
        <f>+IFERROR(INDEX(Assumptions!$E$18:$E$29, MATCH(CM29, Assumptions!$D$18:$D$29, 0))*$C$32, 0)</f>
        <v>0</v>
      </c>
      <c r="CN32" s="280">
        <f>+IFERROR(INDEX(Assumptions!$E$18:$E$29, MATCH(CN29, Assumptions!$D$18:$D$29, 0))*$C$32, 0)</f>
        <v>0</v>
      </c>
      <c r="CO32" s="280">
        <f>+IFERROR(INDEX(Assumptions!$E$18:$E$29, MATCH(CO29, Assumptions!$D$18:$D$29, 0))*$C$32, 0)</f>
        <v>0</v>
      </c>
      <c r="CP32" s="280">
        <f>+IFERROR(INDEX(Assumptions!$E$18:$E$29, MATCH(CP29, Assumptions!$D$18:$D$29, 0))*$C$32, 0)</f>
        <v>0</v>
      </c>
      <c r="CQ32" s="280">
        <f>+IFERROR(INDEX(Assumptions!$E$18:$E$29, MATCH(CQ29, Assumptions!$D$18:$D$29, 0))*$C$32, 0)</f>
        <v>0</v>
      </c>
      <c r="CR32" s="280">
        <f>+IFERROR(INDEX(Assumptions!$E$18:$E$29, MATCH(CR29, Assumptions!$D$18:$D$29, 0))*$C$32, 0)</f>
        <v>0</v>
      </c>
      <c r="CS32" s="280">
        <f>+IFERROR(INDEX(Assumptions!$E$18:$E$29, MATCH(CS29, Assumptions!$D$18:$D$29, 0))*$C$32, 0)</f>
        <v>0</v>
      </c>
      <c r="CT32" s="280">
        <f>+IFERROR(INDEX(Assumptions!$E$18:$E$29, MATCH(CT29, Assumptions!$D$18:$D$29, 0))*$C$32, 0)</f>
        <v>0</v>
      </c>
      <c r="CU32" s="280">
        <f>+IFERROR(INDEX(Assumptions!$E$18:$E$29, MATCH(CU29, Assumptions!$D$18:$D$29, 0))*$C$32, 0)</f>
        <v>0</v>
      </c>
      <c r="CV32" s="280">
        <f>+IFERROR(INDEX(Assumptions!$E$18:$E$29, MATCH(CV29, Assumptions!$D$18:$D$29, 0))*$C$32, 0)</f>
        <v>0</v>
      </c>
      <c r="CW32" s="280">
        <f>+IFERROR(INDEX(Assumptions!$E$18:$E$29, MATCH(CW29, Assumptions!$D$18:$D$29, 0))*$C$32, 0)</f>
        <v>0</v>
      </c>
      <c r="CX32" s="280">
        <f>+IFERROR(INDEX(Assumptions!$E$18:$E$29, MATCH(CX29, Assumptions!$D$18:$D$29, 0))*$C$32, 0)</f>
        <v>0</v>
      </c>
      <c r="CY32" s="280">
        <f>+IFERROR(INDEX(Assumptions!$E$18:$E$29, MATCH(CY29, Assumptions!$D$18:$D$29, 0))*$C$32, 0)</f>
        <v>0</v>
      </c>
      <c r="CZ32" s="280">
        <f>+IFERROR(INDEX(Assumptions!$E$18:$E$29, MATCH(CZ29, Assumptions!$D$18:$D$29, 0))*$C$32, 0)</f>
        <v>0</v>
      </c>
      <c r="DA32" s="280">
        <f>+IFERROR(INDEX(Assumptions!$E$18:$E$29, MATCH(DA29, Assumptions!$D$18:$D$29, 0))*$C$32, 0)</f>
        <v>0</v>
      </c>
      <c r="DB32" s="280">
        <f>+IFERROR(INDEX(Assumptions!$E$18:$E$29, MATCH(DB29, Assumptions!$D$18:$D$29, 0))*$C$32, 0)</f>
        <v>0</v>
      </c>
      <c r="DC32" s="280">
        <f>+IFERROR(INDEX(Assumptions!$E$18:$E$29, MATCH(DC29, Assumptions!$D$18:$D$29, 0))*$C$32, 0)</f>
        <v>0</v>
      </c>
      <c r="DD32" s="280">
        <f>+IFERROR(INDEX(Assumptions!$E$18:$E$29, MATCH(DD29, Assumptions!$D$18:$D$29, 0))*$C$32, 0)</f>
        <v>0</v>
      </c>
      <c r="DE32" s="280">
        <f>+IFERROR(INDEX(Assumptions!$E$18:$E$29, MATCH(DE29, Assumptions!$D$18:$D$29, 0))*$C$32, 0)</f>
        <v>0</v>
      </c>
      <c r="DF32" s="280">
        <f>+IFERROR(INDEX(Assumptions!$E$18:$E$29, MATCH(DF29, Assumptions!$D$18:$D$29, 0))*$C$32, 0)</f>
        <v>0</v>
      </c>
      <c r="DG32" s="280">
        <f>+IFERROR(INDEX(Assumptions!$E$18:$E$29, MATCH(DG29, Assumptions!$D$18:$D$29, 0))*$C$32, 0)</f>
        <v>0</v>
      </c>
      <c r="DH32" s="280">
        <f>+IFERROR(INDEX(Assumptions!$E$18:$E$29, MATCH(DH29, Assumptions!$D$18:$D$29, 0))*$C$32, 0)</f>
        <v>0</v>
      </c>
    </row>
    <row r="33" spans="2:112" x14ac:dyDescent="0.3">
      <c r="B33" t="s">
        <v>468</v>
      </c>
      <c r="C33" s="512">
        <v>46173</v>
      </c>
      <c r="D33" t="s">
        <v>255</v>
      </c>
      <c r="F33" s="9">
        <f t="shared" ref="F33" si="522">+F32+E33</f>
        <v>0</v>
      </c>
      <c r="G33" s="9">
        <f t="shared" ref="G33" si="523">+G32+F33</f>
        <v>0</v>
      </c>
      <c r="H33" s="9">
        <f t="shared" ref="H33" si="524">+H32+G33</f>
        <v>0</v>
      </c>
      <c r="I33" s="9">
        <f t="shared" ref="I33" si="525">+I32+H33</f>
        <v>0</v>
      </c>
      <c r="J33" s="9">
        <f t="shared" ref="J33" si="526">+J32+I33</f>
        <v>0</v>
      </c>
      <c r="K33" s="9">
        <f t="shared" ref="K33" si="527">+K32+J33</f>
        <v>0</v>
      </c>
      <c r="L33" s="9">
        <f t="shared" ref="L33" si="528">+L32+K33</f>
        <v>0</v>
      </c>
      <c r="M33" s="9">
        <f t="shared" ref="M33" si="529">+M32+L33</f>
        <v>0</v>
      </c>
      <c r="N33" s="9">
        <f t="shared" ref="N33" si="530">+N32+M33</f>
        <v>0</v>
      </c>
      <c r="O33" s="9">
        <f t="shared" ref="O33" si="531">+O32+N33</f>
        <v>0</v>
      </c>
      <c r="P33" s="9">
        <f t="shared" ref="P33" si="532">+P32+O33</f>
        <v>0</v>
      </c>
      <c r="Q33" s="9">
        <f t="shared" ref="Q33" si="533">+Q32+P33</f>
        <v>0</v>
      </c>
      <c r="R33" s="9">
        <f t="shared" ref="R33" si="534">+R32+Q33</f>
        <v>0</v>
      </c>
      <c r="S33" s="9">
        <f t="shared" ref="S33" si="535">+S32+R33</f>
        <v>0</v>
      </c>
      <c r="T33" s="9">
        <f t="shared" ref="T33" si="536">+T32+S33</f>
        <v>0</v>
      </c>
      <c r="U33" s="9">
        <f t="shared" ref="U33" si="537">+U32+T33</f>
        <v>0</v>
      </c>
      <c r="V33" s="9">
        <f t="shared" ref="V33" si="538">+V32+U33</f>
        <v>0</v>
      </c>
      <c r="W33" s="9">
        <f t="shared" ref="W33:AK33" si="539">+W32+V33</f>
        <v>0</v>
      </c>
      <c r="X33" s="9">
        <f t="shared" si="539"/>
        <v>0</v>
      </c>
      <c r="Y33" s="172">
        <f t="shared" si="539"/>
        <v>0</v>
      </c>
      <c r="Z33" s="9">
        <f t="shared" si="539"/>
        <v>0</v>
      </c>
      <c r="AA33" s="9">
        <f t="shared" si="539"/>
        <v>0</v>
      </c>
      <c r="AB33" s="9">
        <f t="shared" si="539"/>
        <v>0</v>
      </c>
      <c r="AC33" s="9">
        <f t="shared" si="539"/>
        <v>0</v>
      </c>
      <c r="AD33" s="9">
        <f t="shared" si="539"/>
        <v>0</v>
      </c>
      <c r="AE33" s="9">
        <f t="shared" si="539"/>
        <v>0</v>
      </c>
      <c r="AF33" s="9">
        <f t="shared" si="539"/>
        <v>0</v>
      </c>
      <c r="AG33" s="9">
        <f t="shared" si="539"/>
        <v>0</v>
      </c>
      <c r="AH33" s="9">
        <f t="shared" si="539"/>
        <v>0</v>
      </c>
      <c r="AI33" s="9">
        <f t="shared" si="539"/>
        <v>0</v>
      </c>
      <c r="AJ33" s="9">
        <f t="shared" si="539"/>
        <v>0</v>
      </c>
      <c r="AK33" s="9">
        <f t="shared" si="539"/>
        <v>0</v>
      </c>
      <c r="AL33" s="9">
        <f t="shared" ref="AL33" si="540">+AL32+AK33</f>
        <v>0</v>
      </c>
      <c r="AM33" s="9">
        <f t="shared" ref="AM33" si="541">+AM32+AL33</f>
        <v>0</v>
      </c>
      <c r="AN33" s="9">
        <f t="shared" ref="AN33" si="542">+AN32+AM33</f>
        <v>0</v>
      </c>
      <c r="AO33" s="9">
        <f t="shared" ref="AO33" si="543">+AO32+AN33</f>
        <v>0</v>
      </c>
      <c r="AP33" s="9">
        <f t="shared" ref="AP33" si="544">+AP32+AO33</f>
        <v>0</v>
      </c>
      <c r="AQ33" s="9">
        <f t="shared" ref="AQ33" si="545">+AQ32+AP33</f>
        <v>0</v>
      </c>
      <c r="AR33" s="9">
        <f t="shared" ref="AR33" si="546">+AR32+AQ33</f>
        <v>0</v>
      </c>
      <c r="AS33" s="9">
        <f t="shared" ref="AS33" si="547">+AS32+AR33</f>
        <v>0</v>
      </c>
      <c r="AT33" s="9">
        <f t="shared" ref="AT33" si="548">+AT32+AS33</f>
        <v>5122.927194802628</v>
      </c>
      <c r="AU33" s="9">
        <f t="shared" ref="AU33" si="549">+AU32+AT33</f>
        <v>5855.6354398509147</v>
      </c>
      <c r="AV33" s="9">
        <f t="shared" ref="AV33" si="550">+AV32+AU33</f>
        <v>36221.130567935266</v>
      </c>
      <c r="AW33" s="9">
        <f t="shared" ref="AW33" si="551">+AW32+AV33</f>
        <v>38962.183066880105</v>
      </c>
      <c r="AX33" s="9">
        <f t="shared" ref="AX33" si="552">+AX32+AW33</f>
        <v>162964.33943912893</v>
      </c>
      <c r="AY33" s="9">
        <f t="shared" ref="AY33" si="553">+AY32+AX33</f>
        <v>385342.21146566549</v>
      </c>
      <c r="AZ33" s="9">
        <f t="shared" ref="AZ33" si="554">+AZ32+AY33</f>
        <v>535184.27390652651</v>
      </c>
      <c r="BA33" s="9">
        <f t="shared" ref="BA33" si="555">+BA32+AZ33</f>
        <v>634061.26150401612</v>
      </c>
      <c r="BB33" s="9">
        <f t="shared" ref="BB33" si="556">+BB32+BA33</f>
        <v>654762.1388879962</v>
      </c>
      <c r="BC33" s="9">
        <f t="shared" ref="BC33" si="557">+BC32+BB33</f>
        <v>813289.58314842707</v>
      </c>
      <c r="BD33" s="9">
        <f t="shared" ref="BD33" si="558">+BD32+BC33</f>
        <v>850000.00000000012</v>
      </c>
      <c r="BE33" s="9">
        <f t="shared" ref="BE33" si="559">+BE32+BD33</f>
        <v>850000.00000000012</v>
      </c>
      <c r="BF33" s="9">
        <f t="shared" ref="BF33" si="560">+BF32+BE33</f>
        <v>850000.00000000012</v>
      </c>
      <c r="BG33" s="9">
        <f t="shared" ref="BG33" si="561">+BG32+BF33</f>
        <v>850000.00000000012</v>
      </c>
      <c r="BH33" s="9">
        <f t="shared" ref="BH33" si="562">+BH32+BG33</f>
        <v>850000.00000000012</v>
      </c>
      <c r="BI33" s="9">
        <f t="shared" ref="BI33" si="563">+BI32+BH33</f>
        <v>850000.00000000012</v>
      </c>
      <c r="BJ33" s="9">
        <f t="shared" ref="BJ33" si="564">+BJ32+BI33</f>
        <v>850000.00000000012</v>
      </c>
      <c r="BK33" s="9">
        <f t="shared" ref="BK33" si="565">+BK32+BJ33</f>
        <v>850000.00000000012</v>
      </c>
      <c r="BL33" s="9">
        <f t="shared" ref="BL33" si="566">+BL32+BK33</f>
        <v>850000.00000000012</v>
      </c>
      <c r="BM33" s="9">
        <f t="shared" ref="BM33" si="567">+BM32+BL33</f>
        <v>850000.00000000012</v>
      </c>
      <c r="BN33" s="9">
        <f t="shared" ref="BN33" si="568">+BN32+BM33</f>
        <v>850000.00000000012</v>
      </c>
      <c r="BO33" s="9">
        <f t="shared" ref="BO33" si="569">+BO32+BN33</f>
        <v>850000.00000000012</v>
      </c>
      <c r="BP33" s="9">
        <f t="shared" ref="BP33" si="570">+BP32+BO33</f>
        <v>850000.00000000012</v>
      </c>
      <c r="BQ33" s="9">
        <f t="shared" ref="BQ33" si="571">+BQ32+BP33</f>
        <v>850000.00000000012</v>
      </c>
      <c r="BR33" s="9">
        <f t="shared" ref="BR33" si="572">+BR32+BQ33</f>
        <v>850000.00000000012</v>
      </c>
      <c r="BS33" s="9">
        <f t="shared" ref="BS33" si="573">+BS32+BR33</f>
        <v>850000.00000000012</v>
      </c>
      <c r="BT33" s="9">
        <f t="shared" ref="BT33" si="574">+BT32+BS33</f>
        <v>850000.00000000012</v>
      </c>
      <c r="BU33" s="9">
        <f t="shared" ref="BU33" si="575">+BU32+BT33</f>
        <v>850000.00000000012</v>
      </c>
      <c r="BV33" s="9">
        <f t="shared" ref="BV33" si="576">+BV32+BU33</f>
        <v>850000.00000000012</v>
      </c>
      <c r="BW33" s="9">
        <f t="shared" ref="BW33" si="577">+BW32+BV33</f>
        <v>850000.00000000012</v>
      </c>
      <c r="BX33" s="9">
        <f t="shared" ref="BX33" si="578">+BX32+BW33</f>
        <v>850000.00000000012</v>
      </c>
      <c r="BY33" s="9">
        <f t="shared" ref="BY33" si="579">+BY32+BX33</f>
        <v>850000.00000000012</v>
      </c>
      <c r="BZ33" s="9">
        <f t="shared" ref="BZ33" si="580">+BZ32+BY33</f>
        <v>850000.00000000012</v>
      </c>
      <c r="CA33" s="9">
        <f t="shared" ref="CA33" si="581">+CA32+BZ33</f>
        <v>850000.00000000012</v>
      </c>
      <c r="CB33" s="9">
        <f t="shared" ref="CB33" si="582">+CB32+CA33</f>
        <v>850000.00000000012</v>
      </c>
      <c r="CC33" s="9">
        <f t="shared" ref="CC33" si="583">+CC32+CB33</f>
        <v>850000.00000000012</v>
      </c>
      <c r="CD33" s="9">
        <f t="shared" ref="CD33" si="584">+CD32+CC33</f>
        <v>850000.00000000012</v>
      </c>
      <c r="CE33" s="9">
        <f t="shared" ref="CE33" si="585">+CE32+CD33</f>
        <v>850000.00000000012</v>
      </c>
      <c r="CF33" s="9">
        <f t="shared" ref="CF33" si="586">+CF32+CE33</f>
        <v>850000.00000000012</v>
      </c>
      <c r="CG33" s="9">
        <f t="shared" ref="CG33" si="587">+CG32+CF33</f>
        <v>850000.00000000012</v>
      </c>
      <c r="CH33" s="9">
        <f t="shared" ref="CH33" si="588">+CH32+CG33</f>
        <v>850000.00000000012</v>
      </c>
      <c r="CI33" s="9">
        <f t="shared" ref="CI33" si="589">+CI32+CH33</f>
        <v>850000.00000000012</v>
      </c>
      <c r="CJ33" s="9">
        <f t="shared" ref="CJ33" si="590">+CJ32+CI33</f>
        <v>850000.00000000012</v>
      </c>
      <c r="CK33" s="9">
        <f t="shared" ref="CK33" si="591">+CK32+CJ33</f>
        <v>850000.00000000012</v>
      </c>
      <c r="CL33" s="9">
        <f t="shared" ref="CL33" si="592">+CL32+CK33</f>
        <v>850000.00000000012</v>
      </c>
      <c r="CM33" s="9">
        <f t="shared" ref="CM33" si="593">+CM32+CL33</f>
        <v>850000.00000000012</v>
      </c>
      <c r="CN33" s="9">
        <f t="shared" ref="CN33" si="594">+CN32+CM33</f>
        <v>850000.00000000012</v>
      </c>
      <c r="CO33" s="9">
        <f t="shared" ref="CO33" si="595">+CO32+CN33</f>
        <v>850000.00000000012</v>
      </c>
      <c r="CP33" s="9">
        <f t="shared" ref="CP33" si="596">+CP32+CO33</f>
        <v>850000.00000000012</v>
      </c>
      <c r="CQ33" s="9">
        <f t="shared" ref="CQ33" si="597">+CQ32+CP33</f>
        <v>850000.00000000012</v>
      </c>
      <c r="CR33" s="9">
        <f t="shared" ref="CR33" si="598">+CR32+CQ33</f>
        <v>850000.00000000012</v>
      </c>
      <c r="CS33" s="9">
        <f t="shared" ref="CS33" si="599">+CS32+CR33</f>
        <v>850000.00000000012</v>
      </c>
      <c r="CT33" s="9">
        <f t="shared" ref="CT33" si="600">+CT32+CS33</f>
        <v>850000.00000000012</v>
      </c>
      <c r="CU33" s="9">
        <f t="shared" ref="CU33" si="601">+CU32+CT33</f>
        <v>850000.00000000012</v>
      </c>
      <c r="CV33" s="9">
        <f t="shared" ref="CV33" si="602">+CV32+CU33</f>
        <v>850000.00000000012</v>
      </c>
      <c r="CW33" s="9">
        <f t="shared" ref="CW33" si="603">+CW32+CV33</f>
        <v>850000.00000000012</v>
      </c>
      <c r="CX33" s="9">
        <f t="shared" ref="CX33" si="604">+CX32+CW33</f>
        <v>850000.00000000012</v>
      </c>
      <c r="CY33" s="9">
        <f t="shared" ref="CY33" si="605">+CY32+CX33</f>
        <v>850000.00000000012</v>
      </c>
      <c r="CZ33" s="9">
        <f t="shared" ref="CZ33" si="606">+CZ32+CY33</f>
        <v>850000.00000000012</v>
      </c>
      <c r="DA33" s="9">
        <f t="shared" ref="DA33" si="607">+DA32+CZ33</f>
        <v>850000.00000000012</v>
      </c>
      <c r="DB33" s="9">
        <f t="shared" ref="DB33" si="608">+DB32+DA33</f>
        <v>850000.00000000012</v>
      </c>
      <c r="DC33" s="9">
        <f t="shared" ref="DC33" si="609">+DC32+DB33</f>
        <v>850000.00000000012</v>
      </c>
      <c r="DD33" s="9">
        <f t="shared" ref="DD33" si="610">+DD32+DC33</f>
        <v>850000.00000000012</v>
      </c>
      <c r="DE33" s="9">
        <f t="shared" ref="DE33" si="611">+DE32+DD33</f>
        <v>850000.00000000012</v>
      </c>
      <c r="DF33" s="9">
        <f t="shared" ref="DF33" si="612">+DF32+DE33</f>
        <v>850000.00000000012</v>
      </c>
      <c r="DG33" s="9">
        <f t="shared" ref="DG33:DH33" si="613">+DG32+DF33</f>
        <v>850000.00000000012</v>
      </c>
      <c r="DH33" s="9">
        <f t="shared" si="613"/>
        <v>850000.00000000012</v>
      </c>
    </row>
    <row r="34" spans="2:112" x14ac:dyDescent="0.3">
      <c r="B34" t="s">
        <v>486</v>
      </c>
      <c r="C34" s="514">
        <f>+EOMONTH(C33,12)</f>
        <v>46538</v>
      </c>
      <c r="D34" t="s">
        <v>290</v>
      </c>
      <c r="F34" s="459">
        <f>+IFERROR(INDEX(Assumptions!$F$31:$F$42, MATCH(F29, Assumptions!$D$31:$D$42, 0))*$C$31, 0)</f>
        <v>0</v>
      </c>
      <c r="G34" s="9">
        <f>+IFERROR(INDEX(Assumptions!$F$31:$F$42, MATCH(G29, Assumptions!$D$31:$D$42, 0))*$C$31, 0)</f>
        <v>0</v>
      </c>
      <c r="H34" s="9">
        <f>+IFERROR(INDEX(Assumptions!$F$31:$F$42, MATCH(H29, Assumptions!$D$31:$D$42, 0))*$C$31, 0)</f>
        <v>0</v>
      </c>
      <c r="I34" s="9">
        <f>+IFERROR(INDEX(Assumptions!$F$31:$F$42, MATCH(I29, Assumptions!$D$31:$D$42, 0))*$C$31, 0)</f>
        <v>0</v>
      </c>
      <c r="J34" s="9">
        <f>+IFERROR(INDEX(Assumptions!$F$31:$F$42, MATCH(J29, Assumptions!$D$31:$D$42, 0))*$C$31, 0)</f>
        <v>0</v>
      </c>
      <c r="K34" s="9">
        <f>+IFERROR(INDEX(Assumptions!$F$31:$F$42, MATCH(K29, Assumptions!$D$31:$D$42, 0))*$C$31, 0)</f>
        <v>0</v>
      </c>
      <c r="L34" s="9">
        <f>+IFERROR(INDEX(Assumptions!$F$31:$F$42, MATCH(L29, Assumptions!$D$31:$D$42, 0))*$C$31, 0)</f>
        <v>0</v>
      </c>
      <c r="M34" s="9">
        <f>+IFERROR(INDEX(Assumptions!$F$31:$F$42, MATCH(M29, Assumptions!$D$31:$D$42, 0))*$C$31, 0)</f>
        <v>0</v>
      </c>
      <c r="N34" s="9">
        <f>+IFERROR(INDEX(Assumptions!$F$31:$F$42, MATCH(N29, Assumptions!$D$31:$D$42, 0))*$C$31, 0)</f>
        <v>0</v>
      </c>
      <c r="O34" s="9">
        <f>+IFERROR(INDEX(Assumptions!$F$31:$F$42, MATCH(O29, Assumptions!$D$31:$D$42, 0))*$C$31, 0)</f>
        <v>0</v>
      </c>
      <c r="P34" s="9">
        <f>+IFERROR(INDEX(Assumptions!$F$31:$F$42, MATCH(P29, Assumptions!$D$31:$D$42, 0))*$C$31, 0)</f>
        <v>0</v>
      </c>
      <c r="Q34" s="9">
        <f>+IFERROR(INDEX(Assumptions!$F$31:$F$42, MATCH(Q29, Assumptions!$D$31:$D$42, 0))*$C$31, 0)</f>
        <v>0</v>
      </c>
      <c r="R34" s="9">
        <f>+IFERROR(INDEX(Assumptions!$F$31:$F$42, MATCH(R29, Assumptions!$D$31:$D$42, 0))*$C$31, 0)</f>
        <v>0</v>
      </c>
      <c r="S34" s="9">
        <f>+IFERROR(INDEX(Assumptions!$F$31:$F$42, MATCH(S29, Assumptions!$D$31:$D$42, 0))*$C$31, 0)</f>
        <v>0</v>
      </c>
      <c r="T34" s="9">
        <f>+IFERROR(INDEX(Assumptions!$F$31:$F$42, MATCH(T29, Assumptions!$D$31:$D$42, 0))*$C$31, 0)</f>
        <v>0</v>
      </c>
      <c r="U34" s="9">
        <f>+IFERROR(INDEX(Assumptions!$F$31:$F$42, MATCH(U29, Assumptions!$D$31:$D$42, 0))*$C$31, 0)</f>
        <v>0</v>
      </c>
      <c r="V34" s="9">
        <f>+IFERROR(INDEX(Assumptions!$F$31:$F$42, MATCH(V29, Assumptions!$D$31:$D$42, 0))*$C$31, 0)</f>
        <v>0</v>
      </c>
      <c r="W34" s="9">
        <f>+IFERROR(INDEX(Assumptions!$F$31:$F$42, MATCH(W29, Assumptions!$D$31:$D$42, 0))*$C$31, 0)</f>
        <v>0</v>
      </c>
      <c r="X34" s="9">
        <f>+IFERROR(INDEX(Assumptions!$F$31:$F$42, MATCH(X29, Assumptions!$D$31:$D$42, 0))*$C$31, 0)</f>
        <v>0</v>
      </c>
      <c r="Y34" s="172">
        <f>+IFERROR(INDEX(Assumptions!$F$31:$F$42, MATCH(Y29, Assumptions!$D$31:$D$42, 0))*$C$31, 0)</f>
        <v>0</v>
      </c>
      <c r="Z34" s="9">
        <f>+IFERROR(INDEX(Assumptions!$F$31:$F$42, MATCH(Z29, Assumptions!$D$31:$D$42, 0))*$C$31, 0)</f>
        <v>0</v>
      </c>
      <c r="AA34" s="9">
        <f>+IFERROR(INDEX(Assumptions!$F$31:$F$42, MATCH(AA29, Assumptions!$D$31:$D$42, 0))*$C$31, 0)</f>
        <v>0</v>
      </c>
      <c r="AB34" s="9">
        <f>+IFERROR(INDEX(Assumptions!$F$31:$F$42, MATCH(AB29, Assumptions!$D$31:$D$42, 0))*$C$31, 0)</f>
        <v>0</v>
      </c>
      <c r="AC34" s="9">
        <f>+IFERROR(INDEX(Assumptions!$F$31:$F$42, MATCH(AC29, Assumptions!$D$31:$D$42, 0))*$C$31, 0)</f>
        <v>0</v>
      </c>
      <c r="AD34" s="9">
        <f>+IFERROR(INDEX(Assumptions!$F$31:$F$42, MATCH(AD29, Assumptions!$D$31:$D$42, 0))*$C$31, 0)</f>
        <v>0</v>
      </c>
      <c r="AE34" s="9">
        <f>+IFERROR(INDEX(Assumptions!$F$31:$F$42, MATCH(AE29, Assumptions!$D$31:$D$42, 0))*$C$31, 0)</f>
        <v>0</v>
      </c>
      <c r="AF34" s="9">
        <f>+IFERROR(INDEX(Assumptions!$F$31:$F$42, MATCH(AF29, Assumptions!$D$31:$D$42, 0))*$C$31, 0)</f>
        <v>0</v>
      </c>
      <c r="AG34" s="9">
        <f>+IFERROR(INDEX(Assumptions!$F$31:$F$42, MATCH(AG29, Assumptions!$D$31:$D$42, 0))*$C$31, 0)</f>
        <v>0</v>
      </c>
      <c r="AH34" s="9">
        <f>+IFERROR(INDEX(Assumptions!$F$31:$F$42, MATCH(AH29, Assumptions!$D$31:$D$42, 0))*$C$31, 0)</f>
        <v>0</v>
      </c>
      <c r="AI34" s="9">
        <f>+IFERROR(INDEX(Assumptions!$F$31:$F$42, MATCH(AI29, Assumptions!$D$31:$D$42, 0))*$C$31, 0)</f>
        <v>0</v>
      </c>
      <c r="AJ34" s="9">
        <f>+IFERROR(INDEX(Assumptions!$F$31:$F$42, MATCH(AJ29, Assumptions!$D$31:$D$42, 0))*$C$31, 0)</f>
        <v>0</v>
      </c>
      <c r="AK34" s="9">
        <f>+IFERROR(INDEX(Assumptions!$F$31:$F$42, MATCH(AK29, Assumptions!$D$31:$D$42, 0))*$C$31, 0)</f>
        <v>0</v>
      </c>
      <c r="AL34" s="9">
        <f>+IFERROR(INDEX(Assumptions!$F$31:$F$42, MATCH(AL29, Assumptions!$D$31:$D$42, 0))*$C$31, 0)</f>
        <v>0</v>
      </c>
      <c r="AM34" s="9">
        <f>+IFERROR(INDEX(Assumptions!$F$31:$F$42, MATCH(AM29, Assumptions!$D$31:$D$42, 0))*$C$31, 0)</f>
        <v>0</v>
      </c>
      <c r="AN34" s="9">
        <f>+IFERROR(INDEX(Assumptions!$F$31:$F$42, MATCH(AN29, Assumptions!$D$31:$D$42, 0))*$C$31, 0)</f>
        <v>0</v>
      </c>
      <c r="AO34" s="9">
        <f>+IFERROR(INDEX(Assumptions!$F$31:$F$42, MATCH(AO29, Assumptions!$D$31:$D$42, 0))*$C$31, 0)</f>
        <v>0</v>
      </c>
      <c r="AP34" s="9">
        <f>+IFERROR(INDEX(Assumptions!$F$31:$F$42, MATCH(AP29, Assumptions!$D$31:$D$42, 0))*$C$31, 0)</f>
        <v>0</v>
      </c>
      <c r="AQ34" s="9">
        <f>+IFERROR(INDEX(Assumptions!$F$31:$F$42, MATCH(AQ29, Assumptions!$D$31:$D$42, 0))*$C$31, 0)</f>
        <v>0</v>
      </c>
      <c r="AR34" s="9">
        <f>+IFERROR(INDEX(Assumptions!$F$31:$F$42, MATCH(AR29, Assumptions!$D$31:$D$42, 0))*$C$31, 0)</f>
        <v>0</v>
      </c>
      <c r="AS34" s="9">
        <f>+IFERROR(INDEX(Assumptions!$F$31:$F$42, MATCH(AS29, Assumptions!$D$31:$D$42, 0))*$C$31, 0)</f>
        <v>215000</v>
      </c>
      <c r="AT34" s="9">
        <f>+IFERROR(INDEX(Assumptions!$F$31:$F$42, MATCH(AT29, Assumptions!$D$31:$D$42, 0))*$C$31, 0)</f>
        <v>0</v>
      </c>
      <c r="AU34" s="9">
        <f>+IFERROR(INDEX(Assumptions!$F$31:$F$42, MATCH(AU29, Assumptions!$D$31:$D$42, 0))*$C$31, 0)</f>
        <v>0</v>
      </c>
      <c r="AV34" s="9">
        <f>+IFERROR(INDEX(Assumptions!$F$31:$F$42, MATCH(AV29, Assumptions!$D$31:$D$42, 0))*$C$31, 0)</f>
        <v>0</v>
      </c>
      <c r="AW34" s="9">
        <f>+IFERROR(INDEX(Assumptions!$F$31:$F$42, MATCH(AW29, Assumptions!$D$31:$D$42, 0))*$C$31, 0)</f>
        <v>430000</v>
      </c>
      <c r="AX34" s="9">
        <f>+IFERROR(INDEX(Assumptions!$F$31:$F$42, MATCH(AX29, Assumptions!$D$31:$D$42, 0))*$C$31, 0)</f>
        <v>537500</v>
      </c>
      <c r="AY34" s="9">
        <f>+IFERROR(INDEX(Assumptions!$F$31:$F$42, MATCH(AY29, Assumptions!$D$31:$D$42, 0))*$C$31, 0)</f>
        <v>322500</v>
      </c>
      <c r="AZ34" s="9">
        <f>+IFERROR(INDEX(Assumptions!$F$31:$F$42, MATCH(AZ29, Assumptions!$D$31:$D$42, 0))*$C$31, 0)</f>
        <v>0</v>
      </c>
      <c r="BA34" s="9">
        <f>+IFERROR(INDEX(Assumptions!$F$31:$F$42, MATCH(BA29, Assumptions!$D$31:$D$42, 0))*$C$31, 0)</f>
        <v>322500</v>
      </c>
      <c r="BB34" s="9">
        <f>+IFERROR(INDEX(Assumptions!$F$31:$F$42, MATCH(BB29, Assumptions!$D$31:$D$42, 0))*$C$31, 0)</f>
        <v>0</v>
      </c>
      <c r="BC34" s="9">
        <f>+IFERROR(INDEX(Assumptions!$F$31:$F$42, MATCH(BC29, Assumptions!$D$31:$D$42, 0))*$C$31, 0)</f>
        <v>322500</v>
      </c>
      <c r="BD34" s="9">
        <f>+IFERROR(INDEX(Assumptions!$F$31:$F$42, MATCH(BD29, Assumptions!$D$31:$D$42, 0))*$C$31, 0)</f>
        <v>0</v>
      </c>
      <c r="BE34" s="9">
        <f>+IFERROR(INDEX(Assumptions!$F$31:$F$42, MATCH(BE29, Assumptions!$D$31:$D$42, 0))*$C$31, 0)</f>
        <v>0</v>
      </c>
      <c r="BF34" s="9">
        <f>+IFERROR(INDEX(Assumptions!$F$31:$F$42, MATCH(BF29, Assumptions!$D$31:$D$42, 0))*$C$31, 0)</f>
        <v>0</v>
      </c>
      <c r="BG34" s="9">
        <f>+IFERROR(INDEX(Assumptions!$F$31:$F$42, MATCH(BG29, Assumptions!$D$31:$D$42, 0))*$C$31, 0)</f>
        <v>0</v>
      </c>
      <c r="BH34" s="9">
        <f>+IFERROR(INDEX(Assumptions!$F$31:$F$42, MATCH(BH29, Assumptions!$D$31:$D$42, 0))*$C$31, 0)</f>
        <v>0</v>
      </c>
      <c r="BI34" s="9">
        <f>+IFERROR(INDEX(Assumptions!$F$31:$F$42, MATCH(BI29, Assumptions!$D$31:$D$42, 0))*$C$31, 0)</f>
        <v>0</v>
      </c>
      <c r="BJ34" s="9">
        <f>+IFERROR(INDEX(Assumptions!$F$31:$F$42, MATCH(BJ29, Assumptions!$D$31:$D$42, 0))*$C$31, 0)</f>
        <v>0</v>
      </c>
      <c r="BK34" s="9">
        <f>+IFERROR(INDEX(Assumptions!$F$31:$F$42, MATCH(BK29, Assumptions!$D$31:$D$42, 0))*$C$31, 0)</f>
        <v>0</v>
      </c>
      <c r="BL34" s="9">
        <f>+IFERROR(INDEX(Assumptions!$F$31:$F$42, MATCH(BL29, Assumptions!$D$31:$D$42, 0))*$C$31, 0)</f>
        <v>0</v>
      </c>
      <c r="BM34" s="9">
        <f>+IFERROR(INDEX(Assumptions!$F$31:$F$42, MATCH(BM29, Assumptions!$D$31:$D$42, 0))*$C$31, 0)</f>
        <v>0</v>
      </c>
      <c r="BN34" s="9">
        <f>+IFERROR(INDEX(Assumptions!$F$31:$F$42, MATCH(BN29, Assumptions!$D$31:$D$42, 0))*$C$31, 0)</f>
        <v>0</v>
      </c>
      <c r="BO34" s="9">
        <f>+IFERROR(INDEX(Assumptions!$F$31:$F$42, MATCH(BO29, Assumptions!$D$31:$D$42, 0))*$C$31, 0)</f>
        <v>0</v>
      </c>
      <c r="BP34" s="9">
        <f>+IFERROR(INDEX(Assumptions!$F$31:$F$42, MATCH(BP29, Assumptions!$D$31:$D$42, 0))*$C$31, 0)</f>
        <v>0</v>
      </c>
      <c r="BQ34" s="9">
        <f>+IFERROR(INDEX(Assumptions!$F$31:$F$42, MATCH(BQ29, Assumptions!$D$31:$D$42, 0))*$C$31, 0)</f>
        <v>0</v>
      </c>
      <c r="BR34" s="9">
        <f>+IFERROR(INDEX(Assumptions!$F$31:$F$42, MATCH(BR29, Assumptions!$D$31:$D$42, 0))*$C$31, 0)</f>
        <v>0</v>
      </c>
      <c r="BS34" s="9">
        <f>+IFERROR(INDEX(Assumptions!$F$31:$F$42, MATCH(BS29, Assumptions!$D$31:$D$42, 0))*$C$31, 0)</f>
        <v>0</v>
      </c>
      <c r="BT34" s="9">
        <f>+IFERROR(INDEX(Assumptions!$F$31:$F$42, MATCH(BT29, Assumptions!$D$31:$D$42, 0))*$C$31, 0)</f>
        <v>0</v>
      </c>
      <c r="BU34" s="9">
        <f>+IFERROR(INDEX(Assumptions!$F$31:$F$42, MATCH(BU29, Assumptions!$D$31:$D$42, 0))*$C$31, 0)</f>
        <v>0</v>
      </c>
      <c r="BV34" s="9">
        <f>+IFERROR(INDEX(Assumptions!$F$31:$F$42, MATCH(BV29, Assumptions!$D$31:$D$42, 0))*$C$31, 0)</f>
        <v>0</v>
      </c>
      <c r="BW34" s="9">
        <f>+IFERROR(INDEX(Assumptions!$F$31:$F$42, MATCH(BW29, Assumptions!$D$31:$D$42, 0))*$C$31, 0)</f>
        <v>0</v>
      </c>
      <c r="BX34" s="9">
        <f>+IFERROR(INDEX(Assumptions!$F$31:$F$42, MATCH(BX29, Assumptions!$D$31:$D$42, 0))*$C$31, 0)</f>
        <v>0</v>
      </c>
      <c r="BY34" s="9">
        <f>+IFERROR(INDEX(Assumptions!$F$31:$F$42, MATCH(BY29, Assumptions!$D$31:$D$42, 0))*$C$31, 0)</f>
        <v>0</v>
      </c>
      <c r="BZ34" s="9">
        <f>+IFERROR(INDEX(Assumptions!$F$31:$F$42, MATCH(BZ29, Assumptions!$D$31:$D$42, 0))*$C$31, 0)</f>
        <v>0</v>
      </c>
      <c r="CA34" s="9">
        <f>+IFERROR(INDEX(Assumptions!$F$31:$F$42, MATCH(CA29, Assumptions!$D$31:$D$42, 0))*$C$31, 0)</f>
        <v>0</v>
      </c>
      <c r="CB34" s="9">
        <f>+IFERROR(INDEX(Assumptions!$F$31:$F$42, MATCH(CB29, Assumptions!$D$31:$D$42, 0))*$C$31, 0)</f>
        <v>0</v>
      </c>
      <c r="CC34" s="9">
        <f>+IFERROR(INDEX(Assumptions!$F$31:$F$42, MATCH(CC29, Assumptions!$D$31:$D$42, 0))*$C$31, 0)</f>
        <v>0</v>
      </c>
      <c r="CD34" s="9">
        <f>+IFERROR(INDEX(Assumptions!$F$31:$F$42, MATCH(CD29, Assumptions!$D$31:$D$42, 0))*$C$31, 0)</f>
        <v>0</v>
      </c>
      <c r="CE34" s="9">
        <f>+IFERROR(INDEX(Assumptions!$F$31:$F$42, MATCH(CE29, Assumptions!$D$31:$D$42, 0))*$C$31, 0)</f>
        <v>0</v>
      </c>
      <c r="CF34" s="9">
        <f>+IFERROR(INDEX(Assumptions!$F$31:$F$42, MATCH(CF29, Assumptions!$D$31:$D$42, 0))*$C$31, 0)</f>
        <v>0</v>
      </c>
      <c r="CG34" s="9">
        <f>+IFERROR(INDEX(Assumptions!$F$31:$F$42, MATCH(CG29, Assumptions!$D$31:$D$42, 0))*$C$31, 0)</f>
        <v>0</v>
      </c>
      <c r="CH34" s="9">
        <f>+IFERROR(INDEX(Assumptions!$F$31:$F$42, MATCH(CH29, Assumptions!$D$31:$D$42, 0))*$C$31, 0)</f>
        <v>0</v>
      </c>
      <c r="CI34" s="9">
        <f>+IFERROR(INDEX(Assumptions!$F$31:$F$42, MATCH(CI29, Assumptions!$D$31:$D$42, 0))*$C$31, 0)</f>
        <v>0</v>
      </c>
      <c r="CJ34" s="9">
        <f>+IFERROR(INDEX(Assumptions!$F$31:$F$42, MATCH(CJ29, Assumptions!$D$31:$D$42, 0))*$C$31, 0)</f>
        <v>0</v>
      </c>
      <c r="CK34" s="9">
        <f>+IFERROR(INDEX(Assumptions!$F$31:$F$42, MATCH(CK29, Assumptions!$D$31:$D$42, 0))*$C$31, 0)</f>
        <v>0</v>
      </c>
      <c r="CL34" s="9">
        <f>+IFERROR(INDEX(Assumptions!$F$31:$F$42, MATCH(CL29, Assumptions!$D$31:$D$42, 0))*$C$31, 0)</f>
        <v>0</v>
      </c>
      <c r="CM34" s="9">
        <f>+IFERROR(INDEX(Assumptions!$F$31:$F$42, MATCH(CM29, Assumptions!$D$31:$D$42, 0))*$C$31, 0)</f>
        <v>0</v>
      </c>
      <c r="CN34" s="9">
        <f>+IFERROR(INDEX(Assumptions!$F$31:$F$42, MATCH(CN29, Assumptions!$D$31:$D$42, 0))*$C$31, 0)</f>
        <v>0</v>
      </c>
      <c r="CO34" s="9">
        <f>+IFERROR(INDEX(Assumptions!$F$31:$F$42, MATCH(CO29, Assumptions!$D$31:$D$42, 0))*$C$31, 0)</f>
        <v>0</v>
      </c>
      <c r="CP34" s="9">
        <f>+IFERROR(INDEX(Assumptions!$F$31:$F$42, MATCH(CP29, Assumptions!$D$31:$D$42, 0))*$C$31, 0)</f>
        <v>0</v>
      </c>
      <c r="CQ34" s="9">
        <f>+IFERROR(INDEX(Assumptions!$F$31:$F$42, MATCH(CQ29, Assumptions!$D$31:$D$42, 0))*$C$31, 0)</f>
        <v>0</v>
      </c>
      <c r="CR34" s="9">
        <f>+IFERROR(INDEX(Assumptions!$F$31:$F$42, MATCH(CR29, Assumptions!$D$31:$D$42, 0))*$C$31, 0)</f>
        <v>0</v>
      </c>
      <c r="CS34" s="9">
        <f>+IFERROR(INDEX(Assumptions!$F$31:$F$42, MATCH(CS29, Assumptions!$D$31:$D$42, 0))*$C$31, 0)</f>
        <v>0</v>
      </c>
      <c r="CT34" s="9">
        <f>+IFERROR(INDEX(Assumptions!$F$31:$F$42, MATCH(CT29, Assumptions!$D$31:$D$42, 0))*$C$31, 0)</f>
        <v>0</v>
      </c>
      <c r="CU34" s="9">
        <f>+IFERROR(INDEX(Assumptions!$F$31:$F$42, MATCH(CU29, Assumptions!$D$31:$D$42, 0))*$C$31, 0)</f>
        <v>0</v>
      </c>
      <c r="CV34" s="9">
        <f>+IFERROR(INDEX(Assumptions!$F$31:$F$42, MATCH(CV29, Assumptions!$D$31:$D$42, 0))*$C$31, 0)</f>
        <v>0</v>
      </c>
      <c r="CW34" s="9">
        <f>+IFERROR(INDEX(Assumptions!$F$31:$F$42, MATCH(CW29, Assumptions!$D$31:$D$42, 0))*$C$31, 0)</f>
        <v>0</v>
      </c>
      <c r="CX34" s="9">
        <f>+IFERROR(INDEX(Assumptions!$F$31:$F$42, MATCH(CX29, Assumptions!$D$31:$D$42, 0))*$C$31, 0)</f>
        <v>0</v>
      </c>
      <c r="CY34" s="9">
        <f>+IFERROR(INDEX(Assumptions!$F$31:$F$42, MATCH(CY29, Assumptions!$D$31:$D$42, 0))*$C$31, 0)</f>
        <v>0</v>
      </c>
      <c r="CZ34" s="9">
        <f>+IFERROR(INDEX(Assumptions!$F$31:$F$42, MATCH(CZ29, Assumptions!$D$31:$D$42, 0))*$C$31, 0)</f>
        <v>0</v>
      </c>
      <c r="DA34" s="9">
        <f>+IFERROR(INDEX(Assumptions!$F$31:$F$42, MATCH(DA29, Assumptions!$D$31:$D$42, 0))*$C$31, 0)</f>
        <v>0</v>
      </c>
      <c r="DB34" s="9">
        <f>+IFERROR(INDEX(Assumptions!$F$31:$F$42, MATCH(DB29, Assumptions!$D$31:$D$42, 0))*$C$31, 0)</f>
        <v>0</v>
      </c>
      <c r="DC34" s="9">
        <f>+IFERROR(INDEX(Assumptions!$F$31:$F$42, MATCH(DC29, Assumptions!$D$31:$D$42, 0))*$C$31, 0)</f>
        <v>0</v>
      </c>
      <c r="DD34" s="9">
        <f>+IFERROR(INDEX(Assumptions!$F$31:$F$42, MATCH(DD29, Assumptions!$D$31:$D$42, 0))*$C$31, 0)</f>
        <v>0</v>
      </c>
      <c r="DE34" s="9">
        <f>+IFERROR(INDEX(Assumptions!$F$31:$F$42, MATCH(DE29, Assumptions!$D$31:$D$42, 0))*$C$31, 0)</f>
        <v>0</v>
      </c>
      <c r="DF34" s="9">
        <f>+IFERROR(INDEX(Assumptions!$F$31:$F$42, MATCH(DF29, Assumptions!$D$31:$D$42, 0))*$C$31, 0)</f>
        <v>0</v>
      </c>
      <c r="DG34" s="9">
        <f>+IFERROR(INDEX(Assumptions!$F$31:$F$42, MATCH(DG29, Assumptions!$D$31:$D$42, 0))*$C$31, 0)</f>
        <v>0</v>
      </c>
      <c r="DH34" s="9">
        <f>+IFERROR(INDEX(Assumptions!$F$31:$F$42, MATCH(DH29, Assumptions!$D$31:$D$42, 0))*$C$31, 0)</f>
        <v>0</v>
      </c>
    </row>
    <row r="35" spans="2:112" x14ac:dyDescent="0.3">
      <c r="D35" t="s">
        <v>289</v>
      </c>
      <c r="F35" s="9">
        <f t="shared" ref="F35" si="614">+F34+E35</f>
        <v>0</v>
      </c>
      <c r="G35" s="9">
        <f t="shared" ref="G35" si="615">+G34+F35</f>
        <v>0</v>
      </c>
      <c r="H35" s="9">
        <f t="shared" ref="H35" si="616">+H34+G35</f>
        <v>0</v>
      </c>
      <c r="I35" s="9">
        <f t="shared" ref="I35" si="617">+I34+H35</f>
        <v>0</v>
      </c>
      <c r="J35" s="9">
        <f t="shared" ref="J35" si="618">+J34+I35</f>
        <v>0</v>
      </c>
      <c r="K35" s="9">
        <f t="shared" ref="K35" si="619">+K34+J35</f>
        <v>0</v>
      </c>
      <c r="L35" s="9">
        <f t="shared" ref="L35" si="620">+L34+K35</f>
        <v>0</v>
      </c>
      <c r="M35" s="9">
        <f t="shared" ref="M35" si="621">+M34+L35</f>
        <v>0</v>
      </c>
      <c r="N35" s="9">
        <f t="shared" ref="N35" si="622">+N34+M35</f>
        <v>0</v>
      </c>
      <c r="O35" s="9">
        <f t="shared" ref="O35" si="623">+O34+N35</f>
        <v>0</v>
      </c>
      <c r="P35" s="9">
        <f t="shared" ref="P35" si="624">+P34+O35</f>
        <v>0</v>
      </c>
      <c r="Q35" s="9">
        <f t="shared" ref="Q35" si="625">+Q34+P35</f>
        <v>0</v>
      </c>
      <c r="R35" s="9">
        <f t="shared" ref="R35" si="626">+R34+Q35</f>
        <v>0</v>
      </c>
      <c r="S35" s="9">
        <f t="shared" ref="S35" si="627">+S34+R35</f>
        <v>0</v>
      </c>
      <c r="T35" s="9">
        <f t="shared" ref="T35" si="628">+T34+S35</f>
        <v>0</v>
      </c>
      <c r="U35" s="9">
        <f t="shared" ref="U35" si="629">+U34+T35</f>
        <v>0</v>
      </c>
      <c r="V35" s="9">
        <f t="shared" ref="V35" si="630">+V34+U35</f>
        <v>0</v>
      </c>
      <c r="W35" s="9">
        <f>+W34+V35</f>
        <v>0</v>
      </c>
      <c r="X35" s="9">
        <f t="shared" ref="X35" si="631">+X34+W35</f>
        <v>0</v>
      </c>
      <c r="Y35" s="172">
        <f t="shared" ref="Y35" si="632">+Y34+X35</f>
        <v>0</v>
      </c>
      <c r="Z35" s="9">
        <f t="shared" ref="Z35" si="633">+Z34+Y35</f>
        <v>0</v>
      </c>
      <c r="AA35" s="9">
        <f t="shared" ref="AA35" si="634">+AA34+Z35</f>
        <v>0</v>
      </c>
      <c r="AB35" s="9">
        <f t="shared" ref="AB35" si="635">+AB34+AA35</f>
        <v>0</v>
      </c>
      <c r="AC35" s="9">
        <f t="shared" ref="AC35" si="636">+AC34+AB35</f>
        <v>0</v>
      </c>
      <c r="AD35" s="9">
        <f t="shared" ref="AD35" si="637">+AD34+AC35</f>
        <v>0</v>
      </c>
      <c r="AE35" s="9">
        <f t="shared" ref="AE35" si="638">+AE34+AD35</f>
        <v>0</v>
      </c>
      <c r="AF35" s="9">
        <f t="shared" ref="AF35" si="639">+AF34+AE35</f>
        <v>0</v>
      </c>
      <c r="AG35" s="9">
        <f t="shared" ref="AG35" si="640">+AG34+AF35</f>
        <v>0</v>
      </c>
      <c r="AH35" s="9">
        <f t="shared" ref="AH35" si="641">+AH34+AG35</f>
        <v>0</v>
      </c>
      <c r="AI35" s="9">
        <f t="shared" ref="AI35" si="642">+AI34+AH35</f>
        <v>0</v>
      </c>
      <c r="AJ35" s="9">
        <f t="shared" ref="AJ35" si="643">+AJ34+AI35</f>
        <v>0</v>
      </c>
      <c r="AK35" s="9">
        <f t="shared" ref="AK35" si="644">+AK34+AJ35</f>
        <v>0</v>
      </c>
      <c r="AL35" s="9">
        <f t="shared" ref="AL35" si="645">+AL34+AK35</f>
        <v>0</v>
      </c>
      <c r="AM35" s="9">
        <f t="shared" ref="AM35" si="646">+AM34+AL35</f>
        <v>0</v>
      </c>
      <c r="AN35" s="9">
        <f t="shared" ref="AN35" si="647">+AN34+AM35</f>
        <v>0</v>
      </c>
      <c r="AO35" s="9">
        <f t="shared" ref="AO35" si="648">+AO34+AN35</f>
        <v>0</v>
      </c>
      <c r="AP35" s="9">
        <f t="shared" ref="AP35" si="649">+AP34+AO35</f>
        <v>0</v>
      </c>
      <c r="AQ35" s="9">
        <f t="shared" ref="AQ35" si="650">+AQ34+AP35</f>
        <v>0</v>
      </c>
      <c r="AR35" s="9">
        <f t="shared" ref="AR35" si="651">+AR34+AQ35</f>
        <v>0</v>
      </c>
      <c r="AS35" s="9">
        <f t="shared" ref="AS35" si="652">+AS34+AR35</f>
        <v>215000</v>
      </c>
      <c r="AT35" s="9">
        <f t="shared" ref="AT35" si="653">+AT34+AS35</f>
        <v>215000</v>
      </c>
      <c r="AU35" s="9">
        <f t="shared" ref="AU35" si="654">+AU34+AT35</f>
        <v>215000</v>
      </c>
      <c r="AV35" s="9">
        <f t="shared" ref="AV35" si="655">+AV34+AU35</f>
        <v>215000</v>
      </c>
      <c r="AW35" s="9">
        <f t="shared" ref="AW35" si="656">+AW34+AV35</f>
        <v>645000</v>
      </c>
      <c r="AX35" s="9">
        <f t="shared" ref="AX35" si="657">+AX34+AW35</f>
        <v>1182500</v>
      </c>
      <c r="AY35" s="9">
        <f t="shared" ref="AY35" si="658">+AY34+AX35</f>
        <v>1505000</v>
      </c>
      <c r="AZ35" s="9">
        <f t="shared" ref="AZ35" si="659">+AZ34+AY35</f>
        <v>1505000</v>
      </c>
      <c r="BA35" s="9">
        <f t="shared" ref="BA35" si="660">+BA34+AZ35</f>
        <v>1827500</v>
      </c>
      <c r="BB35" s="9">
        <f t="shared" ref="BB35" si="661">+BB34+BA35</f>
        <v>1827500</v>
      </c>
      <c r="BC35" s="9">
        <f t="shared" ref="BC35" si="662">+BC34+BB35</f>
        <v>2150000</v>
      </c>
      <c r="BD35" s="9">
        <f t="shared" ref="BD35" si="663">+BD34+BC35</f>
        <v>2150000</v>
      </c>
      <c r="BE35" s="9">
        <f t="shared" ref="BE35" si="664">+BE34+BD35</f>
        <v>2150000</v>
      </c>
      <c r="BF35" s="9">
        <f t="shared" ref="BF35" si="665">+BF34+BE35</f>
        <v>2150000</v>
      </c>
      <c r="BG35" s="9">
        <f t="shared" ref="BG35" si="666">+BG34+BF35</f>
        <v>2150000</v>
      </c>
      <c r="BH35" s="9">
        <f t="shared" ref="BH35" si="667">+BH34+BG35</f>
        <v>2150000</v>
      </c>
      <c r="BI35" s="9">
        <f t="shared" ref="BI35" si="668">+BI34+BH35</f>
        <v>2150000</v>
      </c>
      <c r="BJ35" s="9">
        <f t="shared" ref="BJ35" si="669">+BJ34+BI35</f>
        <v>2150000</v>
      </c>
      <c r="BK35" s="9">
        <f t="shared" ref="BK35" si="670">+BK34+BJ35</f>
        <v>2150000</v>
      </c>
      <c r="BL35" s="9">
        <f t="shared" ref="BL35" si="671">+BL34+BK35</f>
        <v>2150000</v>
      </c>
      <c r="BM35" s="9">
        <f t="shared" ref="BM35" si="672">+BM34+BL35</f>
        <v>2150000</v>
      </c>
      <c r="BN35" s="9">
        <f t="shared" ref="BN35" si="673">+BN34+BM35</f>
        <v>2150000</v>
      </c>
      <c r="BO35" s="9">
        <f t="shared" ref="BO35" si="674">+BO34+BN35</f>
        <v>2150000</v>
      </c>
      <c r="BP35" s="9">
        <f t="shared" ref="BP35" si="675">+BP34+BO35</f>
        <v>2150000</v>
      </c>
      <c r="BQ35" s="9">
        <f t="shared" ref="BQ35" si="676">+BQ34+BP35</f>
        <v>2150000</v>
      </c>
      <c r="BR35" s="9">
        <f t="shared" ref="BR35" si="677">+BR34+BQ35</f>
        <v>2150000</v>
      </c>
      <c r="BS35" s="9">
        <f t="shared" ref="BS35" si="678">+BS34+BR35</f>
        <v>2150000</v>
      </c>
      <c r="BT35" s="9">
        <f t="shared" ref="BT35" si="679">+BT34+BS35</f>
        <v>2150000</v>
      </c>
      <c r="BU35" s="9">
        <f t="shared" ref="BU35" si="680">+BU34+BT35</f>
        <v>2150000</v>
      </c>
      <c r="BV35" s="9">
        <f t="shared" ref="BV35" si="681">+BV34+BU35</f>
        <v>2150000</v>
      </c>
      <c r="BW35" s="9">
        <f t="shared" ref="BW35" si="682">+BW34+BV35</f>
        <v>2150000</v>
      </c>
      <c r="BX35" s="9">
        <f t="shared" ref="BX35" si="683">+BX34+BW35</f>
        <v>2150000</v>
      </c>
      <c r="BY35" s="9">
        <f t="shared" ref="BY35" si="684">+BY34+BX35</f>
        <v>2150000</v>
      </c>
      <c r="BZ35" s="9">
        <f t="shared" ref="BZ35" si="685">+BZ34+BY35</f>
        <v>2150000</v>
      </c>
      <c r="CA35" s="9">
        <f t="shared" ref="CA35" si="686">+CA34+BZ35</f>
        <v>2150000</v>
      </c>
      <c r="CB35" s="9">
        <f t="shared" ref="CB35" si="687">+CB34+CA35</f>
        <v>2150000</v>
      </c>
      <c r="CC35" s="9">
        <f t="shared" ref="CC35" si="688">+CC34+CB35</f>
        <v>2150000</v>
      </c>
      <c r="CD35" s="9">
        <f t="shared" ref="CD35" si="689">+CD34+CC35</f>
        <v>2150000</v>
      </c>
      <c r="CE35" s="9">
        <f t="shared" ref="CE35" si="690">+CE34+CD35</f>
        <v>2150000</v>
      </c>
      <c r="CF35" s="9">
        <f t="shared" ref="CF35" si="691">+CF34+CE35</f>
        <v>2150000</v>
      </c>
      <c r="CG35" s="9">
        <f t="shared" ref="CG35" si="692">+CG34+CF35</f>
        <v>2150000</v>
      </c>
      <c r="CH35" s="9">
        <f t="shared" ref="CH35" si="693">+CH34+CG35</f>
        <v>2150000</v>
      </c>
      <c r="CI35" s="9">
        <f t="shared" ref="CI35" si="694">+CI34+CH35</f>
        <v>2150000</v>
      </c>
      <c r="CJ35" s="9">
        <f t="shared" ref="CJ35" si="695">+CJ34+CI35</f>
        <v>2150000</v>
      </c>
      <c r="CK35" s="9">
        <f t="shared" ref="CK35" si="696">+CK34+CJ35</f>
        <v>2150000</v>
      </c>
      <c r="CL35" s="9">
        <f t="shared" ref="CL35" si="697">+CL34+CK35</f>
        <v>2150000</v>
      </c>
      <c r="CM35" s="9">
        <f t="shared" ref="CM35" si="698">+CM34+CL35</f>
        <v>2150000</v>
      </c>
      <c r="CN35" s="9">
        <f t="shared" ref="CN35" si="699">+CN34+CM35</f>
        <v>2150000</v>
      </c>
      <c r="CO35" s="9">
        <f t="shared" ref="CO35" si="700">+CO34+CN35</f>
        <v>2150000</v>
      </c>
      <c r="CP35" s="9">
        <f t="shared" ref="CP35" si="701">+CP34+CO35</f>
        <v>2150000</v>
      </c>
      <c r="CQ35" s="9">
        <f t="shared" ref="CQ35" si="702">+CQ34+CP35</f>
        <v>2150000</v>
      </c>
      <c r="CR35" s="9">
        <f t="shared" ref="CR35" si="703">+CR34+CQ35</f>
        <v>2150000</v>
      </c>
      <c r="CS35" s="9">
        <f t="shared" ref="CS35" si="704">+CS34+CR35</f>
        <v>2150000</v>
      </c>
      <c r="CT35" s="9">
        <f t="shared" ref="CT35" si="705">+CT34+CS35</f>
        <v>2150000</v>
      </c>
      <c r="CU35" s="9">
        <f t="shared" ref="CU35" si="706">+CU34+CT35</f>
        <v>2150000</v>
      </c>
      <c r="CV35" s="9">
        <f t="shared" ref="CV35" si="707">+CV34+CU35</f>
        <v>2150000</v>
      </c>
      <c r="CW35" s="9">
        <f t="shared" ref="CW35" si="708">+CW34+CV35</f>
        <v>2150000</v>
      </c>
      <c r="CX35" s="9">
        <f t="shared" ref="CX35" si="709">+CX34+CW35</f>
        <v>2150000</v>
      </c>
      <c r="CY35" s="9">
        <f t="shared" ref="CY35" si="710">+CY34+CX35</f>
        <v>2150000</v>
      </c>
      <c r="CZ35" s="9">
        <f t="shared" ref="CZ35" si="711">+CZ34+CY35</f>
        <v>2150000</v>
      </c>
      <c r="DA35" s="9">
        <f t="shared" ref="DA35" si="712">+DA34+CZ35</f>
        <v>2150000</v>
      </c>
      <c r="DB35" s="9">
        <f t="shared" ref="DB35" si="713">+DB34+DA35</f>
        <v>2150000</v>
      </c>
      <c r="DC35" s="9">
        <f t="shared" ref="DC35" si="714">+DC34+DB35</f>
        <v>2150000</v>
      </c>
      <c r="DD35" s="9">
        <f t="shared" ref="DD35" si="715">+DD34+DC35</f>
        <v>2150000</v>
      </c>
      <c r="DE35" s="9">
        <f t="shared" ref="DE35" si="716">+DE34+DD35</f>
        <v>2150000</v>
      </c>
      <c r="DF35" s="9">
        <f t="shared" ref="DF35" si="717">+DF34+DE35</f>
        <v>2150000</v>
      </c>
      <c r="DG35" s="9">
        <f t="shared" ref="DG35:DH35" si="718">+DG34+DF35</f>
        <v>2150000</v>
      </c>
      <c r="DH35" s="9">
        <f t="shared" si="718"/>
        <v>2150000</v>
      </c>
    </row>
    <row r="36" spans="2:112" x14ac:dyDescent="0.3"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72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</row>
    <row r="37" spans="2:112" x14ac:dyDescent="0.3">
      <c r="F37" s="513">
        <f t="shared" ref="F37:AK37" si="719">+IF(F$3&lt;$C$41,0,IF(AND(F$3&gt;=$C$41,E37&lt;12, $C$42&gt;=F$3),E37+1,0))</f>
        <v>0</v>
      </c>
      <c r="G37" s="513">
        <f t="shared" si="719"/>
        <v>0</v>
      </c>
      <c r="H37" s="513">
        <f t="shared" si="719"/>
        <v>0</v>
      </c>
      <c r="I37" s="513">
        <f t="shared" si="719"/>
        <v>0</v>
      </c>
      <c r="J37" s="513">
        <f t="shared" si="719"/>
        <v>0</v>
      </c>
      <c r="K37" s="513">
        <f t="shared" si="719"/>
        <v>0</v>
      </c>
      <c r="L37" s="513">
        <f t="shared" si="719"/>
        <v>0</v>
      </c>
      <c r="M37" s="513">
        <f t="shared" si="719"/>
        <v>0</v>
      </c>
      <c r="N37" s="513">
        <f t="shared" si="719"/>
        <v>0</v>
      </c>
      <c r="O37" s="513">
        <f t="shared" si="719"/>
        <v>0</v>
      </c>
      <c r="P37" s="513">
        <f t="shared" si="719"/>
        <v>0</v>
      </c>
      <c r="Q37" s="513">
        <f t="shared" si="719"/>
        <v>0</v>
      </c>
      <c r="R37" s="513">
        <f t="shared" si="719"/>
        <v>0</v>
      </c>
      <c r="S37" s="513">
        <f t="shared" si="719"/>
        <v>0</v>
      </c>
      <c r="T37" s="513">
        <f t="shared" si="719"/>
        <v>0</v>
      </c>
      <c r="U37" s="513">
        <f t="shared" si="719"/>
        <v>0</v>
      </c>
      <c r="V37" s="82">
        <f t="shared" si="719"/>
        <v>0</v>
      </c>
      <c r="W37" s="82">
        <f t="shared" si="719"/>
        <v>0</v>
      </c>
      <c r="X37" s="82">
        <f t="shared" si="719"/>
        <v>0</v>
      </c>
      <c r="Y37" s="252">
        <f t="shared" si="719"/>
        <v>0</v>
      </c>
      <c r="Z37" s="513">
        <f t="shared" si="719"/>
        <v>0</v>
      </c>
      <c r="AA37" s="513">
        <f t="shared" si="719"/>
        <v>0</v>
      </c>
      <c r="AB37" s="513">
        <f t="shared" si="719"/>
        <v>0</v>
      </c>
      <c r="AC37" s="513">
        <f t="shared" si="719"/>
        <v>0</v>
      </c>
      <c r="AD37" s="513">
        <f t="shared" si="719"/>
        <v>0</v>
      </c>
      <c r="AE37" s="513">
        <f t="shared" si="719"/>
        <v>0</v>
      </c>
      <c r="AF37" s="513">
        <f t="shared" si="719"/>
        <v>0</v>
      </c>
      <c r="AG37" s="513">
        <f t="shared" si="719"/>
        <v>0</v>
      </c>
      <c r="AH37" s="513">
        <f t="shared" si="719"/>
        <v>0</v>
      </c>
      <c r="AI37" s="513">
        <f t="shared" si="719"/>
        <v>0</v>
      </c>
      <c r="AJ37" s="513">
        <f t="shared" si="719"/>
        <v>0</v>
      </c>
      <c r="AK37" s="513">
        <f t="shared" si="719"/>
        <v>0</v>
      </c>
      <c r="AL37" s="513">
        <f t="shared" ref="AL37:BQ37" si="720">+IF(AL$3&lt;$C$41,0,IF(AND(AL$3&gt;=$C$41,AK37&lt;12, $C$42&gt;=AL$3),AK37+1,0))</f>
        <v>0</v>
      </c>
      <c r="AM37" s="513">
        <f t="shared" si="720"/>
        <v>0</v>
      </c>
      <c r="AN37" s="513">
        <f t="shared" si="720"/>
        <v>0</v>
      </c>
      <c r="AO37" s="513">
        <f t="shared" si="720"/>
        <v>0</v>
      </c>
      <c r="AP37" s="513">
        <f t="shared" si="720"/>
        <v>0</v>
      </c>
      <c r="AQ37" s="513">
        <f t="shared" si="720"/>
        <v>0</v>
      </c>
      <c r="AR37" s="513">
        <f t="shared" si="720"/>
        <v>0</v>
      </c>
      <c r="AS37" s="513">
        <f t="shared" si="720"/>
        <v>0</v>
      </c>
      <c r="AT37" s="513">
        <f t="shared" si="720"/>
        <v>0</v>
      </c>
      <c r="AU37" s="513">
        <f t="shared" si="720"/>
        <v>0</v>
      </c>
      <c r="AV37" s="513">
        <f t="shared" si="720"/>
        <v>0</v>
      </c>
      <c r="AW37" s="513">
        <f t="shared" si="720"/>
        <v>0</v>
      </c>
      <c r="AX37" s="513">
        <f t="shared" si="720"/>
        <v>0</v>
      </c>
      <c r="AY37" s="513">
        <f t="shared" si="720"/>
        <v>0</v>
      </c>
      <c r="AZ37" s="513">
        <f t="shared" si="720"/>
        <v>0</v>
      </c>
      <c r="BA37" s="513">
        <f t="shared" si="720"/>
        <v>0</v>
      </c>
      <c r="BB37" s="513">
        <f t="shared" si="720"/>
        <v>0</v>
      </c>
      <c r="BC37" s="513">
        <f t="shared" si="720"/>
        <v>0</v>
      </c>
      <c r="BD37" s="513">
        <f t="shared" si="720"/>
        <v>0</v>
      </c>
      <c r="BE37" s="513">
        <f t="shared" si="720"/>
        <v>1</v>
      </c>
      <c r="BF37" s="513">
        <f t="shared" si="720"/>
        <v>2</v>
      </c>
      <c r="BG37" s="513">
        <f t="shared" si="720"/>
        <v>3</v>
      </c>
      <c r="BH37" s="513">
        <f t="shared" si="720"/>
        <v>4</v>
      </c>
      <c r="BI37" s="513">
        <f t="shared" si="720"/>
        <v>5</v>
      </c>
      <c r="BJ37" s="513">
        <f t="shared" si="720"/>
        <v>6</v>
      </c>
      <c r="BK37" s="513">
        <f t="shared" si="720"/>
        <v>7</v>
      </c>
      <c r="BL37" s="513">
        <f t="shared" si="720"/>
        <v>8</v>
      </c>
      <c r="BM37" s="513">
        <f t="shared" si="720"/>
        <v>9</v>
      </c>
      <c r="BN37" s="513">
        <f t="shared" si="720"/>
        <v>10</v>
      </c>
      <c r="BO37" s="513">
        <f t="shared" si="720"/>
        <v>11</v>
      </c>
      <c r="BP37" s="513">
        <f t="shared" si="720"/>
        <v>12</v>
      </c>
      <c r="BQ37" s="513">
        <f t="shared" si="720"/>
        <v>0</v>
      </c>
      <c r="BR37" s="513">
        <f t="shared" ref="BR37:CV37" si="721">+IF(BR$3&lt;$C$41,0,IF(AND(BR$3&gt;=$C$41,BQ37&lt;12, $C$42&gt;=BR$3),BQ37+1,0))</f>
        <v>0</v>
      </c>
      <c r="BS37" s="513">
        <f t="shared" si="721"/>
        <v>0</v>
      </c>
      <c r="BT37" s="513">
        <f t="shared" si="721"/>
        <v>0</v>
      </c>
      <c r="BU37" s="513">
        <f t="shared" si="721"/>
        <v>0</v>
      </c>
      <c r="BV37" s="513">
        <f t="shared" si="721"/>
        <v>0</v>
      </c>
      <c r="BW37" s="513">
        <f t="shared" si="721"/>
        <v>0</v>
      </c>
      <c r="BX37" s="513">
        <f t="shared" si="721"/>
        <v>0</v>
      </c>
      <c r="BY37" s="513">
        <f t="shared" si="721"/>
        <v>0</v>
      </c>
      <c r="BZ37" s="513">
        <f t="shared" si="721"/>
        <v>0</v>
      </c>
      <c r="CA37" s="513">
        <f t="shared" si="721"/>
        <v>0</v>
      </c>
      <c r="CB37" s="513">
        <f t="shared" si="721"/>
        <v>0</v>
      </c>
      <c r="CC37" s="513">
        <f t="shared" si="721"/>
        <v>0</v>
      </c>
      <c r="CD37" s="513">
        <f t="shared" si="721"/>
        <v>0</v>
      </c>
      <c r="CE37" s="513">
        <f t="shared" si="721"/>
        <v>0</v>
      </c>
      <c r="CF37" s="513">
        <f t="shared" si="721"/>
        <v>0</v>
      </c>
      <c r="CG37" s="513">
        <f t="shared" si="721"/>
        <v>0</v>
      </c>
      <c r="CH37" s="513">
        <f t="shared" si="721"/>
        <v>0</v>
      </c>
      <c r="CI37" s="513">
        <f t="shared" si="721"/>
        <v>0</v>
      </c>
      <c r="CJ37" s="513">
        <f t="shared" si="721"/>
        <v>0</v>
      </c>
      <c r="CK37" s="513">
        <f t="shared" si="721"/>
        <v>0</v>
      </c>
      <c r="CL37" s="513">
        <f t="shared" si="721"/>
        <v>0</v>
      </c>
      <c r="CM37" s="513">
        <f t="shared" si="721"/>
        <v>0</v>
      </c>
      <c r="CN37" s="513">
        <f t="shared" si="721"/>
        <v>0</v>
      </c>
      <c r="CO37" s="513">
        <f t="shared" si="721"/>
        <v>0</v>
      </c>
      <c r="CP37" s="513">
        <f t="shared" si="721"/>
        <v>0</v>
      </c>
      <c r="CQ37" s="513">
        <f t="shared" si="721"/>
        <v>0</v>
      </c>
      <c r="CR37" s="513">
        <f t="shared" si="721"/>
        <v>0</v>
      </c>
      <c r="CS37" s="513">
        <f t="shared" si="721"/>
        <v>0</v>
      </c>
      <c r="CT37" s="513">
        <f t="shared" si="721"/>
        <v>0</v>
      </c>
      <c r="CU37" s="513">
        <f t="shared" si="721"/>
        <v>0</v>
      </c>
      <c r="CV37" s="513">
        <f t="shared" si="721"/>
        <v>0</v>
      </c>
      <c r="CW37" s="513">
        <f t="shared" ref="CW37:DG37" si="722">+IF(CW$3&lt;$C$41,0,IF(AND(CW$3&gt;=$C$41,CV37&lt;12, $C$42&gt;=CW$3),CV37+1,0))</f>
        <v>0</v>
      </c>
      <c r="CX37" s="513">
        <f t="shared" si="722"/>
        <v>0</v>
      </c>
      <c r="CY37" s="513">
        <f t="shared" si="722"/>
        <v>0</v>
      </c>
      <c r="CZ37" s="513">
        <f t="shared" si="722"/>
        <v>0</v>
      </c>
      <c r="DA37" s="513">
        <f t="shared" si="722"/>
        <v>0</v>
      </c>
      <c r="DB37" s="513">
        <f t="shared" si="722"/>
        <v>0</v>
      </c>
      <c r="DC37" s="513">
        <f t="shared" si="722"/>
        <v>0</v>
      </c>
      <c r="DD37" s="513">
        <f t="shared" si="722"/>
        <v>0</v>
      </c>
      <c r="DE37" s="513">
        <f t="shared" si="722"/>
        <v>0</v>
      </c>
      <c r="DF37" s="513">
        <f t="shared" si="722"/>
        <v>0</v>
      </c>
      <c r="DG37" s="513">
        <f t="shared" si="722"/>
        <v>0</v>
      </c>
      <c r="DH37" s="513">
        <f t="shared" ref="DH37" si="723">+IF(DH$3&lt;$C$41,0,IF(AND(DH$3&gt;=$C$41,DG37&lt;12, $C$42&gt;=DH$3),DG37+1,0))</f>
        <v>0</v>
      </c>
    </row>
    <row r="38" spans="2:112" x14ac:dyDescent="0.3">
      <c r="B38" t="s">
        <v>380</v>
      </c>
      <c r="D38" t="s">
        <v>244</v>
      </c>
      <c r="E38" s="459"/>
      <c r="F38" s="459">
        <f>+IFERROR(INDEX(Assumptions!$F$5:$F$16, MATCH(F37, Assumptions!$D$5:$D$16, 0))*$C$39, 0)</f>
        <v>0</v>
      </c>
      <c r="G38" s="459">
        <f>+IFERROR(INDEX(Assumptions!$F$5:$F$16, MATCH(G37, Assumptions!$D$5:$D$16, 0))*$C$39, 0)</f>
        <v>0</v>
      </c>
      <c r="H38" s="459">
        <f>+IFERROR(INDEX(Assumptions!$F$5:$F$16, MATCH(H37, Assumptions!$D$5:$D$16, 0))*$C$39, 0)</f>
        <v>0</v>
      </c>
      <c r="I38" s="459">
        <f>+IFERROR(INDEX(Assumptions!$F$5:$F$16, MATCH(I37, Assumptions!$D$5:$D$16, 0))*$C$39, 0)</f>
        <v>0</v>
      </c>
      <c r="J38" s="459">
        <f>+IFERROR(INDEX(Assumptions!$F$5:$F$16, MATCH(J37, Assumptions!$D$5:$D$16, 0))*$C$39, 0)</f>
        <v>0</v>
      </c>
      <c r="K38" s="459">
        <f>+IFERROR(INDEX(Assumptions!$F$5:$F$16, MATCH(K37, Assumptions!$D$5:$D$16, 0))*$C$39, 0)</f>
        <v>0</v>
      </c>
      <c r="L38" s="459">
        <f>+IFERROR(INDEX(Assumptions!$F$5:$F$16, MATCH(L37, Assumptions!$D$5:$D$16, 0))*$C$39, 0)</f>
        <v>0</v>
      </c>
      <c r="M38" s="459">
        <f>+IFERROR(INDEX(Assumptions!$F$5:$F$16, MATCH(M37, Assumptions!$D$5:$D$16, 0))*$C$39, 0)</f>
        <v>0</v>
      </c>
      <c r="N38" s="459">
        <f>+IFERROR(INDEX(Assumptions!$F$5:$F$16, MATCH(N37, Assumptions!$D$5:$D$16, 0))*$C$39, 0)</f>
        <v>0</v>
      </c>
      <c r="O38" s="459">
        <f>+IFERROR(INDEX(Assumptions!$F$5:$F$16, MATCH(O37, Assumptions!$D$5:$D$16, 0))*$C$39, 0)</f>
        <v>0</v>
      </c>
      <c r="P38" s="459">
        <f>+IFERROR(INDEX(Assumptions!$F$5:$F$16, MATCH(P37, Assumptions!$D$5:$D$16, 0))*$C$39, 0)</f>
        <v>0</v>
      </c>
      <c r="Q38" s="459">
        <f>+IFERROR(INDEX(Assumptions!$F$5:$F$16, MATCH(Q37, Assumptions!$D$5:$D$16, 0))*$C$39, 0)</f>
        <v>0</v>
      </c>
      <c r="R38" s="459">
        <f>+IFERROR(INDEX(Assumptions!$F$5:$F$16, MATCH(R37, Assumptions!$D$5:$D$16, 0))*$C$39, 0)</f>
        <v>0</v>
      </c>
      <c r="S38" s="459">
        <f>+IFERROR(INDEX(Assumptions!$F$5:$F$16, MATCH(S37, Assumptions!$D$5:$D$16, 0))*$C$39, 0)</f>
        <v>0</v>
      </c>
      <c r="T38" s="459">
        <f>+IFERROR(INDEX(Assumptions!$F$5:$F$16, MATCH(T37, Assumptions!$D$5:$D$16, 0))*$C$39, 0)</f>
        <v>0</v>
      </c>
      <c r="U38" s="459">
        <f>+IFERROR(INDEX(Assumptions!$F$5:$F$16, MATCH(U37, Assumptions!$D$5:$D$16, 0))*$C$39, 0)</f>
        <v>0</v>
      </c>
      <c r="V38" s="535">
        <f>+IFERROR(INDEX(Assumptions!$F$5:$F$16, MATCH(V37, Assumptions!$D$5:$D$16, 0))*$C$39, 0)</f>
        <v>0</v>
      </c>
      <c r="W38" s="147">
        <f>+IFERROR(INDEX(Assumptions!$F$5:$F$16, MATCH(W37, Assumptions!$D$5:$D$16, 0))*$C$39, 0)</f>
        <v>0</v>
      </c>
      <c r="X38" s="147">
        <f>+IFERROR(INDEX(Assumptions!$F$5:$F$16, MATCH(X37, Assumptions!$D$5:$D$16, 0))*$C$39, 0)</f>
        <v>0</v>
      </c>
      <c r="Y38" s="347">
        <f>+IFERROR(INDEX(Assumptions!$F$5:$F$16, MATCH(Y37, Assumptions!$D$5:$D$16, 0))*$C$39, 0)</f>
        <v>0</v>
      </c>
      <c r="Z38" s="280">
        <f>+IFERROR(INDEX(Assumptions!$F$5:$F$16, MATCH(Z37, Assumptions!$D$5:$D$16, 0))*$C$39, 0)</f>
        <v>0</v>
      </c>
      <c r="AA38" s="280">
        <f>+IFERROR(INDEX(Assumptions!$F$5:$F$16, MATCH(AA37, Assumptions!$D$5:$D$16, 0))*$C$39, 0)</f>
        <v>0</v>
      </c>
      <c r="AB38" s="280">
        <f>+IFERROR(INDEX(Assumptions!$F$5:$F$16, MATCH(AB37, Assumptions!$D$5:$D$16, 0))*$C$39, 0)</f>
        <v>0</v>
      </c>
      <c r="AC38" s="280">
        <f>+IFERROR(INDEX(Assumptions!$F$5:$F$16, MATCH(AC37, Assumptions!$D$5:$D$16, 0))*$C$39, 0)</f>
        <v>0</v>
      </c>
      <c r="AD38" s="280">
        <f>+IFERROR(INDEX(Assumptions!$F$5:$F$16, MATCH(AD37, Assumptions!$D$5:$D$16, 0))*$C$39, 0)</f>
        <v>0</v>
      </c>
      <c r="AE38" s="280">
        <f>+IFERROR(INDEX(Assumptions!$F$5:$F$16, MATCH(AE37, Assumptions!$D$5:$D$16, 0))*$C$39, 0)</f>
        <v>0</v>
      </c>
      <c r="AF38" s="280">
        <f>+IFERROR(INDEX(Assumptions!$F$5:$F$16, MATCH(AF37, Assumptions!$D$5:$D$16, 0))*$C$39, 0)</f>
        <v>0</v>
      </c>
      <c r="AG38" s="280">
        <f>+IFERROR(INDEX(Assumptions!$F$5:$F$16, MATCH(AG37, Assumptions!$D$5:$D$16, 0))*$C$39, 0)</f>
        <v>0</v>
      </c>
      <c r="AH38" s="280">
        <f>+IFERROR(INDEX(Assumptions!$F$5:$F$16, MATCH(AH37, Assumptions!$D$5:$D$16, 0))*$C$39, 0)</f>
        <v>0</v>
      </c>
      <c r="AI38" s="280">
        <f>+IFERROR(INDEX(Assumptions!$F$5:$F$16, MATCH(AI37, Assumptions!$D$5:$D$16, 0))*$C$39, 0)</f>
        <v>0</v>
      </c>
      <c r="AJ38" s="280">
        <f>+IFERROR(INDEX(Assumptions!$F$5:$F$16, MATCH(AJ37, Assumptions!$D$5:$D$16, 0))*$C$39, 0)</f>
        <v>0</v>
      </c>
      <c r="AK38" s="280">
        <f>+IFERROR(INDEX(Assumptions!$F$5:$F$16, MATCH(AK37, Assumptions!$D$5:$D$16, 0))*$C$39, 0)</f>
        <v>0</v>
      </c>
      <c r="AL38" s="280">
        <f>+IFERROR(INDEX(Assumptions!$F$5:$F$16, MATCH(AL37, Assumptions!$D$5:$D$16, 0))*$C$39, 0)</f>
        <v>0</v>
      </c>
      <c r="AM38" s="280">
        <f>+IFERROR(INDEX(Assumptions!$F$5:$F$16, MATCH(AM37, Assumptions!$D$5:$D$16, 0))*$C$39, 0)</f>
        <v>0</v>
      </c>
      <c r="AN38" s="280">
        <f>+IFERROR(INDEX(Assumptions!$F$5:$F$16, MATCH(AN37, Assumptions!$D$5:$D$16, 0))*$C$39, 0)</f>
        <v>0</v>
      </c>
      <c r="AO38" s="280">
        <f>+IFERROR(INDEX(Assumptions!$F$5:$F$16, MATCH(AO37, Assumptions!$D$5:$D$16, 0))*$C$39, 0)</f>
        <v>0</v>
      </c>
      <c r="AP38" s="280">
        <f>+IFERROR(INDEX(Assumptions!$F$5:$F$16, MATCH(AP37, Assumptions!$D$5:$D$16, 0))*$C$39, 0)</f>
        <v>0</v>
      </c>
      <c r="AQ38" s="280">
        <f>+IFERROR(INDEX(Assumptions!$F$5:$F$16, MATCH(AQ37, Assumptions!$D$5:$D$16, 0))*$C$39, 0)</f>
        <v>0</v>
      </c>
      <c r="AR38" s="280">
        <f>+IFERROR(INDEX(Assumptions!$F$5:$F$16, MATCH(AR37, Assumptions!$D$5:$D$16, 0))*$C$39, 0)</f>
        <v>0</v>
      </c>
      <c r="AS38" s="280">
        <f>+IFERROR(INDEX(Assumptions!$F$5:$F$16, MATCH(AS37, Assumptions!$D$5:$D$16, 0))*$C$39, 0)</f>
        <v>0</v>
      </c>
      <c r="AT38" s="280">
        <f>+IFERROR(INDEX(Assumptions!$F$5:$F$16, MATCH(AT37, Assumptions!$D$5:$D$16, 0))*$C$39, 0)</f>
        <v>0</v>
      </c>
      <c r="AU38" s="280">
        <f>+IFERROR(INDEX(Assumptions!$F$5:$F$16, MATCH(AU37, Assumptions!$D$5:$D$16, 0))*$C$39, 0)</f>
        <v>0</v>
      </c>
      <c r="AV38" s="280">
        <f>+IFERROR(INDEX(Assumptions!$F$5:$F$16, MATCH(AV37, Assumptions!$D$5:$D$16, 0))*$C$39, 0)</f>
        <v>0</v>
      </c>
      <c r="AW38" s="280">
        <f>+IFERROR(INDEX(Assumptions!$F$5:$F$16, MATCH(AW37, Assumptions!$D$5:$D$16, 0))*$C$39, 0)</f>
        <v>0</v>
      </c>
      <c r="AX38" s="280">
        <f>+IFERROR(INDEX(Assumptions!$F$5:$F$16, MATCH(AX37, Assumptions!$D$5:$D$16, 0))*$C$39, 0)</f>
        <v>0</v>
      </c>
      <c r="AY38" s="280">
        <f>+IFERROR(INDEX(Assumptions!$F$5:$F$16, MATCH(AY37, Assumptions!$D$5:$D$16, 0))*$C$39, 0)</f>
        <v>0</v>
      </c>
      <c r="AZ38" s="280">
        <f>+IFERROR(INDEX(Assumptions!$F$5:$F$16, MATCH(AZ37, Assumptions!$D$5:$D$16, 0))*$C$39, 0)</f>
        <v>0</v>
      </c>
      <c r="BA38" s="280">
        <f>+IFERROR(INDEX(Assumptions!$F$5:$F$16, MATCH(BA37, Assumptions!$D$5:$D$16, 0))*$C$39, 0)</f>
        <v>0</v>
      </c>
      <c r="BB38" s="280">
        <f>+IFERROR(INDEX(Assumptions!$F$5:$F$16, MATCH(BB37, Assumptions!$D$5:$D$16, 0))*$C$39, 0)</f>
        <v>0</v>
      </c>
      <c r="BC38" s="280">
        <f>+IFERROR(INDEX(Assumptions!$F$5:$F$16, MATCH(BC37, Assumptions!$D$5:$D$16, 0))*$C$39, 0)</f>
        <v>0</v>
      </c>
      <c r="BD38" s="280">
        <f>+IFERROR(INDEX(Assumptions!$F$5:$F$16, MATCH(BD37, Assumptions!$D$5:$D$16, 0))*$C$39, 0)</f>
        <v>0</v>
      </c>
      <c r="BE38" s="280">
        <f>+IFERROR(INDEX(Assumptions!$F$5:$F$16, MATCH(BE37, Assumptions!$D$5:$D$16, 0))*$C$39, 0)</f>
        <v>0</v>
      </c>
      <c r="BF38" s="280">
        <f>+IFERROR(INDEX(Assumptions!$F$5:$F$16, MATCH(BF37, Assumptions!$D$5:$D$16, 0))*$C$39, 0)</f>
        <v>17779.570852550296</v>
      </c>
      <c r="BG38" s="280">
        <f>+IFERROR(INDEX(Assumptions!$F$5:$F$16, MATCH(BG37, Assumptions!$D$5:$D$16, 0))*$C$39, 0)</f>
        <v>2542.9286151675819</v>
      </c>
      <c r="BH38" s="280">
        <f>+IFERROR(INDEX(Assumptions!$F$5:$F$16, MATCH(BH37, Assumptions!$D$5:$D$16, 0))*$C$39, 0)</f>
        <v>105386.13015041039</v>
      </c>
      <c r="BI38" s="280">
        <f>+IFERROR(INDEX(Assumptions!$F$5:$F$16, MATCH(BI37, Assumptions!$D$5:$D$16, 0))*$C$39, 0)</f>
        <v>9513.0645551614889</v>
      </c>
      <c r="BJ38" s="280">
        <f>+IFERROR(INDEX(Assumptions!$F$5:$F$16, MATCH(BJ37, Assumptions!$D$5:$D$16, 0))*$C$39, 0)</f>
        <v>430360.42505662836</v>
      </c>
      <c r="BK38" s="280">
        <f>+IFERROR(INDEX(Assumptions!$F$5:$F$16, MATCH(BK37, Assumptions!$D$5:$D$16, 0))*$C$39, 0)</f>
        <v>771782.02644503873</v>
      </c>
      <c r="BL38" s="280">
        <f>+IFERROR(INDEX(Assumptions!$F$5:$F$16, MATCH(BL37, Assumptions!$D$5:$D$16, 0))*$C$39, 0)</f>
        <v>520040.09905945871</v>
      </c>
      <c r="BM38" s="280">
        <f>+IFERROR(INDEX(Assumptions!$F$5:$F$16, MATCH(BM37, Assumptions!$D$5:$D$16, 0))*$C$39, 0)</f>
        <v>343161.3098971697</v>
      </c>
      <c r="BN38" s="280">
        <f>+IFERROR(INDEX(Assumptions!$F$5:$F$16, MATCH(BN37, Assumptions!$D$5:$D$16, 0))*$C$39, 0)</f>
        <v>71844.221509107258</v>
      </c>
      <c r="BO38" s="280">
        <f>+IFERROR(INDEX(Assumptions!$F$5:$F$16, MATCH(BO37, Assumptions!$D$5:$D$16, 0))*$C$39, 0)</f>
        <v>550183.48302149517</v>
      </c>
      <c r="BP38" s="280">
        <f>+IFERROR(INDEX(Assumptions!$F$5:$F$16, MATCH(BP37, Assumptions!$D$5:$D$16, 0))*$C$39, 0)</f>
        <v>127406.74083781241</v>
      </c>
      <c r="BQ38" s="280">
        <f>+IFERROR(INDEX(Assumptions!$F$5:$F$16, MATCH(BQ37, Assumptions!$D$5:$D$16, 0))*$C$39, 0)</f>
        <v>0</v>
      </c>
      <c r="BR38" s="280">
        <f>+IFERROR(INDEX(Assumptions!$F$5:$F$16, MATCH(BR37, Assumptions!$D$5:$D$16, 0))*$C$39, 0)</f>
        <v>0</v>
      </c>
      <c r="BS38" s="280">
        <f>+IFERROR(INDEX(Assumptions!$F$5:$F$16, MATCH(BS37, Assumptions!$D$5:$D$16, 0))*$C$39, 0)</f>
        <v>0</v>
      </c>
      <c r="BT38" s="280">
        <f>+IFERROR(INDEX(Assumptions!$F$5:$F$16, MATCH(BT37, Assumptions!$D$5:$D$16, 0))*$C$39, 0)</f>
        <v>0</v>
      </c>
      <c r="BU38" s="280">
        <f>+IFERROR(INDEX(Assumptions!$F$5:$F$16, MATCH(BU37, Assumptions!$D$5:$D$16, 0))*$C$39, 0)</f>
        <v>0</v>
      </c>
      <c r="BV38" s="280">
        <f>+IFERROR(INDEX(Assumptions!$F$5:$F$16, MATCH(BV37, Assumptions!$D$5:$D$16, 0))*$C$39, 0)</f>
        <v>0</v>
      </c>
      <c r="BW38" s="280">
        <f>+IFERROR(INDEX(Assumptions!$F$5:$F$16, MATCH(BW37, Assumptions!$D$5:$D$16, 0))*$C$39, 0)</f>
        <v>0</v>
      </c>
      <c r="BX38" s="280">
        <f>+IFERROR(INDEX(Assumptions!$F$5:$F$16, MATCH(BX37, Assumptions!$D$5:$D$16, 0))*$C$39, 0)</f>
        <v>0</v>
      </c>
      <c r="BY38" s="280">
        <f>+IFERROR(INDEX(Assumptions!$F$5:$F$16, MATCH(BY37, Assumptions!$D$5:$D$16, 0))*$C$39, 0)</f>
        <v>0</v>
      </c>
      <c r="BZ38" s="280">
        <f>+IFERROR(INDEX(Assumptions!$F$5:$F$16, MATCH(BZ37, Assumptions!$D$5:$D$16, 0))*$C$39, 0)</f>
        <v>0</v>
      </c>
      <c r="CA38" s="280">
        <f>+IFERROR(INDEX(Assumptions!$F$5:$F$16, MATCH(CA37, Assumptions!$D$5:$D$16, 0))*$C$39, 0)</f>
        <v>0</v>
      </c>
      <c r="CB38" s="280">
        <f>+IFERROR(INDEX(Assumptions!$F$5:$F$16, MATCH(CB37, Assumptions!$D$5:$D$16, 0))*$C$39, 0)</f>
        <v>0</v>
      </c>
      <c r="CC38" s="280">
        <f>+IFERROR(INDEX(Assumptions!$F$5:$F$16, MATCH(CC37, Assumptions!$D$5:$D$16, 0))*$C$39, 0)</f>
        <v>0</v>
      </c>
      <c r="CD38" s="280">
        <f>+IFERROR(INDEX(Assumptions!$F$5:$F$16, MATCH(CD37, Assumptions!$D$5:$D$16, 0))*$C$39, 0)</f>
        <v>0</v>
      </c>
      <c r="CE38" s="280">
        <f>+IFERROR(INDEX(Assumptions!$F$5:$F$16, MATCH(CE37, Assumptions!$D$5:$D$16, 0))*$C$39, 0)</f>
        <v>0</v>
      </c>
      <c r="CF38" s="280">
        <f>+IFERROR(INDEX(Assumptions!$F$5:$F$16, MATCH(CF37, Assumptions!$D$5:$D$16, 0))*$C$39, 0)</f>
        <v>0</v>
      </c>
      <c r="CG38" s="280">
        <f>+IFERROR(INDEX(Assumptions!$F$5:$F$16, MATCH(CG37, Assumptions!$D$5:$D$16, 0))*$C$39, 0)</f>
        <v>0</v>
      </c>
      <c r="CH38" s="280">
        <f>+IFERROR(INDEX(Assumptions!$F$5:$F$16, MATCH(CH37, Assumptions!$D$5:$D$16, 0))*$C$39, 0)</f>
        <v>0</v>
      </c>
      <c r="CI38" s="280">
        <f>+IFERROR(INDEX(Assumptions!$F$5:$F$16, MATCH(CI37, Assumptions!$D$5:$D$16, 0))*$C$39, 0)</f>
        <v>0</v>
      </c>
      <c r="CJ38" s="280">
        <f>+IFERROR(INDEX(Assumptions!$F$5:$F$16, MATCH(CJ37, Assumptions!$D$5:$D$16, 0))*$C$39, 0)</f>
        <v>0</v>
      </c>
      <c r="CK38" s="280">
        <f>+IFERROR(INDEX(Assumptions!$F$5:$F$16, MATCH(CK37, Assumptions!$D$5:$D$16, 0))*$C$39, 0)</f>
        <v>0</v>
      </c>
      <c r="CL38" s="280">
        <f>+IFERROR(INDEX(Assumptions!$F$5:$F$16, MATCH(CL37, Assumptions!$D$5:$D$16, 0))*$C$39, 0)</f>
        <v>0</v>
      </c>
      <c r="CM38" s="280">
        <f>+IFERROR(INDEX(Assumptions!$F$5:$F$16, MATCH(CM37, Assumptions!$D$5:$D$16, 0))*$C$39, 0)</f>
        <v>0</v>
      </c>
      <c r="CN38" s="280">
        <f>+IFERROR(INDEX(Assumptions!$F$5:$F$16, MATCH(CN37, Assumptions!$D$5:$D$16, 0))*$C$39, 0)</f>
        <v>0</v>
      </c>
      <c r="CO38" s="280">
        <f>+IFERROR(INDEX(Assumptions!$F$5:$F$16, MATCH(CO37, Assumptions!$D$5:$D$16, 0))*$C$39, 0)</f>
        <v>0</v>
      </c>
      <c r="CP38" s="280">
        <f>+IFERROR(INDEX(Assumptions!$F$5:$F$16, MATCH(CP37, Assumptions!$D$5:$D$16, 0))*$C$39, 0)</f>
        <v>0</v>
      </c>
      <c r="CQ38" s="280">
        <f>+IFERROR(INDEX(Assumptions!$F$5:$F$16, MATCH(CQ37, Assumptions!$D$5:$D$16, 0))*$C$39, 0)</f>
        <v>0</v>
      </c>
      <c r="CR38" s="280">
        <f>+IFERROR(INDEX(Assumptions!$F$5:$F$16, MATCH(CR37, Assumptions!$D$5:$D$16, 0))*$C$39, 0)</f>
        <v>0</v>
      </c>
      <c r="CS38" s="280">
        <f>+IFERROR(INDEX(Assumptions!$F$5:$F$16, MATCH(CS37, Assumptions!$D$5:$D$16, 0))*$C$39, 0)</f>
        <v>0</v>
      </c>
      <c r="CT38" s="280">
        <f>+IFERROR(INDEX(Assumptions!$F$5:$F$16, MATCH(CT37, Assumptions!$D$5:$D$16, 0))*$C$39, 0)</f>
        <v>0</v>
      </c>
      <c r="CU38" s="280">
        <f>+IFERROR(INDEX(Assumptions!$F$5:$F$16, MATCH(CU37, Assumptions!$D$5:$D$16, 0))*$C$39, 0)</f>
        <v>0</v>
      </c>
      <c r="CV38" s="280">
        <f>+IFERROR(INDEX(Assumptions!$F$5:$F$16, MATCH(CV37, Assumptions!$D$5:$D$16, 0))*$C$39, 0)</f>
        <v>0</v>
      </c>
      <c r="CW38" s="280">
        <f>+IFERROR(INDEX(Assumptions!$F$5:$F$16, MATCH(CW37, Assumptions!$D$5:$D$16, 0))*$C$39, 0)</f>
        <v>0</v>
      </c>
      <c r="CX38" s="280">
        <f>+IFERROR(INDEX(Assumptions!$F$5:$F$16, MATCH(CX37, Assumptions!$D$5:$D$16, 0))*$C$39, 0)</f>
        <v>0</v>
      </c>
      <c r="CY38" s="280">
        <f>+IFERROR(INDEX(Assumptions!$F$5:$F$16, MATCH(CY37, Assumptions!$D$5:$D$16, 0))*$C$39, 0)</f>
        <v>0</v>
      </c>
      <c r="CZ38" s="280">
        <f>+IFERROR(INDEX(Assumptions!$F$5:$F$16, MATCH(CZ37, Assumptions!$D$5:$D$16, 0))*$C$39, 0)</f>
        <v>0</v>
      </c>
      <c r="DA38" s="280">
        <f>+IFERROR(INDEX(Assumptions!$F$5:$F$16, MATCH(DA37, Assumptions!$D$5:$D$16, 0))*$C$39, 0)</f>
        <v>0</v>
      </c>
      <c r="DB38" s="280">
        <f>+IFERROR(INDEX(Assumptions!$F$5:$F$16, MATCH(DB37, Assumptions!$D$5:$D$16, 0))*$C$39, 0)</f>
        <v>0</v>
      </c>
      <c r="DC38" s="280">
        <f>+IFERROR(INDEX(Assumptions!$F$5:$F$16, MATCH(DC37, Assumptions!$D$5:$D$16, 0))*$C$39, 0)</f>
        <v>0</v>
      </c>
      <c r="DD38" s="280">
        <f>+IFERROR(INDEX(Assumptions!$F$5:$F$16, MATCH(DD37, Assumptions!$D$5:$D$16, 0))*$C$39, 0)</f>
        <v>0</v>
      </c>
      <c r="DE38" s="280">
        <f>+IFERROR(INDEX(Assumptions!$F$5:$F$16, MATCH(DE37, Assumptions!$D$5:$D$16, 0))*$C$39, 0)</f>
        <v>0</v>
      </c>
      <c r="DF38" s="280">
        <f>+IFERROR(INDEX(Assumptions!$F$5:$F$16, MATCH(DF37, Assumptions!$D$5:$D$16, 0))*$C$39, 0)</f>
        <v>0</v>
      </c>
      <c r="DG38" s="280">
        <f>+IFERROR(INDEX(Assumptions!$F$5:$F$16, MATCH(DG37, Assumptions!$D$5:$D$16, 0))*$C$39, 0)</f>
        <v>0</v>
      </c>
      <c r="DH38" s="280">
        <f>+IFERROR(INDEX(Assumptions!$F$5:$F$16, MATCH(DH37, Assumptions!$D$5:$D$16, 0))*$C$39, 0)</f>
        <v>0</v>
      </c>
    </row>
    <row r="39" spans="2:112" x14ac:dyDescent="0.3">
      <c r="B39" t="s">
        <v>242</v>
      </c>
      <c r="C39" s="208">
        <v>2950000</v>
      </c>
      <c r="D39" t="s">
        <v>294</v>
      </c>
      <c r="E39" s="459"/>
      <c r="F39" s="459">
        <f t="shared" ref="F39" si="724">+F38+E39</f>
        <v>0</v>
      </c>
      <c r="G39" s="459">
        <f t="shared" ref="G39" si="725">+G38+F39</f>
        <v>0</v>
      </c>
      <c r="H39" s="459">
        <f t="shared" ref="H39" si="726">+H38+G39</f>
        <v>0</v>
      </c>
      <c r="I39" s="459">
        <f t="shared" ref="I39" si="727">+I38+H39</f>
        <v>0</v>
      </c>
      <c r="J39" s="459">
        <f t="shared" ref="J39" si="728">+J38+I39</f>
        <v>0</v>
      </c>
      <c r="K39" s="459">
        <f t="shared" ref="K39" si="729">+K38+J39</f>
        <v>0</v>
      </c>
      <c r="L39" s="459">
        <f t="shared" ref="L39" si="730">+L38+K39</f>
        <v>0</v>
      </c>
      <c r="M39" s="459">
        <f t="shared" ref="M39" si="731">+M38+L39</f>
        <v>0</v>
      </c>
      <c r="N39" s="459">
        <f t="shared" ref="N39" si="732">+N38+M39</f>
        <v>0</v>
      </c>
      <c r="O39" s="459">
        <f t="shared" ref="O39" si="733">+O38+N39</f>
        <v>0</v>
      </c>
      <c r="P39" s="459">
        <f t="shared" ref="P39" si="734">+P38+O39</f>
        <v>0</v>
      </c>
      <c r="Q39" s="459">
        <f t="shared" ref="Q39" si="735">+Q38+P39</f>
        <v>0</v>
      </c>
      <c r="R39" s="459">
        <f t="shared" ref="R39" si="736">+R38+Q39</f>
        <v>0</v>
      </c>
      <c r="S39" s="459">
        <f t="shared" ref="S39" si="737">+S38+R39</f>
        <v>0</v>
      </c>
      <c r="T39" s="459">
        <f t="shared" ref="T39" si="738">+T38+S39</f>
        <v>0</v>
      </c>
      <c r="U39" s="459">
        <f t="shared" ref="U39" si="739">+U38+T39</f>
        <v>0</v>
      </c>
      <c r="V39" s="535">
        <f t="shared" ref="V39" si="740">+V38+U39</f>
        <v>0</v>
      </c>
      <c r="W39" s="147">
        <f t="shared" ref="W39" si="741">+W38+V39</f>
        <v>0</v>
      </c>
      <c r="X39" s="147">
        <f t="shared" ref="X39" si="742">+X38+W39</f>
        <v>0</v>
      </c>
      <c r="Y39" s="347">
        <f t="shared" ref="Y39" si="743">+Y38+X39</f>
        <v>0</v>
      </c>
      <c r="Z39" s="280">
        <f t="shared" ref="Z39" si="744">+Z38+Y39</f>
        <v>0</v>
      </c>
      <c r="AA39" s="280">
        <f t="shared" ref="AA39" si="745">+AA38+Z39</f>
        <v>0</v>
      </c>
      <c r="AB39" s="280">
        <f t="shared" ref="AB39" si="746">+AB38+AA39</f>
        <v>0</v>
      </c>
      <c r="AC39" s="280">
        <f t="shared" ref="AC39" si="747">+AC38+AB39</f>
        <v>0</v>
      </c>
      <c r="AD39" s="280">
        <f t="shared" ref="AD39" si="748">+AD38+AC39</f>
        <v>0</v>
      </c>
      <c r="AE39" s="280">
        <f t="shared" ref="AE39" si="749">+AE38+AD39</f>
        <v>0</v>
      </c>
      <c r="AF39" s="280">
        <f t="shared" ref="AF39" si="750">+AF38+AE39</f>
        <v>0</v>
      </c>
      <c r="AG39" s="280">
        <f t="shared" ref="AG39" si="751">+AG38+AF39</f>
        <v>0</v>
      </c>
      <c r="AH39" s="280">
        <f t="shared" ref="AH39" si="752">+AH38+AG39</f>
        <v>0</v>
      </c>
      <c r="AI39" s="280">
        <f t="shared" ref="AI39" si="753">+AI38+AH39</f>
        <v>0</v>
      </c>
      <c r="AJ39" s="280">
        <f t="shared" ref="AJ39" si="754">+AJ38+AI39</f>
        <v>0</v>
      </c>
      <c r="AK39" s="280">
        <f t="shared" ref="AK39" si="755">+AK38+AJ39</f>
        <v>0</v>
      </c>
      <c r="AL39" s="280">
        <f t="shared" ref="AL39" si="756">+AL38+AK39</f>
        <v>0</v>
      </c>
      <c r="AM39" s="280">
        <f t="shared" ref="AM39" si="757">+AM38+AL39</f>
        <v>0</v>
      </c>
      <c r="AN39" s="280">
        <f t="shared" ref="AN39" si="758">+AN38+AM39</f>
        <v>0</v>
      </c>
      <c r="AO39" s="280">
        <f t="shared" ref="AO39" si="759">+AO38+AN39</f>
        <v>0</v>
      </c>
      <c r="AP39" s="280">
        <f t="shared" ref="AP39" si="760">+AP38+AO39</f>
        <v>0</v>
      </c>
      <c r="AQ39" s="280">
        <f t="shared" ref="AQ39" si="761">+AQ38+AP39</f>
        <v>0</v>
      </c>
      <c r="AR39" s="280">
        <f t="shared" ref="AR39" si="762">+AR38+AQ39</f>
        <v>0</v>
      </c>
      <c r="AS39" s="280">
        <f t="shared" ref="AS39" si="763">+AS38+AR39</f>
        <v>0</v>
      </c>
      <c r="AT39" s="280">
        <f t="shared" ref="AT39" si="764">+AT38+AS39</f>
        <v>0</v>
      </c>
      <c r="AU39" s="280">
        <f t="shared" ref="AU39" si="765">+AU38+AT39</f>
        <v>0</v>
      </c>
      <c r="AV39" s="280">
        <f t="shared" ref="AV39" si="766">+AV38+AU39</f>
        <v>0</v>
      </c>
      <c r="AW39" s="280">
        <f t="shared" ref="AW39" si="767">+AW38+AV39</f>
        <v>0</v>
      </c>
      <c r="AX39" s="280">
        <f t="shared" ref="AX39" si="768">+AX38+AW39</f>
        <v>0</v>
      </c>
      <c r="AY39" s="280">
        <f t="shared" ref="AY39" si="769">+AY38+AX39</f>
        <v>0</v>
      </c>
      <c r="AZ39" s="280">
        <f t="shared" ref="AZ39" si="770">+AZ38+AY39</f>
        <v>0</v>
      </c>
      <c r="BA39" s="280">
        <f t="shared" ref="BA39" si="771">+BA38+AZ39</f>
        <v>0</v>
      </c>
      <c r="BB39" s="280">
        <f t="shared" ref="BB39" si="772">+BB38+BA39</f>
        <v>0</v>
      </c>
      <c r="BC39" s="280">
        <f t="shared" ref="BC39" si="773">+BC38+BB39</f>
        <v>0</v>
      </c>
      <c r="BD39" s="280">
        <f t="shared" ref="BD39" si="774">+BD38+BC39</f>
        <v>0</v>
      </c>
      <c r="BE39" s="280">
        <f t="shared" ref="BE39" si="775">+BE38+BD39</f>
        <v>0</v>
      </c>
      <c r="BF39" s="280">
        <f t="shared" ref="BF39" si="776">+BF38+BE39</f>
        <v>17779.570852550296</v>
      </c>
      <c r="BG39" s="280">
        <f t="shared" ref="BG39" si="777">+BG38+BF39</f>
        <v>20322.499467717877</v>
      </c>
      <c r="BH39" s="280">
        <f t="shared" ref="BH39" si="778">+BH38+BG39</f>
        <v>125708.62961812827</v>
      </c>
      <c r="BI39" s="280">
        <f t="shared" ref="BI39" si="779">+BI38+BH39</f>
        <v>135221.69417328975</v>
      </c>
      <c r="BJ39" s="280">
        <f t="shared" ref="BJ39" si="780">+BJ38+BI39</f>
        <v>565582.11922991811</v>
      </c>
      <c r="BK39" s="280">
        <f t="shared" ref="BK39" si="781">+BK38+BJ39</f>
        <v>1337364.145674957</v>
      </c>
      <c r="BL39" s="280">
        <f t="shared" ref="BL39" si="782">+BL38+BK39</f>
        <v>1857404.2447344158</v>
      </c>
      <c r="BM39" s="280">
        <f t="shared" ref="BM39" si="783">+BM38+BL39</f>
        <v>2200565.5546315853</v>
      </c>
      <c r="BN39" s="280">
        <f t="shared" ref="BN39" si="784">+BN38+BM39</f>
        <v>2272409.7761406926</v>
      </c>
      <c r="BO39" s="280">
        <f t="shared" ref="BO39" si="785">+BO38+BN39</f>
        <v>2822593.2591621876</v>
      </c>
      <c r="BP39" s="280">
        <f t="shared" ref="BP39" si="786">+BP38+BO39</f>
        <v>2950000</v>
      </c>
      <c r="BQ39" s="280">
        <f t="shared" ref="BQ39" si="787">+BQ38+BP39</f>
        <v>2950000</v>
      </c>
      <c r="BR39" s="280">
        <f t="shared" ref="BR39" si="788">+BR38+BQ39</f>
        <v>2950000</v>
      </c>
      <c r="BS39" s="280">
        <f t="shared" ref="BS39" si="789">+BS38+BR39</f>
        <v>2950000</v>
      </c>
      <c r="BT39" s="280">
        <f t="shared" ref="BT39" si="790">+BT38+BS39</f>
        <v>2950000</v>
      </c>
      <c r="BU39" s="280">
        <f t="shared" ref="BU39" si="791">+BU38+BT39</f>
        <v>2950000</v>
      </c>
      <c r="BV39" s="280">
        <f t="shared" ref="BV39" si="792">+BV38+BU39</f>
        <v>2950000</v>
      </c>
      <c r="BW39" s="280">
        <f t="shared" ref="BW39" si="793">+BW38+BV39</f>
        <v>2950000</v>
      </c>
      <c r="BX39" s="280">
        <f t="shared" ref="BX39" si="794">+BX38+BW39</f>
        <v>2950000</v>
      </c>
      <c r="BY39" s="280">
        <f t="shared" ref="BY39" si="795">+BY38+BX39</f>
        <v>2950000</v>
      </c>
      <c r="BZ39" s="280">
        <f t="shared" ref="BZ39" si="796">+BZ38+BY39</f>
        <v>2950000</v>
      </c>
      <c r="CA39" s="280">
        <f t="shared" ref="CA39" si="797">+CA38+BZ39</f>
        <v>2950000</v>
      </c>
      <c r="CB39" s="280">
        <f t="shared" ref="CB39" si="798">+CB38+CA39</f>
        <v>2950000</v>
      </c>
      <c r="CC39" s="280">
        <f t="shared" ref="CC39" si="799">+CC38+CB39</f>
        <v>2950000</v>
      </c>
      <c r="CD39" s="280">
        <f t="shared" ref="CD39" si="800">+CD38+CC39</f>
        <v>2950000</v>
      </c>
      <c r="CE39" s="280">
        <f t="shared" ref="CE39" si="801">+CE38+CD39</f>
        <v>2950000</v>
      </c>
      <c r="CF39" s="280">
        <f t="shared" ref="CF39" si="802">+CF38+CE39</f>
        <v>2950000</v>
      </c>
      <c r="CG39" s="280">
        <f t="shared" ref="CG39" si="803">+CG38+CF39</f>
        <v>2950000</v>
      </c>
      <c r="CH39" s="280">
        <f t="shared" ref="CH39" si="804">+CH38+CG39</f>
        <v>2950000</v>
      </c>
      <c r="CI39" s="280">
        <f t="shared" ref="CI39" si="805">+CI38+CH39</f>
        <v>2950000</v>
      </c>
      <c r="CJ39" s="280">
        <f t="shared" ref="CJ39" si="806">+CJ38+CI39</f>
        <v>2950000</v>
      </c>
      <c r="CK39" s="280">
        <f t="shared" ref="CK39" si="807">+CK38+CJ39</f>
        <v>2950000</v>
      </c>
      <c r="CL39" s="280">
        <f t="shared" ref="CL39" si="808">+CL38+CK39</f>
        <v>2950000</v>
      </c>
      <c r="CM39" s="280">
        <f t="shared" ref="CM39" si="809">+CM38+CL39</f>
        <v>2950000</v>
      </c>
      <c r="CN39" s="280">
        <f t="shared" ref="CN39" si="810">+CN38+CM39</f>
        <v>2950000</v>
      </c>
      <c r="CO39" s="280">
        <f t="shared" ref="CO39" si="811">+CO38+CN39</f>
        <v>2950000</v>
      </c>
      <c r="CP39" s="280">
        <f t="shared" ref="CP39" si="812">+CP38+CO39</f>
        <v>2950000</v>
      </c>
      <c r="CQ39" s="280">
        <f t="shared" ref="CQ39" si="813">+CQ38+CP39</f>
        <v>2950000</v>
      </c>
      <c r="CR39" s="280">
        <f t="shared" ref="CR39" si="814">+CR38+CQ39</f>
        <v>2950000</v>
      </c>
      <c r="CS39" s="280">
        <f t="shared" ref="CS39" si="815">+CS38+CR39</f>
        <v>2950000</v>
      </c>
      <c r="CT39" s="280">
        <f t="shared" ref="CT39" si="816">+CT38+CS39</f>
        <v>2950000</v>
      </c>
      <c r="CU39" s="280">
        <f t="shared" ref="CU39" si="817">+CU38+CT39</f>
        <v>2950000</v>
      </c>
      <c r="CV39" s="280">
        <f t="shared" ref="CV39" si="818">+CV38+CU39</f>
        <v>2950000</v>
      </c>
      <c r="CW39" s="280">
        <f t="shared" ref="CW39" si="819">+CW38+CV39</f>
        <v>2950000</v>
      </c>
      <c r="CX39" s="280">
        <f t="shared" ref="CX39" si="820">+CX38+CW39</f>
        <v>2950000</v>
      </c>
      <c r="CY39" s="280">
        <f t="shared" ref="CY39" si="821">+CY38+CX39</f>
        <v>2950000</v>
      </c>
      <c r="CZ39" s="280">
        <f t="shared" ref="CZ39" si="822">+CZ38+CY39</f>
        <v>2950000</v>
      </c>
      <c r="DA39" s="280">
        <f t="shared" ref="DA39" si="823">+DA38+CZ39</f>
        <v>2950000</v>
      </c>
      <c r="DB39" s="280">
        <f t="shared" ref="DB39" si="824">+DB38+DA39</f>
        <v>2950000</v>
      </c>
      <c r="DC39" s="280">
        <f t="shared" ref="DC39" si="825">+DC38+DB39</f>
        <v>2950000</v>
      </c>
      <c r="DD39" s="280">
        <f t="shared" ref="DD39" si="826">+DD38+DC39</f>
        <v>2950000</v>
      </c>
      <c r="DE39" s="280">
        <f t="shared" ref="DE39" si="827">+DE38+DD39</f>
        <v>2950000</v>
      </c>
      <c r="DF39" s="280">
        <f t="shared" ref="DF39" si="828">+DF38+DE39</f>
        <v>2950000</v>
      </c>
      <c r="DG39" s="280">
        <f t="shared" ref="DG39:DH39" si="829">+DG38+DF39</f>
        <v>2950000</v>
      </c>
      <c r="DH39" s="280">
        <f t="shared" si="829"/>
        <v>2950000</v>
      </c>
    </row>
    <row r="40" spans="2:112" x14ac:dyDescent="0.3">
      <c r="B40" t="s">
        <v>245</v>
      </c>
      <c r="C40" s="208">
        <v>975000</v>
      </c>
      <c r="D40" t="s">
        <v>243</v>
      </c>
      <c r="E40" s="460"/>
      <c r="F40" s="459">
        <f>+IFERROR(INDEX(Assumptions!$E$18:$E$29, MATCH(F37, Assumptions!$D$18:$D$29, 0))*$C$40, 0)</f>
        <v>0</v>
      </c>
      <c r="G40" s="460">
        <f>+IFERROR(INDEX(Assumptions!$E$18:$E$29, MATCH(G37, Assumptions!$D$18:$D$29, 0))*$C$40, 0)</f>
        <v>0</v>
      </c>
      <c r="H40" s="460">
        <f>+IFERROR(INDEX(Assumptions!$E$18:$E$29, MATCH(H37, Assumptions!$D$18:$D$29, 0))*$C$40, 0)</f>
        <v>0</v>
      </c>
      <c r="I40" s="460">
        <f>+IFERROR(INDEX(Assumptions!$E$18:$E$29, MATCH(I37, Assumptions!$D$18:$D$29, 0))*$C$40, 0)</f>
        <v>0</v>
      </c>
      <c r="J40" s="460">
        <f>+IFERROR(INDEX(Assumptions!$E$18:$E$29, MATCH(J37, Assumptions!$D$18:$D$29, 0))*$C$40, 0)</f>
        <v>0</v>
      </c>
      <c r="K40" s="460">
        <f>+IFERROR(INDEX(Assumptions!$E$18:$E$29, MATCH(K37, Assumptions!$D$18:$D$29, 0))*$C$40, 0)</f>
        <v>0</v>
      </c>
      <c r="L40" s="460">
        <f>+IFERROR(INDEX(Assumptions!$E$18:$E$29, MATCH(L37, Assumptions!$D$18:$D$29, 0))*$C$40, 0)</f>
        <v>0</v>
      </c>
      <c r="M40" s="460">
        <f>+IFERROR(INDEX(Assumptions!$E$18:$E$29, MATCH(M37, Assumptions!$D$18:$D$29, 0))*$C$40, 0)</f>
        <v>0</v>
      </c>
      <c r="N40" s="460">
        <f>+IFERROR(INDEX(Assumptions!$E$18:$E$29, MATCH(N37, Assumptions!$D$18:$D$29, 0))*$C$40, 0)</f>
        <v>0</v>
      </c>
      <c r="O40" s="460">
        <f>+IFERROR(INDEX(Assumptions!$E$18:$E$29, MATCH(O37, Assumptions!$D$18:$D$29, 0))*$C$40, 0)</f>
        <v>0</v>
      </c>
      <c r="P40" s="460">
        <f>+IFERROR(INDEX(Assumptions!$E$18:$E$29, MATCH(P37, Assumptions!$D$18:$D$29, 0))*$C$40, 0)</f>
        <v>0</v>
      </c>
      <c r="Q40" s="460">
        <f>+IFERROR(INDEX(Assumptions!$E$18:$E$29, MATCH(Q37, Assumptions!$D$18:$D$29, 0))*$C$40, 0)</f>
        <v>0</v>
      </c>
      <c r="R40" s="460">
        <f>+IFERROR(INDEX(Assumptions!$E$18:$E$29, MATCH(R37, Assumptions!$D$18:$D$29, 0))*$C$40, 0)</f>
        <v>0</v>
      </c>
      <c r="S40" s="460">
        <f>+IFERROR(INDEX(Assumptions!$E$18:$E$29, MATCH(S37, Assumptions!$D$18:$D$29, 0))*$C$40, 0)</f>
        <v>0</v>
      </c>
      <c r="T40" s="460">
        <f>+IFERROR(INDEX(Assumptions!$E$18:$E$29, MATCH(T37, Assumptions!$D$18:$D$29, 0))*$C$40, 0)</f>
        <v>0</v>
      </c>
      <c r="U40" s="459">
        <f>+IFERROR(INDEX(Assumptions!$E$18:$E$29, MATCH(U37, Assumptions!$D$18:$D$29, 0))*$C$40, 0)</f>
        <v>0</v>
      </c>
      <c r="V40" s="535">
        <f>+IFERROR(INDEX(Assumptions!$E$18:$E$29, MATCH(V37, Assumptions!$D$18:$D$29, 0))*$C$40, 0)</f>
        <v>0</v>
      </c>
      <c r="W40" s="147">
        <f>+IFERROR(INDEX(Assumptions!$E$18:$E$29, MATCH(W37, Assumptions!$D$18:$D$29, 0))*$C$40, 0)</f>
        <v>0</v>
      </c>
      <c r="X40" s="147">
        <f>+IFERROR(INDEX(Assumptions!$E$18:$E$29, MATCH(X37, Assumptions!$D$18:$D$29, 0))*$C$40, 0)</f>
        <v>0</v>
      </c>
      <c r="Y40" s="347">
        <f>+IFERROR(INDEX(Assumptions!$E$18:$E$29, MATCH(Y37, Assumptions!$D$18:$D$29, 0))*$C$40, 0)</f>
        <v>0</v>
      </c>
      <c r="Z40" s="280">
        <f>+IFERROR(INDEX(Assumptions!$E$18:$E$29, MATCH(Z37, Assumptions!$D$18:$D$29, 0))*$C$40, 0)</f>
        <v>0</v>
      </c>
      <c r="AA40" s="280">
        <f>+IFERROR(INDEX(Assumptions!$E$18:$E$29, MATCH(AA37, Assumptions!$D$18:$D$29, 0))*$C$40, 0)</f>
        <v>0</v>
      </c>
      <c r="AB40" s="280">
        <f>+IFERROR(INDEX(Assumptions!$E$18:$E$29, MATCH(AB37, Assumptions!$D$18:$D$29, 0))*$C$40, 0)</f>
        <v>0</v>
      </c>
      <c r="AC40" s="280">
        <f>+IFERROR(INDEX(Assumptions!$E$18:$E$29, MATCH(AC37, Assumptions!$D$18:$D$29, 0))*$C$40, 0)</f>
        <v>0</v>
      </c>
      <c r="AD40" s="280">
        <f>+IFERROR(INDEX(Assumptions!$E$18:$E$29, MATCH(AD37, Assumptions!$D$18:$D$29, 0))*$C$40, 0)</f>
        <v>0</v>
      </c>
      <c r="AE40" s="280">
        <f>+IFERROR(INDEX(Assumptions!$E$18:$E$29, MATCH(AE37, Assumptions!$D$18:$D$29, 0))*$C$40, 0)</f>
        <v>0</v>
      </c>
      <c r="AF40" s="280">
        <f>+IFERROR(INDEX(Assumptions!$E$18:$E$29, MATCH(AF37, Assumptions!$D$18:$D$29, 0))*$C$40, 0)</f>
        <v>0</v>
      </c>
      <c r="AG40" s="280">
        <f>+IFERROR(INDEX(Assumptions!$E$18:$E$29, MATCH(AG37, Assumptions!$D$18:$D$29, 0))*$C$40, 0)</f>
        <v>0</v>
      </c>
      <c r="AH40" s="280">
        <f>+IFERROR(INDEX(Assumptions!$E$18:$E$29, MATCH(AH37, Assumptions!$D$18:$D$29, 0))*$C$40, 0)</f>
        <v>0</v>
      </c>
      <c r="AI40" s="280">
        <f>+IFERROR(INDEX(Assumptions!$E$18:$E$29, MATCH(AI37, Assumptions!$D$18:$D$29, 0))*$C$40, 0)</f>
        <v>0</v>
      </c>
      <c r="AJ40" s="280">
        <f>+IFERROR(INDEX(Assumptions!$E$18:$E$29, MATCH(AJ37, Assumptions!$D$18:$D$29, 0))*$C$40, 0)</f>
        <v>0</v>
      </c>
      <c r="AK40" s="280">
        <f>+IFERROR(INDEX(Assumptions!$E$18:$E$29, MATCH(AK37, Assumptions!$D$18:$D$29, 0))*$C$40, 0)</f>
        <v>0</v>
      </c>
      <c r="AL40" s="280">
        <f>+IFERROR(INDEX(Assumptions!$E$18:$E$29, MATCH(AL37, Assumptions!$D$18:$D$29, 0))*$C$40, 0)</f>
        <v>0</v>
      </c>
      <c r="AM40" s="280">
        <f>+IFERROR(INDEX(Assumptions!$E$18:$E$29, MATCH(AM37, Assumptions!$D$18:$D$29, 0))*$C$40, 0)</f>
        <v>0</v>
      </c>
      <c r="AN40" s="280">
        <f>+IFERROR(INDEX(Assumptions!$E$18:$E$29, MATCH(AN37, Assumptions!$D$18:$D$29, 0))*$C$40, 0)</f>
        <v>0</v>
      </c>
      <c r="AO40" s="280">
        <f>+IFERROR(INDEX(Assumptions!$E$18:$E$29, MATCH(AO37, Assumptions!$D$18:$D$29, 0))*$C$40, 0)</f>
        <v>0</v>
      </c>
      <c r="AP40" s="280">
        <f>+IFERROR(INDEX(Assumptions!$E$18:$E$29, MATCH(AP37, Assumptions!$D$18:$D$29, 0))*$C$40, 0)</f>
        <v>0</v>
      </c>
      <c r="AQ40" s="280">
        <f>+IFERROR(INDEX(Assumptions!$E$18:$E$29, MATCH(AQ37, Assumptions!$D$18:$D$29, 0))*$C$40, 0)</f>
        <v>0</v>
      </c>
      <c r="AR40" s="280">
        <f>+IFERROR(INDEX(Assumptions!$E$18:$E$29, MATCH(AR37, Assumptions!$D$18:$D$29, 0))*$C$40, 0)</f>
        <v>0</v>
      </c>
      <c r="AS40" s="280">
        <f>+IFERROR(INDEX(Assumptions!$E$18:$E$29, MATCH(AS37, Assumptions!$D$18:$D$29, 0))*$C$40, 0)</f>
        <v>0</v>
      </c>
      <c r="AT40" s="280">
        <f>+IFERROR(INDEX(Assumptions!$E$18:$E$29, MATCH(AT37, Assumptions!$D$18:$D$29, 0))*$C$40, 0)</f>
        <v>0</v>
      </c>
      <c r="AU40" s="280">
        <f>+IFERROR(INDEX(Assumptions!$E$18:$E$29, MATCH(AU37, Assumptions!$D$18:$D$29, 0))*$C$40, 0)</f>
        <v>0</v>
      </c>
      <c r="AV40" s="280">
        <f>+IFERROR(INDEX(Assumptions!$E$18:$E$29, MATCH(AV37, Assumptions!$D$18:$D$29, 0))*$C$40, 0)</f>
        <v>0</v>
      </c>
      <c r="AW40" s="280">
        <f>+IFERROR(INDEX(Assumptions!$E$18:$E$29, MATCH(AW37, Assumptions!$D$18:$D$29, 0))*$C$40, 0)</f>
        <v>0</v>
      </c>
      <c r="AX40" s="280">
        <f>+IFERROR(INDEX(Assumptions!$E$18:$E$29, MATCH(AX37, Assumptions!$D$18:$D$29, 0))*$C$40, 0)</f>
        <v>0</v>
      </c>
      <c r="AY40" s="280">
        <f>+IFERROR(INDEX(Assumptions!$E$18:$E$29, MATCH(AY37, Assumptions!$D$18:$D$29, 0))*$C$40, 0)</f>
        <v>0</v>
      </c>
      <c r="AZ40" s="280">
        <f>+IFERROR(INDEX(Assumptions!$E$18:$E$29, MATCH(AZ37, Assumptions!$D$18:$D$29, 0))*$C$40, 0)</f>
        <v>0</v>
      </c>
      <c r="BA40" s="280">
        <f>+IFERROR(INDEX(Assumptions!$E$18:$E$29, MATCH(BA37, Assumptions!$D$18:$D$29, 0))*$C$40, 0)</f>
        <v>0</v>
      </c>
      <c r="BB40" s="280">
        <f>+IFERROR(INDEX(Assumptions!$E$18:$E$29, MATCH(BB37, Assumptions!$D$18:$D$29, 0))*$C$40, 0)</f>
        <v>0</v>
      </c>
      <c r="BC40" s="280">
        <f>+IFERROR(INDEX(Assumptions!$E$18:$E$29, MATCH(BC37, Assumptions!$D$18:$D$29, 0))*$C$40, 0)</f>
        <v>0</v>
      </c>
      <c r="BD40" s="280">
        <f>+IFERROR(INDEX(Assumptions!$E$18:$E$29, MATCH(BD37, Assumptions!$D$18:$D$29, 0))*$C$40, 0)</f>
        <v>0</v>
      </c>
      <c r="BE40" s="280">
        <f>+IFERROR(INDEX(Assumptions!$E$18:$E$29, MATCH(BE37, Assumptions!$D$18:$D$29, 0))*$C$40, 0)</f>
        <v>0</v>
      </c>
      <c r="BF40" s="280">
        <f>+IFERROR(INDEX(Assumptions!$E$18:$E$29, MATCH(BF37, Assumptions!$D$18:$D$29, 0))*$C$40, 0)</f>
        <v>5876.298841097132</v>
      </c>
      <c r="BG40" s="280">
        <f>+IFERROR(INDEX(Assumptions!$E$18:$E$29, MATCH(BG37, Assumptions!$D$18:$D$29, 0))*$C$40, 0)</f>
        <v>840.4594575553873</v>
      </c>
      <c r="BH40" s="280">
        <f>+IFERROR(INDEX(Assumptions!$E$18:$E$29, MATCH(BH37, Assumptions!$D$18:$D$29, 0))*$C$40, 0)</f>
        <v>34831.009117508518</v>
      </c>
      <c r="BI40" s="280">
        <f>+IFERROR(INDEX(Assumptions!$E$18:$E$29, MATCH(BI37, Assumptions!$D$18:$D$29, 0))*$C$40, 0)</f>
        <v>3144.1484546720176</v>
      </c>
      <c r="BJ40" s="280">
        <f>+IFERROR(INDEX(Assumptions!$E$18:$E$29, MATCH(BJ37, Assumptions!$D$18:$D$29, 0))*$C$40, 0)</f>
        <v>142237.76760346189</v>
      </c>
      <c r="BK40" s="280">
        <f>+IFERROR(INDEX(Assumptions!$E$18:$E$29, MATCH(BK37, Assumptions!$D$18:$D$29, 0))*$C$40, 0)</f>
        <v>255080.50026573314</v>
      </c>
      <c r="BL40" s="280">
        <f>+IFERROR(INDEX(Assumptions!$E$18:$E$29, MATCH(BL37, Assumptions!$D$18:$D$29, 0))*$C$40, 0)</f>
        <v>171877.65985863467</v>
      </c>
      <c r="BM40" s="280">
        <f>+IFERROR(INDEX(Assumptions!$E$18:$E$29, MATCH(BM37, Assumptions!$D$18:$D$29, 0))*$C$40, 0)</f>
        <v>113417.72106770863</v>
      </c>
      <c r="BN40" s="280">
        <f>+IFERROR(INDEX(Assumptions!$E$18:$E$29, MATCH(BN37, Assumptions!$D$18:$D$29, 0))*$C$40, 0)</f>
        <v>23745.124058094774</v>
      </c>
      <c r="BO40" s="280">
        <f>+IFERROR(INDEX(Assumptions!$E$18:$E$29, MATCH(BO37, Assumptions!$D$18:$D$29, 0))*$C$40, 0)</f>
        <v>181840.30371049416</v>
      </c>
      <c r="BP40" s="280">
        <f>+IFERROR(INDEX(Assumptions!$E$18:$E$29, MATCH(BP37, Assumptions!$D$18:$D$29, 0))*$C$40, 0)</f>
        <v>42109.007565039698</v>
      </c>
      <c r="BQ40" s="280">
        <f>+IFERROR(INDEX(Assumptions!$E$18:$E$29, MATCH(BQ37, Assumptions!$D$18:$D$29, 0))*$C$40, 0)</f>
        <v>0</v>
      </c>
      <c r="BR40" s="280">
        <f>+IFERROR(INDEX(Assumptions!$E$18:$E$29, MATCH(BR37, Assumptions!$D$18:$D$29, 0))*$C$40, 0)</f>
        <v>0</v>
      </c>
      <c r="BS40" s="280">
        <f>+IFERROR(INDEX(Assumptions!$E$18:$E$29, MATCH(BS37, Assumptions!$D$18:$D$29, 0))*$C$40, 0)</f>
        <v>0</v>
      </c>
      <c r="BT40" s="280">
        <f>+IFERROR(INDEX(Assumptions!$E$18:$E$29, MATCH(BT37, Assumptions!$D$18:$D$29, 0))*$C$40, 0)</f>
        <v>0</v>
      </c>
      <c r="BU40" s="280">
        <f>+IFERROR(INDEX(Assumptions!$E$18:$E$29, MATCH(BU37, Assumptions!$D$18:$D$29, 0))*$C$40, 0)</f>
        <v>0</v>
      </c>
      <c r="BV40" s="280">
        <f>+IFERROR(INDEX(Assumptions!$E$18:$E$29, MATCH(BV37, Assumptions!$D$18:$D$29, 0))*$C$40, 0)</f>
        <v>0</v>
      </c>
      <c r="BW40" s="280">
        <f>+IFERROR(INDEX(Assumptions!$E$18:$E$29, MATCH(BW37, Assumptions!$D$18:$D$29, 0))*$C$40, 0)</f>
        <v>0</v>
      </c>
      <c r="BX40" s="280">
        <f>+IFERROR(INDEX(Assumptions!$E$18:$E$29, MATCH(BX37, Assumptions!$D$18:$D$29, 0))*$C$40, 0)</f>
        <v>0</v>
      </c>
      <c r="BY40" s="280">
        <f>+IFERROR(INDEX(Assumptions!$E$18:$E$29, MATCH(BY37, Assumptions!$D$18:$D$29, 0))*$C$40, 0)</f>
        <v>0</v>
      </c>
      <c r="BZ40" s="280">
        <f>+IFERROR(INDEX(Assumptions!$E$18:$E$29, MATCH(BZ37, Assumptions!$D$18:$D$29, 0))*$C$40, 0)</f>
        <v>0</v>
      </c>
      <c r="CA40" s="280">
        <f>+IFERROR(INDEX(Assumptions!$E$18:$E$29, MATCH(CA37, Assumptions!$D$18:$D$29, 0))*$C$40, 0)</f>
        <v>0</v>
      </c>
      <c r="CB40" s="280">
        <f>+IFERROR(INDEX(Assumptions!$E$18:$E$29, MATCH(CB37, Assumptions!$D$18:$D$29, 0))*$C$40, 0)</f>
        <v>0</v>
      </c>
      <c r="CC40" s="280">
        <f>+IFERROR(INDEX(Assumptions!$E$18:$E$29, MATCH(CC37, Assumptions!$D$18:$D$29, 0))*$C$40, 0)</f>
        <v>0</v>
      </c>
      <c r="CD40" s="280">
        <f>+IFERROR(INDEX(Assumptions!$E$18:$E$29, MATCH(CD37, Assumptions!$D$18:$D$29, 0))*$C$40, 0)</f>
        <v>0</v>
      </c>
      <c r="CE40" s="280">
        <f>+IFERROR(INDEX(Assumptions!$E$18:$E$29, MATCH(CE37, Assumptions!$D$18:$D$29, 0))*$C$40, 0)</f>
        <v>0</v>
      </c>
      <c r="CF40" s="280">
        <f>+IFERROR(INDEX(Assumptions!$E$18:$E$29, MATCH(CF37, Assumptions!$D$18:$D$29, 0))*$C$40, 0)</f>
        <v>0</v>
      </c>
      <c r="CG40" s="280">
        <f>+IFERROR(INDEX(Assumptions!$E$18:$E$29, MATCH(CG37, Assumptions!$D$18:$D$29, 0))*$C$40, 0)</f>
        <v>0</v>
      </c>
      <c r="CH40" s="280">
        <f>+IFERROR(INDEX(Assumptions!$E$18:$E$29, MATCH(CH37, Assumptions!$D$18:$D$29, 0))*$C$40, 0)</f>
        <v>0</v>
      </c>
      <c r="CI40" s="280">
        <f>+IFERROR(INDEX(Assumptions!$E$18:$E$29, MATCH(CI37, Assumptions!$D$18:$D$29, 0))*$C$40, 0)</f>
        <v>0</v>
      </c>
      <c r="CJ40" s="280">
        <f>+IFERROR(INDEX(Assumptions!$E$18:$E$29, MATCH(CJ37, Assumptions!$D$18:$D$29, 0))*$C$40, 0)</f>
        <v>0</v>
      </c>
      <c r="CK40" s="280">
        <f>+IFERROR(INDEX(Assumptions!$E$18:$E$29, MATCH(CK37, Assumptions!$D$18:$D$29, 0))*$C$40, 0)</f>
        <v>0</v>
      </c>
      <c r="CL40" s="280">
        <f>+IFERROR(INDEX(Assumptions!$E$18:$E$29, MATCH(CL37, Assumptions!$D$18:$D$29, 0))*$C$40, 0)</f>
        <v>0</v>
      </c>
      <c r="CM40" s="280">
        <f>+IFERROR(INDEX(Assumptions!$E$18:$E$29, MATCH(CM37, Assumptions!$D$18:$D$29, 0))*$C$40, 0)</f>
        <v>0</v>
      </c>
      <c r="CN40" s="280">
        <f>+IFERROR(INDEX(Assumptions!$E$18:$E$29, MATCH(CN37, Assumptions!$D$18:$D$29, 0))*$C$40, 0)</f>
        <v>0</v>
      </c>
      <c r="CO40" s="280">
        <f>+IFERROR(INDEX(Assumptions!$E$18:$E$29, MATCH(CO37, Assumptions!$D$18:$D$29, 0))*$C$40, 0)</f>
        <v>0</v>
      </c>
      <c r="CP40" s="280">
        <f>+IFERROR(INDEX(Assumptions!$E$18:$E$29, MATCH(CP37, Assumptions!$D$18:$D$29, 0))*$C$40, 0)</f>
        <v>0</v>
      </c>
      <c r="CQ40" s="280">
        <f>+IFERROR(INDEX(Assumptions!$E$18:$E$29, MATCH(CQ37, Assumptions!$D$18:$D$29, 0))*$C$40, 0)</f>
        <v>0</v>
      </c>
      <c r="CR40" s="280">
        <f>+IFERROR(INDEX(Assumptions!$E$18:$E$29, MATCH(CR37, Assumptions!$D$18:$D$29, 0))*$C$40, 0)</f>
        <v>0</v>
      </c>
      <c r="CS40" s="280">
        <f>+IFERROR(INDEX(Assumptions!$E$18:$E$29, MATCH(CS37, Assumptions!$D$18:$D$29, 0))*$C$40, 0)</f>
        <v>0</v>
      </c>
      <c r="CT40" s="280">
        <f>+IFERROR(INDEX(Assumptions!$E$18:$E$29, MATCH(CT37, Assumptions!$D$18:$D$29, 0))*$C$40, 0)</f>
        <v>0</v>
      </c>
      <c r="CU40" s="280">
        <f>+IFERROR(INDEX(Assumptions!$E$18:$E$29, MATCH(CU37, Assumptions!$D$18:$D$29, 0))*$C$40, 0)</f>
        <v>0</v>
      </c>
      <c r="CV40" s="280">
        <f>+IFERROR(INDEX(Assumptions!$E$18:$E$29, MATCH(CV37, Assumptions!$D$18:$D$29, 0))*$C$40, 0)</f>
        <v>0</v>
      </c>
      <c r="CW40" s="280">
        <f>+IFERROR(INDEX(Assumptions!$E$18:$E$29, MATCH(CW37, Assumptions!$D$18:$D$29, 0))*$C$40, 0)</f>
        <v>0</v>
      </c>
      <c r="CX40" s="280">
        <f>+IFERROR(INDEX(Assumptions!$E$18:$E$29, MATCH(CX37, Assumptions!$D$18:$D$29, 0))*$C$40, 0)</f>
        <v>0</v>
      </c>
      <c r="CY40" s="280">
        <f>+IFERROR(INDEX(Assumptions!$E$18:$E$29, MATCH(CY37, Assumptions!$D$18:$D$29, 0))*$C$40, 0)</f>
        <v>0</v>
      </c>
      <c r="CZ40" s="280">
        <f>+IFERROR(INDEX(Assumptions!$E$18:$E$29, MATCH(CZ37, Assumptions!$D$18:$D$29, 0))*$C$40, 0)</f>
        <v>0</v>
      </c>
      <c r="DA40" s="280">
        <f>+IFERROR(INDEX(Assumptions!$E$18:$E$29, MATCH(DA37, Assumptions!$D$18:$D$29, 0))*$C$40, 0)</f>
        <v>0</v>
      </c>
      <c r="DB40" s="280">
        <f>+IFERROR(INDEX(Assumptions!$E$18:$E$29, MATCH(DB37, Assumptions!$D$18:$D$29, 0))*$C$40, 0)</f>
        <v>0</v>
      </c>
      <c r="DC40" s="280">
        <f>+IFERROR(INDEX(Assumptions!$E$18:$E$29, MATCH(DC37, Assumptions!$D$18:$D$29, 0))*$C$40, 0)</f>
        <v>0</v>
      </c>
      <c r="DD40" s="280">
        <f>+IFERROR(INDEX(Assumptions!$E$18:$E$29, MATCH(DD37, Assumptions!$D$18:$D$29, 0))*$C$40, 0)</f>
        <v>0</v>
      </c>
      <c r="DE40" s="280">
        <f>+IFERROR(INDEX(Assumptions!$E$18:$E$29, MATCH(DE37, Assumptions!$D$18:$D$29, 0))*$C$40, 0)</f>
        <v>0</v>
      </c>
      <c r="DF40" s="280">
        <f>+IFERROR(INDEX(Assumptions!$E$18:$E$29, MATCH(DF37, Assumptions!$D$18:$D$29, 0))*$C$40, 0)</f>
        <v>0</v>
      </c>
      <c r="DG40" s="280">
        <f>+IFERROR(INDEX(Assumptions!$E$18:$E$29, MATCH(DG37, Assumptions!$D$18:$D$29, 0))*$C$40, 0)</f>
        <v>0</v>
      </c>
      <c r="DH40" s="280">
        <f>+IFERROR(INDEX(Assumptions!$E$18:$E$29, MATCH(DH37, Assumptions!$D$18:$D$29, 0))*$C$40, 0)</f>
        <v>0</v>
      </c>
    </row>
    <row r="41" spans="2:112" x14ac:dyDescent="0.3">
      <c r="B41" t="s">
        <v>468</v>
      </c>
      <c r="C41" s="512">
        <v>46538</v>
      </c>
      <c r="D41" t="s">
        <v>255</v>
      </c>
      <c r="F41" s="9">
        <f t="shared" ref="F41" si="830">+F40+E41</f>
        <v>0</v>
      </c>
      <c r="G41" s="9">
        <f t="shared" ref="G41" si="831">+G40+F41</f>
        <v>0</v>
      </c>
      <c r="H41" s="9">
        <f t="shared" ref="H41" si="832">+H40+G41</f>
        <v>0</v>
      </c>
      <c r="I41" s="9">
        <f t="shared" ref="I41" si="833">+I40+H41</f>
        <v>0</v>
      </c>
      <c r="J41" s="9">
        <f t="shared" ref="J41" si="834">+J40+I41</f>
        <v>0</v>
      </c>
      <c r="K41" s="9">
        <f t="shared" ref="K41" si="835">+K40+J41</f>
        <v>0</v>
      </c>
      <c r="L41" s="9">
        <f t="shared" ref="L41" si="836">+L40+K41</f>
        <v>0</v>
      </c>
      <c r="M41" s="9">
        <f t="shared" ref="M41" si="837">+M40+L41</f>
        <v>0</v>
      </c>
      <c r="N41" s="9">
        <f t="shared" ref="N41" si="838">+N40+M41</f>
        <v>0</v>
      </c>
      <c r="O41" s="9">
        <f t="shared" ref="O41" si="839">+O40+N41</f>
        <v>0</v>
      </c>
      <c r="P41" s="9">
        <f t="shared" ref="P41" si="840">+P40+O41</f>
        <v>0</v>
      </c>
      <c r="Q41" s="9">
        <f t="shared" ref="Q41" si="841">+Q40+P41</f>
        <v>0</v>
      </c>
      <c r="R41" s="9">
        <f t="shared" ref="R41" si="842">+R40+Q41</f>
        <v>0</v>
      </c>
      <c r="S41" s="9">
        <f t="shared" ref="S41" si="843">+S40+R41</f>
        <v>0</v>
      </c>
      <c r="T41" s="9">
        <f t="shared" ref="T41" si="844">+T40+S41</f>
        <v>0</v>
      </c>
      <c r="U41" s="9">
        <f t="shared" ref="U41" si="845">+U40+T41</f>
        <v>0</v>
      </c>
      <c r="V41" s="9">
        <f t="shared" ref="V41" si="846">+V40+U41</f>
        <v>0</v>
      </c>
      <c r="W41" s="9">
        <f t="shared" ref="W41" si="847">+W40+V41</f>
        <v>0</v>
      </c>
      <c r="X41" s="9">
        <f t="shared" ref="X41" si="848">+X40+W41</f>
        <v>0</v>
      </c>
      <c r="Y41" s="172">
        <f t="shared" ref="Y41" si="849">+Y40+X41</f>
        <v>0</v>
      </c>
      <c r="Z41" s="9">
        <f t="shared" ref="Z41" si="850">+Z40+Y41</f>
        <v>0</v>
      </c>
      <c r="AA41" s="9">
        <f t="shared" ref="AA41" si="851">+AA40+Z41</f>
        <v>0</v>
      </c>
      <c r="AB41" s="9">
        <f t="shared" ref="AB41" si="852">+AB40+AA41</f>
        <v>0</v>
      </c>
      <c r="AC41" s="9">
        <f t="shared" ref="AC41" si="853">+AC40+AB41</f>
        <v>0</v>
      </c>
      <c r="AD41" s="9">
        <f t="shared" ref="AD41" si="854">+AD40+AC41</f>
        <v>0</v>
      </c>
      <c r="AE41" s="9">
        <f t="shared" ref="AE41" si="855">+AE40+AD41</f>
        <v>0</v>
      </c>
      <c r="AF41" s="9">
        <f t="shared" ref="AF41" si="856">+AF40+AE41</f>
        <v>0</v>
      </c>
      <c r="AG41" s="9">
        <f t="shared" ref="AG41" si="857">+AG40+AF41</f>
        <v>0</v>
      </c>
      <c r="AH41" s="9">
        <f t="shared" ref="AH41" si="858">+AH40+AG41</f>
        <v>0</v>
      </c>
      <c r="AI41" s="9">
        <f t="shared" ref="AI41" si="859">+AI40+AH41</f>
        <v>0</v>
      </c>
      <c r="AJ41" s="9">
        <f t="shared" ref="AJ41" si="860">+AJ40+AI41</f>
        <v>0</v>
      </c>
      <c r="AK41" s="9">
        <f t="shared" ref="AK41" si="861">+AK40+AJ41</f>
        <v>0</v>
      </c>
      <c r="AL41" s="9">
        <f t="shared" ref="AL41" si="862">+AL40+AK41</f>
        <v>0</v>
      </c>
      <c r="AM41" s="9">
        <f t="shared" ref="AM41" si="863">+AM40+AL41</f>
        <v>0</v>
      </c>
      <c r="AN41" s="9">
        <f t="shared" ref="AN41" si="864">+AN40+AM41</f>
        <v>0</v>
      </c>
      <c r="AO41" s="9">
        <f t="shared" ref="AO41" si="865">+AO40+AN41</f>
        <v>0</v>
      </c>
      <c r="AP41" s="9">
        <f t="shared" ref="AP41" si="866">+AP40+AO41</f>
        <v>0</v>
      </c>
      <c r="AQ41" s="9">
        <f t="shared" ref="AQ41" si="867">+AQ40+AP41</f>
        <v>0</v>
      </c>
      <c r="AR41" s="9">
        <f t="shared" ref="AR41" si="868">+AR40+AQ41</f>
        <v>0</v>
      </c>
      <c r="AS41" s="9">
        <f t="shared" ref="AS41" si="869">+AS40+AR41</f>
        <v>0</v>
      </c>
      <c r="AT41" s="9">
        <f t="shared" ref="AT41" si="870">+AT40+AS41</f>
        <v>0</v>
      </c>
      <c r="AU41" s="9">
        <f t="shared" ref="AU41" si="871">+AU40+AT41</f>
        <v>0</v>
      </c>
      <c r="AV41" s="9">
        <f t="shared" ref="AV41" si="872">+AV40+AU41</f>
        <v>0</v>
      </c>
      <c r="AW41" s="9">
        <f t="shared" ref="AW41" si="873">+AW40+AV41</f>
        <v>0</v>
      </c>
      <c r="AX41" s="9">
        <f t="shared" ref="AX41" si="874">+AX40+AW41</f>
        <v>0</v>
      </c>
      <c r="AY41" s="9">
        <f t="shared" ref="AY41" si="875">+AY40+AX41</f>
        <v>0</v>
      </c>
      <c r="AZ41" s="9">
        <f t="shared" ref="AZ41" si="876">+AZ40+AY41</f>
        <v>0</v>
      </c>
      <c r="BA41" s="9">
        <f t="shared" ref="BA41" si="877">+BA40+AZ41</f>
        <v>0</v>
      </c>
      <c r="BB41" s="9">
        <f t="shared" ref="BB41" si="878">+BB40+BA41</f>
        <v>0</v>
      </c>
      <c r="BC41" s="9">
        <f t="shared" ref="BC41" si="879">+BC40+BB41</f>
        <v>0</v>
      </c>
      <c r="BD41" s="9">
        <f t="shared" ref="BD41" si="880">+BD40+BC41</f>
        <v>0</v>
      </c>
      <c r="BE41" s="9">
        <f t="shared" ref="BE41" si="881">+BE40+BD41</f>
        <v>0</v>
      </c>
      <c r="BF41" s="9">
        <f t="shared" ref="BF41" si="882">+BF40+BE41</f>
        <v>5876.298841097132</v>
      </c>
      <c r="BG41" s="9">
        <f t="shared" ref="BG41" si="883">+BG40+BF41</f>
        <v>6716.7582986525194</v>
      </c>
      <c r="BH41" s="9">
        <f t="shared" ref="BH41" si="884">+BH40+BG41</f>
        <v>41547.767416161034</v>
      </c>
      <c r="BI41" s="9">
        <f t="shared" ref="BI41" si="885">+BI40+BH41</f>
        <v>44691.915870833051</v>
      </c>
      <c r="BJ41" s="9">
        <f t="shared" ref="BJ41" si="886">+BJ40+BI41</f>
        <v>186929.68347429496</v>
      </c>
      <c r="BK41" s="9">
        <f t="shared" ref="BK41" si="887">+BK40+BJ41</f>
        <v>442010.18374002806</v>
      </c>
      <c r="BL41" s="9">
        <f t="shared" ref="BL41" si="888">+BL40+BK41</f>
        <v>613887.84359866276</v>
      </c>
      <c r="BM41" s="9">
        <f t="shared" ref="BM41" si="889">+BM40+BL41</f>
        <v>727305.56466637133</v>
      </c>
      <c r="BN41" s="9">
        <f t="shared" ref="BN41" si="890">+BN40+BM41</f>
        <v>751050.68872446613</v>
      </c>
      <c r="BO41" s="9">
        <f t="shared" ref="BO41" si="891">+BO40+BN41</f>
        <v>932890.99243496032</v>
      </c>
      <c r="BP41" s="9">
        <f t="shared" ref="BP41" si="892">+BP40+BO41</f>
        <v>975000</v>
      </c>
      <c r="BQ41" s="9">
        <f t="shared" ref="BQ41" si="893">+BQ40+BP41</f>
        <v>975000</v>
      </c>
      <c r="BR41" s="9">
        <f t="shared" ref="BR41" si="894">+BR40+BQ41</f>
        <v>975000</v>
      </c>
      <c r="BS41" s="9">
        <f t="shared" ref="BS41" si="895">+BS40+BR41</f>
        <v>975000</v>
      </c>
      <c r="BT41" s="9">
        <f t="shared" ref="BT41" si="896">+BT40+BS41</f>
        <v>975000</v>
      </c>
      <c r="BU41" s="9">
        <f t="shared" ref="BU41" si="897">+BU40+BT41</f>
        <v>975000</v>
      </c>
      <c r="BV41" s="9">
        <f t="shared" ref="BV41" si="898">+BV40+BU41</f>
        <v>975000</v>
      </c>
      <c r="BW41" s="9">
        <f t="shared" ref="BW41" si="899">+BW40+BV41</f>
        <v>975000</v>
      </c>
      <c r="BX41" s="9">
        <f t="shared" ref="BX41" si="900">+BX40+BW41</f>
        <v>975000</v>
      </c>
      <c r="BY41" s="9">
        <f t="shared" ref="BY41" si="901">+BY40+BX41</f>
        <v>975000</v>
      </c>
      <c r="BZ41" s="9">
        <f t="shared" ref="BZ41" si="902">+BZ40+BY41</f>
        <v>975000</v>
      </c>
      <c r="CA41" s="9">
        <f t="shared" ref="CA41" si="903">+CA40+BZ41</f>
        <v>975000</v>
      </c>
      <c r="CB41" s="9">
        <f t="shared" ref="CB41" si="904">+CB40+CA41</f>
        <v>975000</v>
      </c>
      <c r="CC41" s="9">
        <f t="shared" ref="CC41" si="905">+CC40+CB41</f>
        <v>975000</v>
      </c>
      <c r="CD41" s="9">
        <f t="shared" ref="CD41" si="906">+CD40+CC41</f>
        <v>975000</v>
      </c>
      <c r="CE41" s="9">
        <f t="shared" ref="CE41" si="907">+CE40+CD41</f>
        <v>975000</v>
      </c>
      <c r="CF41" s="9">
        <f t="shared" ref="CF41" si="908">+CF40+CE41</f>
        <v>975000</v>
      </c>
      <c r="CG41" s="9">
        <f t="shared" ref="CG41" si="909">+CG40+CF41</f>
        <v>975000</v>
      </c>
      <c r="CH41" s="9">
        <f t="shared" ref="CH41" si="910">+CH40+CG41</f>
        <v>975000</v>
      </c>
      <c r="CI41" s="9">
        <f t="shared" ref="CI41" si="911">+CI40+CH41</f>
        <v>975000</v>
      </c>
      <c r="CJ41" s="9">
        <f t="shared" ref="CJ41" si="912">+CJ40+CI41</f>
        <v>975000</v>
      </c>
      <c r="CK41" s="9">
        <f t="shared" ref="CK41" si="913">+CK40+CJ41</f>
        <v>975000</v>
      </c>
      <c r="CL41" s="9">
        <f t="shared" ref="CL41" si="914">+CL40+CK41</f>
        <v>975000</v>
      </c>
      <c r="CM41" s="9">
        <f t="shared" ref="CM41" si="915">+CM40+CL41</f>
        <v>975000</v>
      </c>
      <c r="CN41" s="9">
        <f t="shared" ref="CN41" si="916">+CN40+CM41</f>
        <v>975000</v>
      </c>
      <c r="CO41" s="9">
        <f t="shared" ref="CO41" si="917">+CO40+CN41</f>
        <v>975000</v>
      </c>
      <c r="CP41" s="9">
        <f t="shared" ref="CP41" si="918">+CP40+CO41</f>
        <v>975000</v>
      </c>
      <c r="CQ41" s="9">
        <f t="shared" ref="CQ41" si="919">+CQ40+CP41</f>
        <v>975000</v>
      </c>
      <c r="CR41" s="9">
        <f t="shared" ref="CR41" si="920">+CR40+CQ41</f>
        <v>975000</v>
      </c>
      <c r="CS41" s="9">
        <f t="shared" ref="CS41" si="921">+CS40+CR41</f>
        <v>975000</v>
      </c>
      <c r="CT41" s="9">
        <f t="shared" ref="CT41" si="922">+CT40+CS41</f>
        <v>975000</v>
      </c>
      <c r="CU41" s="9">
        <f t="shared" ref="CU41" si="923">+CU40+CT41</f>
        <v>975000</v>
      </c>
      <c r="CV41" s="9">
        <f t="shared" ref="CV41" si="924">+CV40+CU41</f>
        <v>975000</v>
      </c>
      <c r="CW41" s="9">
        <f t="shared" ref="CW41" si="925">+CW40+CV41</f>
        <v>975000</v>
      </c>
      <c r="CX41" s="9">
        <f t="shared" ref="CX41" si="926">+CX40+CW41</f>
        <v>975000</v>
      </c>
      <c r="CY41" s="9">
        <f t="shared" ref="CY41" si="927">+CY40+CX41</f>
        <v>975000</v>
      </c>
      <c r="CZ41" s="9">
        <f t="shared" ref="CZ41" si="928">+CZ40+CY41</f>
        <v>975000</v>
      </c>
      <c r="DA41" s="9">
        <f t="shared" ref="DA41" si="929">+DA40+CZ41</f>
        <v>975000</v>
      </c>
      <c r="DB41" s="9">
        <f t="shared" ref="DB41" si="930">+DB40+DA41</f>
        <v>975000</v>
      </c>
      <c r="DC41" s="9">
        <f t="shared" ref="DC41" si="931">+DC40+DB41</f>
        <v>975000</v>
      </c>
      <c r="DD41" s="9">
        <f t="shared" ref="DD41" si="932">+DD40+DC41</f>
        <v>975000</v>
      </c>
      <c r="DE41" s="9">
        <f t="shared" ref="DE41" si="933">+DE40+DD41</f>
        <v>975000</v>
      </c>
      <c r="DF41" s="9">
        <f t="shared" ref="DF41" si="934">+DF40+DE41</f>
        <v>975000</v>
      </c>
      <c r="DG41" s="9">
        <f t="shared" ref="DG41:DH41" si="935">+DG40+DF41</f>
        <v>975000</v>
      </c>
      <c r="DH41" s="9">
        <f t="shared" si="935"/>
        <v>975000</v>
      </c>
    </row>
    <row r="42" spans="2:112" x14ac:dyDescent="0.3">
      <c r="B42" t="s">
        <v>486</v>
      </c>
      <c r="C42" s="514">
        <f>+EOMONTH(C41,12)</f>
        <v>46904</v>
      </c>
      <c r="D42" t="s">
        <v>290</v>
      </c>
      <c r="F42" s="459">
        <f>+IFERROR(INDEX(Assumptions!$F$31:$F$42, MATCH(F37, Assumptions!$D$31:$D$42, 0))*$C$39, 0)</f>
        <v>0</v>
      </c>
      <c r="G42" s="9">
        <f>+IFERROR(INDEX(Assumptions!$F$31:$F$42, MATCH(G37, Assumptions!$D$31:$D$42, 0))*$C$39, 0)</f>
        <v>0</v>
      </c>
      <c r="H42" s="9">
        <f>+IFERROR(INDEX(Assumptions!$F$31:$F$42, MATCH(H37, Assumptions!$D$31:$D$42, 0))*$C$39, 0)</f>
        <v>0</v>
      </c>
      <c r="I42" s="9">
        <f>+IFERROR(INDEX(Assumptions!$F$31:$F$42, MATCH(I37, Assumptions!$D$31:$D$42, 0))*$C$39, 0)</f>
        <v>0</v>
      </c>
      <c r="J42" s="9">
        <f>+IFERROR(INDEX(Assumptions!$F$31:$F$42, MATCH(J37, Assumptions!$D$31:$D$42, 0))*$C$39, 0)</f>
        <v>0</v>
      </c>
      <c r="K42" s="9">
        <f>+IFERROR(INDEX(Assumptions!$F$31:$F$42, MATCH(K37, Assumptions!$D$31:$D$42, 0))*$C$39, 0)</f>
        <v>0</v>
      </c>
      <c r="L42" s="9">
        <f>+IFERROR(INDEX(Assumptions!$F$31:$F$42, MATCH(L37, Assumptions!$D$31:$D$42, 0))*$C$39, 0)</f>
        <v>0</v>
      </c>
      <c r="M42" s="9">
        <f>+IFERROR(INDEX(Assumptions!$F$31:$F$42, MATCH(M37, Assumptions!$D$31:$D$42, 0))*$C$39, 0)</f>
        <v>0</v>
      </c>
      <c r="N42" s="9">
        <f>+IFERROR(INDEX(Assumptions!$F$31:$F$42, MATCH(N37, Assumptions!$D$31:$D$42, 0))*$C$39, 0)</f>
        <v>0</v>
      </c>
      <c r="O42" s="9">
        <f>+IFERROR(INDEX(Assumptions!$F$31:$F$42, MATCH(O37, Assumptions!$D$31:$D$42, 0))*$C$39, 0)</f>
        <v>0</v>
      </c>
      <c r="P42" s="9">
        <f>+IFERROR(INDEX(Assumptions!$F$31:$F$42, MATCH(P37, Assumptions!$D$31:$D$42, 0))*$C$39, 0)</f>
        <v>0</v>
      </c>
      <c r="Q42" s="9">
        <f>+IFERROR(INDEX(Assumptions!$F$31:$F$42, MATCH(Q37, Assumptions!$D$31:$D$42, 0))*$C$39, 0)</f>
        <v>0</v>
      </c>
      <c r="R42" s="9">
        <f>+IFERROR(INDEX(Assumptions!$F$31:$F$42, MATCH(R37, Assumptions!$D$31:$D$42, 0))*$C$39, 0)</f>
        <v>0</v>
      </c>
      <c r="S42" s="9">
        <f>+IFERROR(INDEX(Assumptions!$F$31:$F$42, MATCH(S37, Assumptions!$D$31:$D$42, 0))*$C$39, 0)</f>
        <v>0</v>
      </c>
      <c r="T42" s="9">
        <f>+IFERROR(INDEX(Assumptions!$F$31:$F$42, MATCH(T37, Assumptions!$D$31:$D$42, 0))*$C$39, 0)</f>
        <v>0</v>
      </c>
      <c r="U42" s="9">
        <f>+IFERROR(INDEX(Assumptions!$F$31:$F$42, MATCH(U37, Assumptions!$D$31:$D$42, 0))*$C$39, 0)</f>
        <v>0</v>
      </c>
      <c r="V42" s="9">
        <f>+IFERROR(INDEX(Assumptions!$F$31:$F$42, MATCH(V37, Assumptions!$D$31:$D$42, 0))*$C$39, 0)</f>
        <v>0</v>
      </c>
      <c r="W42" s="9">
        <f>+IFERROR(INDEX(Assumptions!$F$31:$F$42, MATCH(W37, Assumptions!$D$31:$D$42, 0))*$C$39, 0)</f>
        <v>0</v>
      </c>
      <c r="X42" s="9">
        <f>+IFERROR(INDEX(Assumptions!$F$31:$F$42, MATCH(X37, Assumptions!$D$31:$D$42, 0))*$C$39, 0)</f>
        <v>0</v>
      </c>
      <c r="Y42" s="172">
        <f>+IFERROR(INDEX(Assumptions!$F$31:$F$42, MATCH(Y37, Assumptions!$D$31:$D$42, 0))*$C$39, 0)</f>
        <v>0</v>
      </c>
      <c r="Z42" s="9">
        <f>+IFERROR(INDEX(Assumptions!$F$31:$F$42, MATCH(Z37, Assumptions!$D$31:$D$42, 0))*$C$39, 0)</f>
        <v>0</v>
      </c>
      <c r="AA42" s="9">
        <f>+IFERROR(INDEX(Assumptions!$F$31:$F$42, MATCH(AA37, Assumptions!$D$31:$D$42, 0))*$C$39, 0)</f>
        <v>0</v>
      </c>
      <c r="AB42" s="9">
        <f>+IFERROR(INDEX(Assumptions!$F$31:$F$42, MATCH(AB37, Assumptions!$D$31:$D$42, 0))*$C$39, 0)</f>
        <v>0</v>
      </c>
      <c r="AC42" s="9">
        <f>+IFERROR(INDEX(Assumptions!$F$31:$F$42, MATCH(AC37, Assumptions!$D$31:$D$42, 0))*$C$39, 0)</f>
        <v>0</v>
      </c>
      <c r="AD42" s="9">
        <f>+IFERROR(INDEX(Assumptions!$F$31:$F$42, MATCH(AD37, Assumptions!$D$31:$D$42, 0))*$C$39, 0)</f>
        <v>0</v>
      </c>
      <c r="AE42" s="9">
        <f>+IFERROR(INDEX(Assumptions!$F$31:$F$42, MATCH(AE37, Assumptions!$D$31:$D$42, 0))*$C$39, 0)</f>
        <v>0</v>
      </c>
      <c r="AF42" s="9">
        <f>+IFERROR(INDEX(Assumptions!$F$31:$F$42, MATCH(AF37, Assumptions!$D$31:$D$42, 0))*$C$39, 0)</f>
        <v>0</v>
      </c>
      <c r="AG42" s="9">
        <f>+IFERROR(INDEX(Assumptions!$F$31:$F$42, MATCH(AG37, Assumptions!$D$31:$D$42, 0))*$C$39, 0)</f>
        <v>0</v>
      </c>
      <c r="AH42" s="9">
        <f>+IFERROR(INDEX(Assumptions!$F$31:$F$42, MATCH(AH37, Assumptions!$D$31:$D$42, 0))*$C$39, 0)</f>
        <v>0</v>
      </c>
      <c r="AI42" s="9">
        <f>+IFERROR(INDEX(Assumptions!$F$31:$F$42, MATCH(AI37, Assumptions!$D$31:$D$42, 0))*$C$39, 0)</f>
        <v>0</v>
      </c>
      <c r="AJ42" s="9">
        <f>+IFERROR(INDEX(Assumptions!$F$31:$F$42, MATCH(AJ37, Assumptions!$D$31:$D$42, 0))*$C$39, 0)</f>
        <v>0</v>
      </c>
      <c r="AK42" s="9">
        <f>+IFERROR(INDEX(Assumptions!$F$31:$F$42, MATCH(AK37, Assumptions!$D$31:$D$42, 0))*$C$39, 0)</f>
        <v>0</v>
      </c>
      <c r="AL42" s="9">
        <f>+IFERROR(INDEX(Assumptions!$F$31:$F$42, MATCH(AL37, Assumptions!$D$31:$D$42, 0))*$C$39, 0)</f>
        <v>0</v>
      </c>
      <c r="AM42" s="9">
        <f>+IFERROR(INDEX(Assumptions!$F$31:$F$42, MATCH(AM37, Assumptions!$D$31:$D$42, 0))*$C$39, 0)</f>
        <v>0</v>
      </c>
      <c r="AN42" s="9">
        <f>+IFERROR(INDEX(Assumptions!$F$31:$F$42, MATCH(AN37, Assumptions!$D$31:$D$42, 0))*$C$39, 0)</f>
        <v>0</v>
      </c>
      <c r="AO42" s="9">
        <f>+IFERROR(INDEX(Assumptions!$F$31:$F$42, MATCH(AO37, Assumptions!$D$31:$D$42, 0))*$C$39, 0)</f>
        <v>0</v>
      </c>
      <c r="AP42" s="9">
        <f>+IFERROR(INDEX(Assumptions!$F$31:$F$42, MATCH(AP37, Assumptions!$D$31:$D$42, 0))*$C$39, 0)</f>
        <v>0</v>
      </c>
      <c r="AQ42" s="9">
        <f>+IFERROR(INDEX(Assumptions!$F$31:$F$42, MATCH(AQ37, Assumptions!$D$31:$D$42, 0))*$C$39, 0)</f>
        <v>0</v>
      </c>
      <c r="AR42" s="9">
        <f>+IFERROR(INDEX(Assumptions!$F$31:$F$42, MATCH(AR37, Assumptions!$D$31:$D$42, 0))*$C$39, 0)</f>
        <v>0</v>
      </c>
      <c r="AS42" s="9">
        <f>+IFERROR(INDEX(Assumptions!$F$31:$F$42, MATCH(AS37, Assumptions!$D$31:$D$42, 0))*$C$39, 0)</f>
        <v>0</v>
      </c>
      <c r="AT42" s="9">
        <f>+IFERROR(INDEX(Assumptions!$F$31:$F$42, MATCH(AT37, Assumptions!$D$31:$D$42, 0))*$C$39, 0)</f>
        <v>0</v>
      </c>
      <c r="AU42" s="9">
        <f>+IFERROR(INDEX(Assumptions!$F$31:$F$42, MATCH(AU37, Assumptions!$D$31:$D$42, 0))*$C$39, 0)</f>
        <v>0</v>
      </c>
      <c r="AV42" s="9">
        <f>+IFERROR(INDEX(Assumptions!$F$31:$F$42, MATCH(AV37, Assumptions!$D$31:$D$42, 0))*$C$39, 0)</f>
        <v>0</v>
      </c>
      <c r="AW42" s="9">
        <f>+IFERROR(INDEX(Assumptions!$F$31:$F$42, MATCH(AW37, Assumptions!$D$31:$D$42, 0))*$C$39, 0)</f>
        <v>0</v>
      </c>
      <c r="AX42" s="9">
        <f>+IFERROR(INDEX(Assumptions!$F$31:$F$42, MATCH(AX37, Assumptions!$D$31:$D$42, 0))*$C$39, 0)</f>
        <v>0</v>
      </c>
      <c r="AY42" s="9">
        <f>+IFERROR(INDEX(Assumptions!$F$31:$F$42, MATCH(AY37, Assumptions!$D$31:$D$42, 0))*$C$39, 0)</f>
        <v>0</v>
      </c>
      <c r="AZ42" s="9">
        <f>+IFERROR(INDEX(Assumptions!$F$31:$F$42, MATCH(AZ37, Assumptions!$D$31:$D$42, 0))*$C$39, 0)</f>
        <v>0</v>
      </c>
      <c r="BA42" s="9">
        <f>+IFERROR(INDEX(Assumptions!$F$31:$F$42, MATCH(BA37, Assumptions!$D$31:$D$42, 0))*$C$39, 0)</f>
        <v>0</v>
      </c>
      <c r="BB42" s="9">
        <f>+IFERROR(INDEX(Assumptions!$F$31:$F$42, MATCH(BB37, Assumptions!$D$31:$D$42, 0))*$C$39, 0)</f>
        <v>0</v>
      </c>
      <c r="BC42" s="9">
        <f>+IFERROR(INDEX(Assumptions!$F$31:$F$42, MATCH(BC37, Assumptions!$D$31:$D$42, 0))*$C$39, 0)</f>
        <v>0</v>
      </c>
      <c r="BD42" s="9">
        <f>+IFERROR(INDEX(Assumptions!$F$31:$F$42, MATCH(BD37, Assumptions!$D$31:$D$42, 0))*$C$39, 0)</f>
        <v>0</v>
      </c>
      <c r="BE42" s="9">
        <f>+IFERROR(INDEX(Assumptions!$F$31:$F$42, MATCH(BE37, Assumptions!$D$31:$D$42, 0))*$C$39, 0)</f>
        <v>295000</v>
      </c>
      <c r="BF42" s="9">
        <f>+IFERROR(INDEX(Assumptions!$F$31:$F$42, MATCH(BF37, Assumptions!$D$31:$D$42, 0))*$C$39, 0)</f>
        <v>0</v>
      </c>
      <c r="BG42" s="9">
        <f>+IFERROR(INDEX(Assumptions!$F$31:$F$42, MATCH(BG37, Assumptions!$D$31:$D$42, 0))*$C$39, 0)</f>
        <v>0</v>
      </c>
      <c r="BH42" s="9">
        <f>+IFERROR(INDEX(Assumptions!$F$31:$F$42, MATCH(BH37, Assumptions!$D$31:$D$42, 0))*$C$39, 0)</f>
        <v>0</v>
      </c>
      <c r="BI42" s="9">
        <f>+IFERROR(INDEX(Assumptions!$F$31:$F$42, MATCH(BI37, Assumptions!$D$31:$D$42, 0))*$C$39, 0)</f>
        <v>590000</v>
      </c>
      <c r="BJ42" s="9">
        <f>+IFERROR(INDEX(Assumptions!$F$31:$F$42, MATCH(BJ37, Assumptions!$D$31:$D$42, 0))*$C$39, 0)</f>
        <v>737500</v>
      </c>
      <c r="BK42" s="9">
        <f>+IFERROR(INDEX(Assumptions!$F$31:$F$42, MATCH(BK37, Assumptions!$D$31:$D$42, 0))*$C$39, 0)</f>
        <v>442500</v>
      </c>
      <c r="BL42" s="9">
        <f>+IFERROR(INDEX(Assumptions!$F$31:$F$42, MATCH(BL37, Assumptions!$D$31:$D$42, 0))*$C$39, 0)</f>
        <v>0</v>
      </c>
      <c r="BM42" s="9">
        <f>+IFERROR(INDEX(Assumptions!$F$31:$F$42, MATCH(BM37, Assumptions!$D$31:$D$42, 0))*$C$39, 0)</f>
        <v>442500</v>
      </c>
      <c r="BN42" s="9">
        <f>+IFERROR(INDEX(Assumptions!$F$31:$F$42, MATCH(BN37, Assumptions!$D$31:$D$42, 0))*$C$39, 0)</f>
        <v>0</v>
      </c>
      <c r="BO42" s="9">
        <f>+IFERROR(INDEX(Assumptions!$F$31:$F$42, MATCH(BO37, Assumptions!$D$31:$D$42, 0))*$C$39, 0)</f>
        <v>442500</v>
      </c>
      <c r="BP42" s="9">
        <f>+IFERROR(INDEX(Assumptions!$F$31:$F$42, MATCH(BP37, Assumptions!$D$31:$D$42, 0))*$C$39, 0)</f>
        <v>0</v>
      </c>
      <c r="BQ42" s="9">
        <f>+IFERROR(INDEX(Assumptions!$F$31:$F$42, MATCH(BQ37, Assumptions!$D$31:$D$42, 0))*$C$39, 0)</f>
        <v>0</v>
      </c>
      <c r="BR42" s="9">
        <f>+IFERROR(INDEX(Assumptions!$F$31:$F$42, MATCH(BR37, Assumptions!$D$31:$D$42, 0))*$C$39, 0)</f>
        <v>0</v>
      </c>
      <c r="BS42" s="9">
        <f>+IFERROR(INDEX(Assumptions!$F$31:$F$42, MATCH(BS37, Assumptions!$D$31:$D$42, 0))*$C$39, 0)</f>
        <v>0</v>
      </c>
      <c r="BT42" s="9">
        <f>+IFERROR(INDEX(Assumptions!$F$31:$F$42, MATCH(BT37, Assumptions!$D$31:$D$42, 0))*$C$39, 0)</f>
        <v>0</v>
      </c>
      <c r="BU42" s="9">
        <f>+IFERROR(INDEX(Assumptions!$F$31:$F$42, MATCH(BU37, Assumptions!$D$31:$D$42, 0))*$C$39, 0)</f>
        <v>0</v>
      </c>
      <c r="BV42" s="9">
        <f>+IFERROR(INDEX(Assumptions!$F$31:$F$42, MATCH(BV37, Assumptions!$D$31:$D$42, 0))*$C$39, 0)</f>
        <v>0</v>
      </c>
      <c r="BW42" s="9">
        <f>+IFERROR(INDEX(Assumptions!$F$31:$F$42, MATCH(BW37, Assumptions!$D$31:$D$42, 0))*$C$39, 0)</f>
        <v>0</v>
      </c>
      <c r="BX42" s="9">
        <f>+IFERROR(INDEX(Assumptions!$F$31:$F$42, MATCH(BX37, Assumptions!$D$31:$D$42, 0))*$C$39, 0)</f>
        <v>0</v>
      </c>
      <c r="BY42" s="9">
        <f>+IFERROR(INDEX(Assumptions!$F$31:$F$42, MATCH(BY37, Assumptions!$D$31:$D$42, 0))*$C$39, 0)</f>
        <v>0</v>
      </c>
      <c r="BZ42" s="9">
        <f>+IFERROR(INDEX(Assumptions!$F$31:$F$42, MATCH(BZ37, Assumptions!$D$31:$D$42, 0))*$C$39, 0)</f>
        <v>0</v>
      </c>
      <c r="CA42" s="9">
        <f>+IFERROR(INDEX(Assumptions!$F$31:$F$42, MATCH(CA37, Assumptions!$D$31:$D$42, 0))*$C$39, 0)</f>
        <v>0</v>
      </c>
      <c r="CB42" s="9">
        <f>+IFERROR(INDEX(Assumptions!$F$31:$F$42, MATCH(CB37, Assumptions!$D$31:$D$42, 0))*$C$39, 0)</f>
        <v>0</v>
      </c>
      <c r="CC42" s="9">
        <f>+IFERROR(INDEX(Assumptions!$F$31:$F$42, MATCH(CC37, Assumptions!$D$31:$D$42, 0))*$C$39, 0)</f>
        <v>0</v>
      </c>
      <c r="CD42" s="9">
        <f>+IFERROR(INDEX(Assumptions!$F$31:$F$42, MATCH(CD37, Assumptions!$D$31:$D$42, 0))*$C$39, 0)</f>
        <v>0</v>
      </c>
      <c r="CE42" s="9">
        <f>+IFERROR(INDEX(Assumptions!$F$31:$F$42, MATCH(CE37, Assumptions!$D$31:$D$42, 0))*$C$39, 0)</f>
        <v>0</v>
      </c>
      <c r="CF42" s="9">
        <f>+IFERROR(INDEX(Assumptions!$F$31:$F$42, MATCH(CF37, Assumptions!$D$31:$D$42, 0))*$C$39, 0)</f>
        <v>0</v>
      </c>
      <c r="CG42" s="9">
        <f>+IFERROR(INDEX(Assumptions!$F$31:$F$42, MATCH(CG37, Assumptions!$D$31:$D$42, 0))*$C$39, 0)</f>
        <v>0</v>
      </c>
      <c r="CH42" s="9">
        <f>+IFERROR(INDEX(Assumptions!$F$31:$F$42, MATCH(CH37, Assumptions!$D$31:$D$42, 0))*$C$39, 0)</f>
        <v>0</v>
      </c>
      <c r="CI42" s="9">
        <f>+IFERROR(INDEX(Assumptions!$F$31:$F$42, MATCH(CI37, Assumptions!$D$31:$D$42, 0))*$C$39, 0)</f>
        <v>0</v>
      </c>
      <c r="CJ42" s="9">
        <f>+IFERROR(INDEX(Assumptions!$F$31:$F$42, MATCH(CJ37, Assumptions!$D$31:$D$42, 0))*$C$39, 0)</f>
        <v>0</v>
      </c>
      <c r="CK42" s="9">
        <f>+IFERROR(INDEX(Assumptions!$F$31:$F$42, MATCH(CK37, Assumptions!$D$31:$D$42, 0))*$C$39, 0)</f>
        <v>0</v>
      </c>
      <c r="CL42" s="9">
        <f>+IFERROR(INDEX(Assumptions!$F$31:$F$42, MATCH(CL37, Assumptions!$D$31:$D$42, 0))*$C$39, 0)</f>
        <v>0</v>
      </c>
      <c r="CM42" s="9">
        <f>+IFERROR(INDEX(Assumptions!$F$31:$F$42, MATCH(CM37, Assumptions!$D$31:$D$42, 0))*$C$39, 0)</f>
        <v>0</v>
      </c>
      <c r="CN42" s="9">
        <f>+IFERROR(INDEX(Assumptions!$F$31:$F$42, MATCH(CN37, Assumptions!$D$31:$D$42, 0))*$C$39, 0)</f>
        <v>0</v>
      </c>
      <c r="CO42" s="9">
        <f>+IFERROR(INDEX(Assumptions!$F$31:$F$42, MATCH(CO37, Assumptions!$D$31:$D$42, 0))*$C$39, 0)</f>
        <v>0</v>
      </c>
      <c r="CP42" s="9">
        <f>+IFERROR(INDEX(Assumptions!$F$31:$F$42, MATCH(CP37, Assumptions!$D$31:$D$42, 0))*$C$39, 0)</f>
        <v>0</v>
      </c>
      <c r="CQ42" s="9">
        <f>+IFERROR(INDEX(Assumptions!$F$31:$F$42, MATCH(CQ37, Assumptions!$D$31:$D$42, 0))*$C$39, 0)</f>
        <v>0</v>
      </c>
      <c r="CR42" s="9">
        <f>+IFERROR(INDEX(Assumptions!$F$31:$F$42, MATCH(CR37, Assumptions!$D$31:$D$42, 0))*$C$39, 0)</f>
        <v>0</v>
      </c>
      <c r="CS42" s="9">
        <f>+IFERROR(INDEX(Assumptions!$F$31:$F$42, MATCH(CS37, Assumptions!$D$31:$D$42, 0))*$C$39, 0)</f>
        <v>0</v>
      </c>
      <c r="CT42" s="9">
        <f>+IFERROR(INDEX(Assumptions!$F$31:$F$42, MATCH(CT37, Assumptions!$D$31:$D$42, 0))*$C$39, 0)</f>
        <v>0</v>
      </c>
      <c r="CU42" s="9">
        <f>+IFERROR(INDEX(Assumptions!$F$31:$F$42, MATCH(CU37, Assumptions!$D$31:$D$42, 0))*$C$39, 0)</f>
        <v>0</v>
      </c>
      <c r="CV42" s="9">
        <f>+IFERROR(INDEX(Assumptions!$F$31:$F$42, MATCH(CV37, Assumptions!$D$31:$D$42, 0))*$C$39, 0)</f>
        <v>0</v>
      </c>
      <c r="CW42" s="9">
        <f>+IFERROR(INDEX(Assumptions!$F$31:$F$42, MATCH(CW37, Assumptions!$D$31:$D$42, 0))*$C$39, 0)</f>
        <v>0</v>
      </c>
      <c r="CX42" s="9">
        <f>+IFERROR(INDEX(Assumptions!$F$31:$F$42, MATCH(CX37, Assumptions!$D$31:$D$42, 0))*$C$39, 0)</f>
        <v>0</v>
      </c>
      <c r="CY42" s="9">
        <f>+IFERROR(INDEX(Assumptions!$F$31:$F$42, MATCH(CY37, Assumptions!$D$31:$D$42, 0))*$C$39, 0)</f>
        <v>0</v>
      </c>
      <c r="CZ42" s="9">
        <f>+IFERROR(INDEX(Assumptions!$F$31:$F$42, MATCH(CZ37, Assumptions!$D$31:$D$42, 0))*$C$39, 0)</f>
        <v>0</v>
      </c>
      <c r="DA42" s="9">
        <f>+IFERROR(INDEX(Assumptions!$F$31:$F$42, MATCH(DA37, Assumptions!$D$31:$D$42, 0))*$C$39, 0)</f>
        <v>0</v>
      </c>
      <c r="DB42" s="9">
        <f>+IFERROR(INDEX(Assumptions!$F$31:$F$42, MATCH(DB37, Assumptions!$D$31:$D$42, 0))*$C$39, 0)</f>
        <v>0</v>
      </c>
      <c r="DC42" s="9">
        <f>+IFERROR(INDEX(Assumptions!$F$31:$F$42, MATCH(DC37, Assumptions!$D$31:$D$42, 0))*$C$39, 0)</f>
        <v>0</v>
      </c>
      <c r="DD42" s="9">
        <f>+IFERROR(INDEX(Assumptions!$F$31:$F$42, MATCH(DD37, Assumptions!$D$31:$D$42, 0))*$C$39, 0)</f>
        <v>0</v>
      </c>
      <c r="DE42" s="9">
        <f>+IFERROR(INDEX(Assumptions!$F$31:$F$42, MATCH(DE37, Assumptions!$D$31:$D$42, 0))*$C$39, 0)</f>
        <v>0</v>
      </c>
      <c r="DF42" s="9">
        <f>+IFERROR(INDEX(Assumptions!$F$31:$F$42, MATCH(DF37, Assumptions!$D$31:$D$42, 0))*$C$39, 0)</f>
        <v>0</v>
      </c>
      <c r="DG42" s="9">
        <f>+IFERROR(INDEX(Assumptions!$F$31:$F$42, MATCH(DG37, Assumptions!$D$31:$D$42, 0))*$C$39, 0)</f>
        <v>0</v>
      </c>
      <c r="DH42" s="9">
        <f>+IFERROR(INDEX(Assumptions!$F$31:$F$42, MATCH(DH37, Assumptions!$D$31:$D$42, 0))*$C$39, 0)</f>
        <v>0</v>
      </c>
    </row>
    <row r="43" spans="2:112" x14ac:dyDescent="0.3">
      <c r="D43" t="s">
        <v>289</v>
      </c>
      <c r="F43" s="9">
        <f t="shared" ref="F43" si="936">+F42+E43</f>
        <v>0</v>
      </c>
      <c r="G43" s="9">
        <f t="shared" ref="G43" si="937">+G42+F43</f>
        <v>0</v>
      </c>
      <c r="H43" s="9">
        <f t="shared" ref="H43" si="938">+H42+G43</f>
        <v>0</v>
      </c>
      <c r="I43" s="9">
        <f t="shared" ref="I43" si="939">+I42+H43</f>
        <v>0</v>
      </c>
      <c r="J43" s="9">
        <f t="shared" ref="J43" si="940">+J42+I43</f>
        <v>0</v>
      </c>
      <c r="K43" s="9">
        <f t="shared" ref="K43" si="941">+K42+J43</f>
        <v>0</v>
      </c>
      <c r="L43" s="9">
        <f t="shared" ref="L43" si="942">+L42+K43</f>
        <v>0</v>
      </c>
      <c r="M43" s="9">
        <f t="shared" ref="M43" si="943">+M42+L43</f>
        <v>0</v>
      </c>
      <c r="N43" s="9">
        <f t="shared" ref="N43" si="944">+N42+M43</f>
        <v>0</v>
      </c>
      <c r="O43" s="9">
        <f t="shared" ref="O43" si="945">+O42+N43</f>
        <v>0</v>
      </c>
      <c r="P43" s="9">
        <f t="shared" ref="P43" si="946">+P42+O43</f>
        <v>0</v>
      </c>
      <c r="Q43" s="9">
        <f t="shared" ref="Q43" si="947">+Q42+P43</f>
        <v>0</v>
      </c>
      <c r="R43" s="9">
        <f t="shared" ref="R43" si="948">+R42+Q43</f>
        <v>0</v>
      </c>
      <c r="S43" s="9">
        <f t="shared" ref="S43" si="949">+S42+R43</f>
        <v>0</v>
      </c>
      <c r="T43" s="9">
        <f t="shared" ref="T43" si="950">+T42+S43</f>
        <v>0</v>
      </c>
      <c r="U43" s="9">
        <f t="shared" ref="U43" si="951">+U42+T43</f>
        <v>0</v>
      </c>
      <c r="V43" s="9">
        <f t="shared" ref="V43" si="952">+V42+U43</f>
        <v>0</v>
      </c>
      <c r="W43" s="9">
        <f t="shared" ref="W43" si="953">+W42+V43</f>
        <v>0</v>
      </c>
      <c r="X43" s="9">
        <f t="shared" ref="X43" si="954">+X42+W43</f>
        <v>0</v>
      </c>
      <c r="Y43" s="172">
        <f t="shared" ref="Y43" si="955">+Y42+X43</f>
        <v>0</v>
      </c>
      <c r="Z43" s="9">
        <f t="shared" ref="Z43" si="956">+Z42+Y43</f>
        <v>0</v>
      </c>
      <c r="AA43" s="9">
        <f t="shared" ref="AA43" si="957">+AA42+Z43</f>
        <v>0</v>
      </c>
      <c r="AB43" s="9">
        <f t="shared" ref="AB43" si="958">+AB42+AA43</f>
        <v>0</v>
      </c>
      <c r="AC43" s="9">
        <f t="shared" ref="AC43" si="959">+AC42+AB43</f>
        <v>0</v>
      </c>
      <c r="AD43" s="9">
        <f t="shared" ref="AD43" si="960">+AD42+AC43</f>
        <v>0</v>
      </c>
      <c r="AE43" s="9">
        <f t="shared" ref="AE43" si="961">+AE42+AD43</f>
        <v>0</v>
      </c>
      <c r="AF43" s="9">
        <f t="shared" ref="AF43" si="962">+AF42+AE43</f>
        <v>0</v>
      </c>
      <c r="AG43" s="9">
        <f t="shared" ref="AG43" si="963">+AG42+AF43</f>
        <v>0</v>
      </c>
      <c r="AH43" s="9">
        <f t="shared" ref="AH43" si="964">+AH42+AG43</f>
        <v>0</v>
      </c>
      <c r="AI43" s="9">
        <f t="shared" ref="AI43" si="965">+AI42+AH43</f>
        <v>0</v>
      </c>
      <c r="AJ43" s="9">
        <f t="shared" ref="AJ43" si="966">+AJ42+AI43</f>
        <v>0</v>
      </c>
      <c r="AK43" s="9">
        <f t="shared" ref="AK43" si="967">+AK42+AJ43</f>
        <v>0</v>
      </c>
      <c r="AL43" s="9">
        <f t="shared" ref="AL43" si="968">+AL42+AK43</f>
        <v>0</v>
      </c>
      <c r="AM43" s="9">
        <f t="shared" ref="AM43" si="969">+AM42+AL43</f>
        <v>0</v>
      </c>
      <c r="AN43" s="9">
        <f t="shared" ref="AN43" si="970">+AN42+AM43</f>
        <v>0</v>
      </c>
      <c r="AO43" s="9">
        <f t="shared" ref="AO43" si="971">+AO42+AN43</f>
        <v>0</v>
      </c>
      <c r="AP43" s="9">
        <f t="shared" ref="AP43" si="972">+AP42+AO43</f>
        <v>0</v>
      </c>
      <c r="AQ43" s="9">
        <f t="shared" ref="AQ43" si="973">+AQ42+AP43</f>
        <v>0</v>
      </c>
      <c r="AR43" s="9">
        <f t="shared" ref="AR43" si="974">+AR42+AQ43</f>
        <v>0</v>
      </c>
      <c r="AS43" s="9">
        <f t="shared" ref="AS43" si="975">+AS42+AR43</f>
        <v>0</v>
      </c>
      <c r="AT43" s="9">
        <f t="shared" ref="AT43" si="976">+AT42+AS43</f>
        <v>0</v>
      </c>
      <c r="AU43" s="9">
        <f t="shared" ref="AU43" si="977">+AU42+AT43</f>
        <v>0</v>
      </c>
      <c r="AV43" s="9">
        <f t="shared" ref="AV43" si="978">+AV42+AU43</f>
        <v>0</v>
      </c>
      <c r="AW43" s="9">
        <f t="shared" ref="AW43" si="979">+AW42+AV43</f>
        <v>0</v>
      </c>
      <c r="AX43" s="9">
        <f t="shared" ref="AX43" si="980">+AX42+AW43</f>
        <v>0</v>
      </c>
      <c r="AY43" s="9">
        <f t="shared" ref="AY43" si="981">+AY42+AX43</f>
        <v>0</v>
      </c>
      <c r="AZ43" s="9">
        <f t="shared" ref="AZ43" si="982">+AZ42+AY43</f>
        <v>0</v>
      </c>
      <c r="BA43" s="9">
        <f t="shared" ref="BA43" si="983">+BA42+AZ43</f>
        <v>0</v>
      </c>
      <c r="BB43" s="9">
        <f t="shared" ref="BB43" si="984">+BB42+BA43</f>
        <v>0</v>
      </c>
      <c r="BC43" s="9">
        <f t="shared" ref="BC43" si="985">+BC42+BB43</f>
        <v>0</v>
      </c>
      <c r="BD43" s="9">
        <f t="shared" ref="BD43" si="986">+BD42+BC43</f>
        <v>0</v>
      </c>
      <c r="BE43" s="9">
        <f t="shared" ref="BE43" si="987">+BE42+BD43</f>
        <v>295000</v>
      </c>
      <c r="BF43" s="9">
        <f t="shared" ref="BF43" si="988">+BF42+BE43</f>
        <v>295000</v>
      </c>
      <c r="BG43" s="9">
        <f t="shared" ref="BG43" si="989">+BG42+BF43</f>
        <v>295000</v>
      </c>
      <c r="BH43" s="9">
        <f t="shared" ref="BH43" si="990">+BH42+BG43</f>
        <v>295000</v>
      </c>
      <c r="BI43" s="9">
        <f t="shared" ref="BI43" si="991">+BI42+BH43</f>
        <v>885000</v>
      </c>
      <c r="BJ43" s="9">
        <f t="shared" ref="BJ43" si="992">+BJ42+BI43</f>
        <v>1622500</v>
      </c>
      <c r="BK43" s="9">
        <f t="shared" ref="BK43" si="993">+BK42+BJ43</f>
        <v>2065000</v>
      </c>
      <c r="BL43" s="9">
        <f t="shared" ref="BL43" si="994">+BL42+BK43</f>
        <v>2065000</v>
      </c>
      <c r="BM43" s="9">
        <f t="shared" ref="BM43" si="995">+BM42+BL43</f>
        <v>2507500</v>
      </c>
      <c r="BN43" s="9">
        <f t="shared" ref="BN43" si="996">+BN42+BM43</f>
        <v>2507500</v>
      </c>
      <c r="BO43" s="9">
        <f t="shared" ref="BO43" si="997">+BO42+BN43</f>
        <v>2950000</v>
      </c>
      <c r="BP43" s="9">
        <f t="shared" ref="BP43" si="998">+BP42+BO43</f>
        <v>2950000</v>
      </c>
      <c r="BQ43" s="9">
        <f t="shared" ref="BQ43" si="999">+BQ42+BP43</f>
        <v>2950000</v>
      </c>
      <c r="BR43" s="9">
        <f t="shared" ref="BR43" si="1000">+BR42+BQ43</f>
        <v>2950000</v>
      </c>
      <c r="BS43" s="9">
        <f t="shared" ref="BS43" si="1001">+BS42+BR43</f>
        <v>2950000</v>
      </c>
      <c r="BT43" s="9">
        <f t="shared" ref="BT43" si="1002">+BT42+BS43</f>
        <v>2950000</v>
      </c>
      <c r="BU43" s="9">
        <f t="shared" ref="BU43" si="1003">+BU42+BT43</f>
        <v>2950000</v>
      </c>
      <c r="BV43" s="9">
        <f t="shared" ref="BV43" si="1004">+BV42+BU43</f>
        <v>2950000</v>
      </c>
      <c r="BW43" s="9">
        <f t="shared" ref="BW43" si="1005">+BW42+BV43</f>
        <v>2950000</v>
      </c>
      <c r="BX43" s="9">
        <f t="shared" ref="BX43" si="1006">+BX42+BW43</f>
        <v>2950000</v>
      </c>
      <c r="BY43" s="9">
        <f t="shared" ref="BY43" si="1007">+BY42+BX43</f>
        <v>2950000</v>
      </c>
      <c r="BZ43" s="9">
        <f t="shared" ref="BZ43" si="1008">+BZ42+BY43</f>
        <v>2950000</v>
      </c>
      <c r="CA43" s="9">
        <f t="shared" ref="CA43" si="1009">+CA42+BZ43</f>
        <v>2950000</v>
      </c>
      <c r="CB43" s="9">
        <f t="shared" ref="CB43" si="1010">+CB42+CA43</f>
        <v>2950000</v>
      </c>
      <c r="CC43" s="9">
        <f t="shared" ref="CC43" si="1011">+CC42+CB43</f>
        <v>2950000</v>
      </c>
      <c r="CD43" s="9">
        <f t="shared" ref="CD43" si="1012">+CD42+CC43</f>
        <v>2950000</v>
      </c>
      <c r="CE43" s="9">
        <f t="shared" ref="CE43" si="1013">+CE42+CD43</f>
        <v>2950000</v>
      </c>
      <c r="CF43" s="9">
        <f t="shared" ref="CF43" si="1014">+CF42+CE43</f>
        <v>2950000</v>
      </c>
      <c r="CG43" s="9">
        <f t="shared" ref="CG43" si="1015">+CG42+CF43</f>
        <v>2950000</v>
      </c>
      <c r="CH43" s="9">
        <f t="shared" ref="CH43" si="1016">+CH42+CG43</f>
        <v>2950000</v>
      </c>
      <c r="CI43" s="9">
        <f t="shared" ref="CI43" si="1017">+CI42+CH43</f>
        <v>2950000</v>
      </c>
      <c r="CJ43" s="9">
        <f t="shared" ref="CJ43" si="1018">+CJ42+CI43</f>
        <v>2950000</v>
      </c>
      <c r="CK43" s="9">
        <f t="shared" ref="CK43" si="1019">+CK42+CJ43</f>
        <v>2950000</v>
      </c>
      <c r="CL43" s="9">
        <f t="shared" ref="CL43" si="1020">+CL42+CK43</f>
        <v>2950000</v>
      </c>
      <c r="CM43" s="9">
        <f t="shared" ref="CM43" si="1021">+CM42+CL43</f>
        <v>2950000</v>
      </c>
      <c r="CN43" s="9">
        <f t="shared" ref="CN43" si="1022">+CN42+CM43</f>
        <v>2950000</v>
      </c>
      <c r="CO43" s="9">
        <f t="shared" ref="CO43" si="1023">+CO42+CN43</f>
        <v>2950000</v>
      </c>
      <c r="CP43" s="9">
        <f t="shared" ref="CP43" si="1024">+CP42+CO43</f>
        <v>2950000</v>
      </c>
      <c r="CQ43" s="9">
        <f t="shared" ref="CQ43" si="1025">+CQ42+CP43</f>
        <v>2950000</v>
      </c>
      <c r="CR43" s="9">
        <f t="shared" ref="CR43" si="1026">+CR42+CQ43</f>
        <v>2950000</v>
      </c>
      <c r="CS43" s="9">
        <f t="shared" ref="CS43" si="1027">+CS42+CR43</f>
        <v>2950000</v>
      </c>
      <c r="CT43" s="9">
        <f t="shared" ref="CT43" si="1028">+CT42+CS43</f>
        <v>2950000</v>
      </c>
      <c r="CU43" s="9">
        <f t="shared" ref="CU43" si="1029">+CU42+CT43</f>
        <v>2950000</v>
      </c>
      <c r="CV43" s="9">
        <f t="shared" ref="CV43" si="1030">+CV42+CU43</f>
        <v>2950000</v>
      </c>
      <c r="CW43" s="9">
        <f t="shared" ref="CW43" si="1031">+CW42+CV43</f>
        <v>2950000</v>
      </c>
      <c r="CX43" s="9">
        <f t="shared" ref="CX43" si="1032">+CX42+CW43</f>
        <v>2950000</v>
      </c>
      <c r="CY43" s="9">
        <f t="shared" ref="CY43" si="1033">+CY42+CX43</f>
        <v>2950000</v>
      </c>
      <c r="CZ43" s="9">
        <f t="shared" ref="CZ43" si="1034">+CZ42+CY43</f>
        <v>2950000</v>
      </c>
      <c r="DA43" s="9">
        <f t="shared" ref="DA43" si="1035">+DA42+CZ43</f>
        <v>2950000</v>
      </c>
      <c r="DB43" s="9">
        <f t="shared" ref="DB43" si="1036">+DB42+DA43</f>
        <v>2950000</v>
      </c>
      <c r="DC43" s="9">
        <f t="shared" ref="DC43" si="1037">+DC42+DB43</f>
        <v>2950000</v>
      </c>
      <c r="DD43" s="9">
        <f t="shared" ref="DD43" si="1038">+DD42+DC43</f>
        <v>2950000</v>
      </c>
      <c r="DE43" s="9">
        <f t="shared" ref="DE43" si="1039">+DE42+DD43</f>
        <v>2950000</v>
      </c>
      <c r="DF43" s="9">
        <f t="shared" ref="DF43" si="1040">+DF42+DE43</f>
        <v>2950000</v>
      </c>
      <c r="DG43" s="9">
        <f t="shared" ref="DG43:DH43" si="1041">+DG42+DF43</f>
        <v>2950000</v>
      </c>
      <c r="DH43" s="9">
        <f t="shared" si="1041"/>
        <v>2950000</v>
      </c>
    </row>
    <row r="44" spans="2:112" x14ac:dyDescent="0.3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72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</row>
    <row r="45" spans="2:112" x14ac:dyDescent="0.3">
      <c r="F45" s="513">
        <f t="shared" ref="F45:AK45" si="1042">+IF(F$3&lt;$C$49,0,IF(AND(F$3&gt;=$C$49,E45&lt;12, $C$50&gt;=F$3),E45+1,0))</f>
        <v>0</v>
      </c>
      <c r="G45" s="513">
        <f t="shared" si="1042"/>
        <v>0</v>
      </c>
      <c r="H45" s="513">
        <f t="shared" si="1042"/>
        <v>0</v>
      </c>
      <c r="I45" s="513">
        <f t="shared" si="1042"/>
        <v>0</v>
      </c>
      <c r="J45" s="513">
        <f t="shared" si="1042"/>
        <v>0</v>
      </c>
      <c r="K45" s="513">
        <f t="shared" si="1042"/>
        <v>0</v>
      </c>
      <c r="L45" s="513">
        <f t="shared" si="1042"/>
        <v>0</v>
      </c>
      <c r="M45" s="513">
        <f t="shared" si="1042"/>
        <v>0</v>
      </c>
      <c r="N45" s="513">
        <f t="shared" si="1042"/>
        <v>0</v>
      </c>
      <c r="O45" s="513">
        <f t="shared" si="1042"/>
        <v>0</v>
      </c>
      <c r="P45" s="513">
        <f t="shared" si="1042"/>
        <v>0</v>
      </c>
      <c r="Q45" s="513">
        <f t="shared" si="1042"/>
        <v>0</v>
      </c>
      <c r="R45" s="513">
        <f t="shared" si="1042"/>
        <v>0</v>
      </c>
      <c r="S45" s="513">
        <f t="shared" si="1042"/>
        <v>0</v>
      </c>
      <c r="T45" s="513">
        <f t="shared" si="1042"/>
        <v>0</v>
      </c>
      <c r="U45" s="513">
        <f t="shared" si="1042"/>
        <v>0</v>
      </c>
      <c r="V45" s="82">
        <f t="shared" si="1042"/>
        <v>0</v>
      </c>
      <c r="W45" s="82">
        <f t="shared" si="1042"/>
        <v>0</v>
      </c>
      <c r="X45" s="82">
        <f t="shared" si="1042"/>
        <v>0</v>
      </c>
      <c r="Y45" s="252">
        <f t="shared" si="1042"/>
        <v>0</v>
      </c>
      <c r="Z45" s="513">
        <f t="shared" si="1042"/>
        <v>0</v>
      </c>
      <c r="AA45" s="513">
        <f t="shared" si="1042"/>
        <v>0</v>
      </c>
      <c r="AB45" s="513">
        <f t="shared" si="1042"/>
        <v>0</v>
      </c>
      <c r="AC45" s="513">
        <f t="shared" si="1042"/>
        <v>0</v>
      </c>
      <c r="AD45" s="513">
        <f t="shared" si="1042"/>
        <v>0</v>
      </c>
      <c r="AE45" s="513">
        <f t="shared" si="1042"/>
        <v>0</v>
      </c>
      <c r="AF45" s="513">
        <f t="shared" si="1042"/>
        <v>0</v>
      </c>
      <c r="AG45" s="513">
        <f t="shared" si="1042"/>
        <v>0</v>
      </c>
      <c r="AH45" s="513">
        <f t="shared" si="1042"/>
        <v>0</v>
      </c>
      <c r="AI45" s="513">
        <f t="shared" si="1042"/>
        <v>0</v>
      </c>
      <c r="AJ45" s="513">
        <f t="shared" si="1042"/>
        <v>0</v>
      </c>
      <c r="AK45" s="513">
        <f t="shared" si="1042"/>
        <v>0</v>
      </c>
      <c r="AL45" s="513">
        <f t="shared" ref="AL45:BQ45" si="1043">+IF(AL$3&lt;$C$49,0,IF(AND(AL$3&gt;=$C$49,AK45&lt;12, $C$50&gt;=AL$3),AK45+1,0))</f>
        <v>0</v>
      </c>
      <c r="AM45" s="513">
        <f t="shared" si="1043"/>
        <v>0</v>
      </c>
      <c r="AN45" s="513">
        <f t="shared" si="1043"/>
        <v>0</v>
      </c>
      <c r="AO45" s="513">
        <f t="shared" si="1043"/>
        <v>0</v>
      </c>
      <c r="AP45" s="513">
        <f t="shared" si="1043"/>
        <v>0</v>
      </c>
      <c r="AQ45" s="513">
        <f t="shared" si="1043"/>
        <v>0</v>
      </c>
      <c r="AR45" s="513">
        <f t="shared" si="1043"/>
        <v>0</v>
      </c>
      <c r="AS45" s="513">
        <f t="shared" si="1043"/>
        <v>0</v>
      </c>
      <c r="AT45" s="513">
        <f t="shared" si="1043"/>
        <v>0</v>
      </c>
      <c r="AU45" s="513">
        <f t="shared" si="1043"/>
        <v>0</v>
      </c>
      <c r="AV45" s="513">
        <f t="shared" si="1043"/>
        <v>0</v>
      </c>
      <c r="AW45" s="513">
        <f t="shared" si="1043"/>
        <v>0</v>
      </c>
      <c r="AX45" s="513">
        <f t="shared" si="1043"/>
        <v>0</v>
      </c>
      <c r="AY45" s="513">
        <f t="shared" si="1043"/>
        <v>0</v>
      </c>
      <c r="AZ45" s="513">
        <f t="shared" si="1043"/>
        <v>0</v>
      </c>
      <c r="BA45" s="513">
        <f t="shared" si="1043"/>
        <v>0</v>
      </c>
      <c r="BB45" s="513">
        <f t="shared" si="1043"/>
        <v>0</v>
      </c>
      <c r="BC45" s="513">
        <f t="shared" si="1043"/>
        <v>0</v>
      </c>
      <c r="BD45" s="513">
        <f t="shared" si="1043"/>
        <v>0</v>
      </c>
      <c r="BE45" s="513">
        <f t="shared" si="1043"/>
        <v>0</v>
      </c>
      <c r="BF45" s="513">
        <f t="shared" si="1043"/>
        <v>0</v>
      </c>
      <c r="BG45" s="513">
        <f t="shared" si="1043"/>
        <v>0</v>
      </c>
      <c r="BH45" s="513">
        <f t="shared" si="1043"/>
        <v>0</v>
      </c>
      <c r="BI45" s="513">
        <f t="shared" si="1043"/>
        <v>0</v>
      </c>
      <c r="BJ45" s="513">
        <f t="shared" si="1043"/>
        <v>0</v>
      </c>
      <c r="BK45" s="513">
        <f t="shared" si="1043"/>
        <v>0</v>
      </c>
      <c r="BL45" s="513">
        <f t="shared" si="1043"/>
        <v>0</v>
      </c>
      <c r="BM45" s="513">
        <f t="shared" si="1043"/>
        <v>0</v>
      </c>
      <c r="BN45" s="513">
        <f t="shared" si="1043"/>
        <v>0</v>
      </c>
      <c r="BO45" s="513">
        <f t="shared" si="1043"/>
        <v>0</v>
      </c>
      <c r="BP45" s="513">
        <f t="shared" si="1043"/>
        <v>0</v>
      </c>
      <c r="BQ45" s="513">
        <f t="shared" si="1043"/>
        <v>1</v>
      </c>
      <c r="BR45" s="513">
        <f t="shared" ref="BR45:CV45" si="1044">+IF(BR$3&lt;$C$49,0,IF(AND(BR$3&gt;=$C$49,BQ45&lt;12, $C$50&gt;=BR$3),BQ45+1,0))</f>
        <v>2</v>
      </c>
      <c r="BS45" s="513">
        <f t="shared" si="1044"/>
        <v>3</v>
      </c>
      <c r="BT45" s="513">
        <f t="shared" si="1044"/>
        <v>4</v>
      </c>
      <c r="BU45" s="513">
        <f t="shared" si="1044"/>
        <v>5</v>
      </c>
      <c r="BV45" s="513">
        <f t="shared" si="1044"/>
        <v>6</v>
      </c>
      <c r="BW45" s="513">
        <f t="shared" si="1044"/>
        <v>7</v>
      </c>
      <c r="BX45" s="513">
        <f t="shared" si="1044"/>
        <v>8</v>
      </c>
      <c r="BY45" s="513">
        <f t="shared" si="1044"/>
        <v>9</v>
      </c>
      <c r="BZ45" s="513">
        <f t="shared" si="1044"/>
        <v>10</v>
      </c>
      <c r="CA45" s="513">
        <f t="shared" si="1044"/>
        <v>11</v>
      </c>
      <c r="CB45" s="513">
        <f t="shared" si="1044"/>
        <v>12</v>
      </c>
      <c r="CC45" s="513">
        <f t="shared" si="1044"/>
        <v>0</v>
      </c>
      <c r="CD45" s="513">
        <f t="shared" si="1044"/>
        <v>0</v>
      </c>
      <c r="CE45" s="513">
        <f t="shared" si="1044"/>
        <v>0</v>
      </c>
      <c r="CF45" s="513">
        <f t="shared" si="1044"/>
        <v>0</v>
      </c>
      <c r="CG45" s="513">
        <f t="shared" si="1044"/>
        <v>0</v>
      </c>
      <c r="CH45" s="513">
        <f t="shared" si="1044"/>
        <v>0</v>
      </c>
      <c r="CI45" s="513">
        <f t="shared" si="1044"/>
        <v>0</v>
      </c>
      <c r="CJ45" s="513">
        <f t="shared" si="1044"/>
        <v>0</v>
      </c>
      <c r="CK45" s="513">
        <f t="shared" si="1044"/>
        <v>0</v>
      </c>
      <c r="CL45" s="513">
        <f t="shared" si="1044"/>
        <v>0</v>
      </c>
      <c r="CM45" s="513">
        <f t="shared" si="1044"/>
        <v>0</v>
      </c>
      <c r="CN45" s="513">
        <f t="shared" si="1044"/>
        <v>0</v>
      </c>
      <c r="CO45" s="513">
        <f t="shared" si="1044"/>
        <v>0</v>
      </c>
      <c r="CP45" s="513">
        <f t="shared" si="1044"/>
        <v>0</v>
      </c>
      <c r="CQ45" s="513">
        <f t="shared" si="1044"/>
        <v>0</v>
      </c>
      <c r="CR45" s="513">
        <f t="shared" si="1044"/>
        <v>0</v>
      </c>
      <c r="CS45" s="513">
        <f t="shared" si="1044"/>
        <v>0</v>
      </c>
      <c r="CT45" s="513">
        <f t="shared" si="1044"/>
        <v>0</v>
      </c>
      <c r="CU45" s="513">
        <f t="shared" si="1044"/>
        <v>0</v>
      </c>
      <c r="CV45" s="513">
        <f t="shared" si="1044"/>
        <v>0</v>
      </c>
      <c r="CW45" s="513">
        <f t="shared" ref="CW45:DG45" si="1045">+IF(CW$3&lt;$C$49,0,IF(AND(CW$3&gt;=$C$49,CV45&lt;12, $C$50&gt;=CW$3),CV45+1,0))</f>
        <v>0</v>
      </c>
      <c r="CX45" s="513">
        <f t="shared" si="1045"/>
        <v>0</v>
      </c>
      <c r="CY45" s="513">
        <f t="shared" si="1045"/>
        <v>0</v>
      </c>
      <c r="CZ45" s="513">
        <f t="shared" si="1045"/>
        <v>0</v>
      </c>
      <c r="DA45" s="513">
        <f t="shared" si="1045"/>
        <v>0</v>
      </c>
      <c r="DB45" s="513">
        <f t="shared" si="1045"/>
        <v>0</v>
      </c>
      <c r="DC45" s="513">
        <f t="shared" si="1045"/>
        <v>0</v>
      </c>
      <c r="DD45" s="513">
        <f t="shared" si="1045"/>
        <v>0</v>
      </c>
      <c r="DE45" s="513">
        <f t="shared" si="1045"/>
        <v>0</v>
      </c>
      <c r="DF45" s="513">
        <f t="shared" si="1045"/>
        <v>0</v>
      </c>
      <c r="DG45" s="513">
        <f t="shared" si="1045"/>
        <v>0</v>
      </c>
      <c r="DH45" s="513">
        <f t="shared" ref="DH45" si="1046">+IF(DH$3&lt;$C$49,0,IF(AND(DH$3&gt;=$C$49,DG45&lt;12, $C$50&gt;=DH$3),DG45+1,0))</f>
        <v>0</v>
      </c>
    </row>
    <row r="46" spans="2:112" x14ac:dyDescent="0.3">
      <c r="B46" t="s">
        <v>381</v>
      </c>
      <c r="D46" t="s">
        <v>244</v>
      </c>
      <c r="E46" s="459"/>
      <c r="F46" s="459">
        <f>+IFERROR(INDEX(Assumptions!$F$5:$F$16, MATCH(F45, Assumptions!$D$5:$D$16, 0))*$C$47, 0)</f>
        <v>0</v>
      </c>
      <c r="G46" s="459">
        <f>+IFERROR(INDEX(Assumptions!$F$5:$F$16, MATCH(G45, Assumptions!$D$5:$D$16, 0))*$C$47, 0)</f>
        <v>0</v>
      </c>
      <c r="H46" s="459">
        <f>+IFERROR(INDEX(Assumptions!$F$5:$F$16, MATCH(H45, Assumptions!$D$5:$D$16, 0))*$C$47, 0)</f>
        <v>0</v>
      </c>
      <c r="I46" s="459">
        <f>+IFERROR(INDEX(Assumptions!$F$5:$F$16, MATCH(I45, Assumptions!$D$5:$D$16, 0))*$C$47, 0)</f>
        <v>0</v>
      </c>
      <c r="J46" s="459">
        <f>+IFERROR(INDEX(Assumptions!$F$5:$F$16, MATCH(J45, Assumptions!$D$5:$D$16, 0))*$C$47, 0)</f>
        <v>0</v>
      </c>
      <c r="K46" s="459">
        <f>+IFERROR(INDEX(Assumptions!$F$5:$F$16, MATCH(K45, Assumptions!$D$5:$D$16, 0))*$C$47, 0)</f>
        <v>0</v>
      </c>
      <c r="L46" s="459">
        <f>+IFERROR(INDEX(Assumptions!$F$5:$F$16, MATCH(L45, Assumptions!$D$5:$D$16, 0))*$C$47, 0)</f>
        <v>0</v>
      </c>
      <c r="M46" s="459">
        <f>+IFERROR(INDEX(Assumptions!$F$5:$F$16, MATCH(M45, Assumptions!$D$5:$D$16, 0))*$C$47, 0)</f>
        <v>0</v>
      </c>
      <c r="N46" s="459">
        <f>+IFERROR(INDEX(Assumptions!$F$5:$F$16, MATCH(N45, Assumptions!$D$5:$D$16, 0))*$C$47, 0)</f>
        <v>0</v>
      </c>
      <c r="O46" s="459">
        <f>+IFERROR(INDEX(Assumptions!$F$5:$F$16, MATCH(O45, Assumptions!$D$5:$D$16, 0))*$C$47, 0)</f>
        <v>0</v>
      </c>
      <c r="P46" s="459">
        <f>+IFERROR(INDEX(Assumptions!$F$5:$F$16, MATCH(P45, Assumptions!$D$5:$D$16, 0))*$C$47, 0)</f>
        <v>0</v>
      </c>
      <c r="Q46" s="511">
        <f>+IFERROR(INDEX(Assumptions!$F$5:$F$16, MATCH(Q45, Assumptions!$D$5:$D$16, 0))*$C$47, 0)</f>
        <v>0</v>
      </c>
      <c r="R46" s="459">
        <f>+IFERROR(INDEX(Assumptions!$F$5:$F$16, MATCH(R45, Assumptions!$D$5:$D$16, 0))*$C$47, 0)</f>
        <v>0</v>
      </c>
      <c r="S46" s="459">
        <f>+IFERROR(INDEX(Assumptions!$F$5:$F$16, MATCH(S45, Assumptions!$D$5:$D$16, 0))*$C$47, 0)</f>
        <v>0</v>
      </c>
      <c r="T46" s="459">
        <f>+IFERROR(INDEX(Assumptions!$F$5:$F$16, MATCH(T45, Assumptions!$D$5:$D$16, 0))*$C$47, 0)</f>
        <v>0</v>
      </c>
      <c r="U46" s="459">
        <f>+IFERROR(INDEX(Assumptions!$F$5:$F$16, MATCH(U45, Assumptions!$D$5:$D$16, 0))*$C$47, 0)</f>
        <v>0</v>
      </c>
      <c r="V46" s="535">
        <f>+IFERROR(INDEX(Assumptions!$F$5:$F$16, MATCH(V45, Assumptions!$D$5:$D$16, 0))*$C$47, 0)</f>
        <v>0</v>
      </c>
      <c r="W46" s="147">
        <f>+IFERROR(INDEX(Assumptions!$F$5:$F$16, MATCH(W45, Assumptions!$D$5:$D$16, 0))*$C$47, 0)</f>
        <v>0</v>
      </c>
      <c r="X46" s="147">
        <f>+IFERROR(INDEX(Assumptions!$F$5:$F$16, MATCH(X45, Assumptions!$D$5:$D$16, 0))*$C$47, 0)</f>
        <v>0</v>
      </c>
      <c r="Y46" s="347">
        <f>+IFERROR(INDEX(Assumptions!$F$5:$F$16, MATCH(Y45, Assumptions!$D$5:$D$16, 0))*$C$47, 0)</f>
        <v>0</v>
      </c>
      <c r="Z46" s="280">
        <f>+IFERROR(INDEX(Assumptions!$F$5:$F$16, MATCH(Z45, Assumptions!$D$5:$D$16, 0))*$C$47, 0)</f>
        <v>0</v>
      </c>
      <c r="AA46" s="280">
        <f>+IFERROR(INDEX(Assumptions!$F$5:$F$16, MATCH(AA45, Assumptions!$D$5:$D$16, 0))*$C$47, 0)</f>
        <v>0</v>
      </c>
      <c r="AB46" s="280">
        <f>+IFERROR(INDEX(Assumptions!$F$5:$F$16, MATCH(AB45, Assumptions!$D$5:$D$16, 0))*$C$47, 0)</f>
        <v>0</v>
      </c>
      <c r="AC46" s="280">
        <f>+IFERROR(INDEX(Assumptions!$F$5:$F$16, MATCH(AC45, Assumptions!$D$5:$D$16, 0))*$C$47, 0)</f>
        <v>0</v>
      </c>
      <c r="AD46" s="280">
        <f>+IFERROR(INDEX(Assumptions!$F$5:$F$16, MATCH(AD45, Assumptions!$D$5:$D$16, 0))*$C$47, 0)</f>
        <v>0</v>
      </c>
      <c r="AE46" s="280">
        <f>+IFERROR(INDEX(Assumptions!$F$5:$F$16, MATCH(AE45, Assumptions!$D$5:$D$16, 0))*$C$47, 0)</f>
        <v>0</v>
      </c>
      <c r="AF46" s="280">
        <f>+IFERROR(INDEX(Assumptions!$F$5:$F$16, MATCH(AF45, Assumptions!$D$5:$D$16, 0))*$C$47, 0)</f>
        <v>0</v>
      </c>
      <c r="AG46" s="280">
        <f>+IFERROR(INDEX(Assumptions!$F$5:$F$16, MATCH(AG45, Assumptions!$D$5:$D$16, 0))*$C$47, 0)</f>
        <v>0</v>
      </c>
      <c r="AH46" s="280">
        <f>+IFERROR(INDEX(Assumptions!$F$5:$F$16, MATCH(AH45, Assumptions!$D$5:$D$16, 0))*$C$47, 0)</f>
        <v>0</v>
      </c>
      <c r="AI46" s="280">
        <f>+IFERROR(INDEX(Assumptions!$F$5:$F$16, MATCH(AI45, Assumptions!$D$5:$D$16, 0))*$C$47, 0)</f>
        <v>0</v>
      </c>
      <c r="AJ46" s="280">
        <f>+IFERROR(INDEX(Assumptions!$F$5:$F$16, MATCH(AJ45, Assumptions!$D$5:$D$16, 0))*$C$47, 0)</f>
        <v>0</v>
      </c>
      <c r="AK46" s="280">
        <f>+IFERROR(INDEX(Assumptions!$F$5:$F$16, MATCH(AK45, Assumptions!$D$5:$D$16, 0))*$C$47, 0)</f>
        <v>0</v>
      </c>
      <c r="AL46" s="280">
        <f>+IFERROR(INDEX(Assumptions!$F$5:$F$16, MATCH(AL45, Assumptions!$D$5:$D$16, 0))*$C$47, 0)</f>
        <v>0</v>
      </c>
      <c r="AM46" s="280">
        <f>+IFERROR(INDEX(Assumptions!$F$5:$F$16, MATCH(AM45, Assumptions!$D$5:$D$16, 0))*$C$47, 0)</f>
        <v>0</v>
      </c>
      <c r="AN46" s="280">
        <f>+IFERROR(INDEX(Assumptions!$F$5:$F$16, MATCH(AN45, Assumptions!$D$5:$D$16, 0))*$C$47, 0)</f>
        <v>0</v>
      </c>
      <c r="AO46" s="280">
        <f>+IFERROR(INDEX(Assumptions!$F$5:$F$16, MATCH(AO45, Assumptions!$D$5:$D$16, 0))*$C$47, 0)</f>
        <v>0</v>
      </c>
      <c r="AP46" s="280">
        <f>+IFERROR(INDEX(Assumptions!$F$5:$F$16, MATCH(AP45, Assumptions!$D$5:$D$16, 0))*$C$47, 0)</f>
        <v>0</v>
      </c>
      <c r="AQ46" s="280">
        <f>+IFERROR(INDEX(Assumptions!$F$5:$F$16, MATCH(AQ45, Assumptions!$D$5:$D$16, 0))*$C$47, 0)</f>
        <v>0</v>
      </c>
      <c r="AR46" s="280">
        <f>+IFERROR(INDEX(Assumptions!$F$5:$F$16, MATCH(AR45, Assumptions!$D$5:$D$16, 0))*$C$47, 0)</f>
        <v>0</v>
      </c>
      <c r="AS46" s="280">
        <f>+IFERROR(INDEX(Assumptions!$F$5:$F$16, MATCH(AS45, Assumptions!$D$5:$D$16, 0))*$C$47, 0)</f>
        <v>0</v>
      </c>
      <c r="AT46" s="280">
        <f>+IFERROR(INDEX(Assumptions!$F$5:$F$16, MATCH(AT45, Assumptions!$D$5:$D$16, 0))*$C$47, 0)</f>
        <v>0</v>
      </c>
      <c r="AU46" s="280">
        <f>+IFERROR(INDEX(Assumptions!$F$5:$F$16, MATCH(AU45, Assumptions!$D$5:$D$16, 0))*$C$47, 0)</f>
        <v>0</v>
      </c>
      <c r="AV46" s="280">
        <f>+IFERROR(INDEX(Assumptions!$F$5:$F$16, MATCH(AV45, Assumptions!$D$5:$D$16, 0))*$C$47, 0)</f>
        <v>0</v>
      </c>
      <c r="AW46" s="280">
        <f>+IFERROR(INDEX(Assumptions!$F$5:$F$16, MATCH(AW45, Assumptions!$D$5:$D$16, 0))*$C$47, 0)</f>
        <v>0</v>
      </c>
      <c r="AX46" s="280">
        <f>+IFERROR(INDEX(Assumptions!$F$5:$F$16, MATCH(AX45, Assumptions!$D$5:$D$16, 0))*$C$47, 0)</f>
        <v>0</v>
      </c>
      <c r="AY46" s="280">
        <f>+IFERROR(INDEX(Assumptions!$F$5:$F$16, MATCH(AY45, Assumptions!$D$5:$D$16, 0))*$C$47, 0)</f>
        <v>0</v>
      </c>
      <c r="AZ46" s="280">
        <f>+IFERROR(INDEX(Assumptions!$F$5:$F$16, MATCH(AZ45, Assumptions!$D$5:$D$16, 0))*$C$47, 0)</f>
        <v>0</v>
      </c>
      <c r="BA46" s="280">
        <f>+IFERROR(INDEX(Assumptions!$F$5:$F$16, MATCH(BA45, Assumptions!$D$5:$D$16, 0))*$C$47, 0)</f>
        <v>0</v>
      </c>
      <c r="BB46" s="280">
        <f>+IFERROR(INDEX(Assumptions!$F$5:$F$16, MATCH(BB45, Assumptions!$D$5:$D$16, 0))*$C$47, 0)</f>
        <v>0</v>
      </c>
      <c r="BC46" s="280">
        <f>+IFERROR(INDEX(Assumptions!$F$5:$F$16, MATCH(BC45, Assumptions!$D$5:$D$16, 0))*$C$47, 0)</f>
        <v>0</v>
      </c>
      <c r="BD46" s="280">
        <f>+IFERROR(INDEX(Assumptions!$F$5:$F$16, MATCH(BD45, Assumptions!$D$5:$D$16, 0))*$C$47, 0)</f>
        <v>0</v>
      </c>
      <c r="BE46" s="280">
        <f>+IFERROR(INDEX(Assumptions!$F$5:$F$16, MATCH(BE45, Assumptions!$D$5:$D$16, 0))*$C$47, 0)</f>
        <v>0</v>
      </c>
      <c r="BF46" s="280">
        <f>+IFERROR(INDEX(Assumptions!$F$5:$F$16, MATCH(BF45, Assumptions!$D$5:$D$16, 0))*$C$47, 0)</f>
        <v>0</v>
      </c>
      <c r="BG46" s="280">
        <f>+IFERROR(INDEX(Assumptions!$F$5:$F$16, MATCH(BG45, Assumptions!$D$5:$D$16, 0))*$C$47, 0)</f>
        <v>0</v>
      </c>
      <c r="BH46" s="280">
        <f>+IFERROR(INDEX(Assumptions!$F$5:$F$16, MATCH(BH45, Assumptions!$D$5:$D$16, 0))*$C$47, 0)</f>
        <v>0</v>
      </c>
      <c r="BI46" s="280">
        <f>+IFERROR(INDEX(Assumptions!$F$5:$F$16, MATCH(BI45, Assumptions!$D$5:$D$16, 0))*$C$47, 0)</f>
        <v>0</v>
      </c>
      <c r="BJ46" s="280">
        <f>+IFERROR(INDEX(Assumptions!$F$5:$F$16, MATCH(BJ45, Assumptions!$D$5:$D$16, 0))*$C$47, 0)</f>
        <v>0</v>
      </c>
      <c r="BK46" s="280">
        <f>+IFERROR(INDEX(Assumptions!$F$5:$F$16, MATCH(BK45, Assumptions!$D$5:$D$16, 0))*$C$47, 0)</f>
        <v>0</v>
      </c>
      <c r="BL46" s="280">
        <f>+IFERROR(INDEX(Assumptions!$F$5:$F$16, MATCH(BL45, Assumptions!$D$5:$D$16, 0))*$C$47, 0)</f>
        <v>0</v>
      </c>
      <c r="BM46" s="280">
        <f>+IFERROR(INDEX(Assumptions!$F$5:$F$16, MATCH(BM45, Assumptions!$D$5:$D$16, 0))*$C$47, 0)</f>
        <v>0</v>
      </c>
      <c r="BN46" s="280">
        <f>+IFERROR(INDEX(Assumptions!$F$5:$F$16, MATCH(BN45, Assumptions!$D$5:$D$16, 0))*$C$47, 0)</f>
        <v>0</v>
      </c>
      <c r="BO46" s="280">
        <f>+IFERROR(INDEX(Assumptions!$F$5:$F$16, MATCH(BO45, Assumptions!$D$5:$D$16, 0))*$C$47, 0)</f>
        <v>0</v>
      </c>
      <c r="BP46" s="280">
        <f>+IFERROR(INDEX(Assumptions!$F$5:$F$16, MATCH(BP45, Assumptions!$D$5:$D$16, 0))*$C$47, 0)</f>
        <v>0</v>
      </c>
      <c r="BQ46" s="280">
        <f>+IFERROR(INDEX(Assumptions!$F$5:$F$16, MATCH(BQ45, Assumptions!$D$5:$D$16, 0))*$C$47, 0)</f>
        <v>0</v>
      </c>
      <c r="BR46" s="280">
        <f>+IFERROR(INDEX(Assumptions!$F$5:$F$16, MATCH(BR45, Assumptions!$D$5:$D$16, 0))*$C$47, 0)</f>
        <v>20491.708779210512</v>
      </c>
      <c r="BS46" s="280">
        <f>+IFERROR(INDEX(Assumptions!$F$5:$F$16, MATCH(BS45, Assumptions!$D$5:$D$16, 0))*$C$47, 0)</f>
        <v>2930.8329801931454</v>
      </c>
      <c r="BT46" s="280">
        <f>+IFERROR(INDEX(Assumptions!$F$5:$F$16, MATCH(BT45, Assumptions!$D$5:$D$16, 0))*$C$47, 0)</f>
        <v>121461.98051233741</v>
      </c>
      <c r="BU46" s="280">
        <f>+IFERROR(INDEX(Assumptions!$F$5:$F$16, MATCH(BU45, Assumptions!$D$5:$D$16, 0))*$C$47, 0)</f>
        <v>10964.209995779343</v>
      </c>
      <c r="BV46" s="280">
        <f>+IFERROR(INDEX(Assumptions!$F$5:$F$16, MATCH(BV45, Assumptions!$D$5:$D$16, 0))*$C$47, 0)</f>
        <v>496008.62548899534</v>
      </c>
      <c r="BW46" s="280">
        <f>+IFERROR(INDEX(Assumptions!$F$5:$F$16, MATCH(BW45, Assumptions!$D$5:$D$16, 0))*$C$47, 0)</f>
        <v>889511.48810614634</v>
      </c>
      <c r="BX46" s="280">
        <f>+IFERROR(INDEX(Assumptions!$F$5:$F$16, MATCH(BX45, Assumptions!$D$5:$D$16, 0))*$C$47, 0)</f>
        <v>599368.24976344395</v>
      </c>
      <c r="BY46" s="280">
        <f>+IFERROR(INDEX(Assumptions!$F$5:$F$16, MATCH(BY45, Assumptions!$D$5:$D$16, 0))*$C$47, 0)</f>
        <v>395507.95038995828</v>
      </c>
      <c r="BZ46" s="280">
        <f>+IFERROR(INDEX(Assumptions!$F$5:$F$16, MATCH(BZ45, Assumptions!$D$5:$D$16, 0))*$C$47, 0)</f>
        <v>82803.509535920239</v>
      </c>
      <c r="CA46" s="280">
        <f>+IFERROR(INDEX(Assumptions!$F$5:$F$16, MATCH(CA45, Assumptions!$D$5:$D$16, 0))*$C$47, 0)</f>
        <v>634109.77704172325</v>
      </c>
      <c r="CB46" s="280">
        <f>+IFERROR(INDEX(Assumptions!$F$5:$F$16, MATCH(CB45, Assumptions!$D$5:$D$16, 0))*$C$47, 0)</f>
        <v>146841.66740629228</v>
      </c>
      <c r="CC46" s="280">
        <f>+IFERROR(INDEX(Assumptions!$F$5:$F$16, MATCH(CC45, Assumptions!$D$5:$D$16, 0))*$C$47, 0)</f>
        <v>0</v>
      </c>
      <c r="CD46" s="280">
        <f>+IFERROR(INDEX(Assumptions!$F$5:$F$16, MATCH(CD45, Assumptions!$D$5:$D$16, 0))*$C$47, 0)</f>
        <v>0</v>
      </c>
      <c r="CE46" s="280">
        <f>+IFERROR(INDEX(Assumptions!$F$5:$F$16, MATCH(CE45, Assumptions!$D$5:$D$16, 0))*$C$47, 0)</f>
        <v>0</v>
      </c>
      <c r="CF46" s="280">
        <f>+IFERROR(INDEX(Assumptions!$F$5:$F$16, MATCH(CF45, Assumptions!$D$5:$D$16, 0))*$C$47, 0)</f>
        <v>0</v>
      </c>
      <c r="CG46" s="280">
        <f>+IFERROR(INDEX(Assumptions!$F$5:$F$16, MATCH(CG45, Assumptions!$D$5:$D$16, 0))*$C$47, 0)</f>
        <v>0</v>
      </c>
      <c r="CH46" s="280">
        <f>+IFERROR(INDEX(Assumptions!$F$5:$F$16, MATCH(CH45, Assumptions!$D$5:$D$16, 0))*$C$47, 0)</f>
        <v>0</v>
      </c>
      <c r="CI46" s="280">
        <f>+IFERROR(INDEX(Assumptions!$F$5:$F$16, MATCH(CI45, Assumptions!$D$5:$D$16, 0))*$C$47, 0)</f>
        <v>0</v>
      </c>
      <c r="CJ46" s="280">
        <f>+IFERROR(INDEX(Assumptions!$F$5:$F$16, MATCH(CJ45, Assumptions!$D$5:$D$16, 0))*$C$47, 0)</f>
        <v>0</v>
      </c>
      <c r="CK46" s="280">
        <f>+IFERROR(INDEX(Assumptions!$F$5:$F$16, MATCH(CK45, Assumptions!$D$5:$D$16, 0))*$C$47, 0)</f>
        <v>0</v>
      </c>
      <c r="CL46" s="280">
        <f>+IFERROR(INDEX(Assumptions!$F$5:$F$16, MATCH(CL45, Assumptions!$D$5:$D$16, 0))*$C$47, 0)</f>
        <v>0</v>
      </c>
      <c r="CM46" s="280">
        <f>+IFERROR(INDEX(Assumptions!$F$5:$F$16, MATCH(CM45, Assumptions!$D$5:$D$16, 0))*$C$47, 0)</f>
        <v>0</v>
      </c>
      <c r="CN46" s="280">
        <f>+IFERROR(INDEX(Assumptions!$F$5:$F$16, MATCH(CN45, Assumptions!$D$5:$D$16, 0))*$C$47, 0)</f>
        <v>0</v>
      </c>
      <c r="CO46" s="280">
        <f>+IFERROR(INDEX(Assumptions!$F$5:$F$16, MATCH(CO45, Assumptions!$D$5:$D$16, 0))*$C$47, 0)</f>
        <v>0</v>
      </c>
      <c r="CP46" s="280">
        <f>+IFERROR(INDEX(Assumptions!$F$5:$F$16, MATCH(CP45, Assumptions!$D$5:$D$16, 0))*$C$47, 0)</f>
        <v>0</v>
      </c>
      <c r="CQ46" s="280">
        <f>+IFERROR(INDEX(Assumptions!$F$5:$F$16, MATCH(CQ45, Assumptions!$D$5:$D$16, 0))*$C$47, 0)</f>
        <v>0</v>
      </c>
      <c r="CR46" s="280">
        <f>+IFERROR(INDEX(Assumptions!$F$5:$F$16, MATCH(CR45, Assumptions!$D$5:$D$16, 0))*$C$47, 0)</f>
        <v>0</v>
      </c>
      <c r="CS46" s="280">
        <f>+IFERROR(INDEX(Assumptions!$F$5:$F$16, MATCH(CS45, Assumptions!$D$5:$D$16, 0))*$C$47, 0)</f>
        <v>0</v>
      </c>
      <c r="CT46" s="280">
        <f>+IFERROR(INDEX(Assumptions!$F$5:$F$16, MATCH(CT45, Assumptions!$D$5:$D$16, 0))*$C$47, 0)</f>
        <v>0</v>
      </c>
      <c r="CU46" s="280">
        <f>+IFERROR(INDEX(Assumptions!$F$5:$F$16, MATCH(CU45, Assumptions!$D$5:$D$16, 0))*$C$47, 0)</f>
        <v>0</v>
      </c>
      <c r="CV46" s="280">
        <f>+IFERROR(INDEX(Assumptions!$F$5:$F$16, MATCH(CV45, Assumptions!$D$5:$D$16, 0))*$C$47, 0)</f>
        <v>0</v>
      </c>
      <c r="CW46" s="280">
        <f>+IFERROR(INDEX(Assumptions!$F$5:$F$16, MATCH(CW45, Assumptions!$D$5:$D$16, 0))*$C$47, 0)</f>
        <v>0</v>
      </c>
      <c r="CX46" s="280">
        <f>+IFERROR(INDEX(Assumptions!$F$5:$F$16, MATCH(CX45, Assumptions!$D$5:$D$16, 0))*$C$47, 0)</f>
        <v>0</v>
      </c>
      <c r="CY46" s="280">
        <f>+IFERROR(INDEX(Assumptions!$F$5:$F$16, MATCH(CY45, Assumptions!$D$5:$D$16, 0))*$C$47, 0)</f>
        <v>0</v>
      </c>
      <c r="CZ46" s="280">
        <f>+IFERROR(INDEX(Assumptions!$F$5:$F$16, MATCH(CZ45, Assumptions!$D$5:$D$16, 0))*$C$47, 0)</f>
        <v>0</v>
      </c>
      <c r="DA46" s="280">
        <f>+IFERROR(INDEX(Assumptions!$F$5:$F$16, MATCH(DA45, Assumptions!$D$5:$D$16, 0))*$C$47, 0)</f>
        <v>0</v>
      </c>
      <c r="DB46" s="280">
        <f>+IFERROR(INDEX(Assumptions!$F$5:$F$16, MATCH(DB45, Assumptions!$D$5:$D$16, 0))*$C$47, 0)</f>
        <v>0</v>
      </c>
      <c r="DC46" s="280">
        <f>+IFERROR(INDEX(Assumptions!$F$5:$F$16, MATCH(DC45, Assumptions!$D$5:$D$16, 0))*$C$47, 0)</f>
        <v>0</v>
      </c>
      <c r="DD46" s="280">
        <f>+IFERROR(INDEX(Assumptions!$F$5:$F$16, MATCH(DD45, Assumptions!$D$5:$D$16, 0))*$C$47, 0)</f>
        <v>0</v>
      </c>
      <c r="DE46" s="280">
        <f>+IFERROR(INDEX(Assumptions!$F$5:$F$16, MATCH(DE45, Assumptions!$D$5:$D$16, 0))*$C$47, 0)</f>
        <v>0</v>
      </c>
      <c r="DF46" s="280">
        <f>+IFERROR(INDEX(Assumptions!$F$5:$F$16, MATCH(DF45, Assumptions!$D$5:$D$16, 0))*$C$47, 0)</f>
        <v>0</v>
      </c>
      <c r="DG46" s="280">
        <f>+IFERROR(INDEX(Assumptions!$F$5:$F$16, MATCH(DG45, Assumptions!$D$5:$D$16, 0))*$C$47, 0)</f>
        <v>0</v>
      </c>
      <c r="DH46" s="280">
        <f>+IFERROR(INDEX(Assumptions!$F$5:$F$16, MATCH(DH45, Assumptions!$D$5:$D$16, 0))*$C$47, 0)</f>
        <v>0</v>
      </c>
    </row>
    <row r="47" spans="2:112" x14ac:dyDescent="0.3">
      <c r="B47" t="s">
        <v>242</v>
      </c>
      <c r="C47" s="208">
        <v>3400000</v>
      </c>
      <c r="D47" t="s">
        <v>294</v>
      </c>
      <c r="E47" s="459"/>
      <c r="F47" s="459">
        <f t="shared" ref="F47" si="1047">+F46+E47</f>
        <v>0</v>
      </c>
      <c r="G47" s="459">
        <f t="shared" ref="G47" si="1048">+G46+F47</f>
        <v>0</v>
      </c>
      <c r="H47" s="459">
        <f t="shared" ref="H47" si="1049">+H46+G47</f>
        <v>0</v>
      </c>
      <c r="I47" s="459">
        <f t="shared" ref="I47" si="1050">+I46+H47</f>
        <v>0</v>
      </c>
      <c r="J47" s="459">
        <f t="shared" ref="J47" si="1051">+J46+I47</f>
        <v>0</v>
      </c>
      <c r="K47" s="459">
        <f t="shared" ref="K47" si="1052">+K46+J47</f>
        <v>0</v>
      </c>
      <c r="L47" s="459">
        <f t="shared" ref="L47" si="1053">+L46+K47</f>
        <v>0</v>
      </c>
      <c r="M47" s="459">
        <f t="shared" ref="M47" si="1054">+M46+L47</f>
        <v>0</v>
      </c>
      <c r="N47" s="459">
        <f t="shared" ref="N47" si="1055">+N46+M47</f>
        <v>0</v>
      </c>
      <c r="O47" s="459">
        <f t="shared" ref="O47" si="1056">+O46+N47</f>
        <v>0</v>
      </c>
      <c r="P47" s="459">
        <f t="shared" ref="P47" si="1057">+P46+O47</f>
        <v>0</v>
      </c>
      <c r="Q47" s="459">
        <f t="shared" ref="Q47" si="1058">+Q46+P47</f>
        <v>0</v>
      </c>
      <c r="R47" s="459">
        <f t="shared" ref="R47" si="1059">+R46+Q47</f>
        <v>0</v>
      </c>
      <c r="S47" s="459">
        <f t="shared" ref="S47" si="1060">+S46+R47</f>
        <v>0</v>
      </c>
      <c r="T47" s="459">
        <f t="shared" ref="T47" si="1061">+T46+S47</f>
        <v>0</v>
      </c>
      <c r="U47" s="459">
        <f t="shared" ref="U47" si="1062">+U46+T47</f>
        <v>0</v>
      </c>
      <c r="V47" s="535">
        <f t="shared" ref="V47" si="1063">+V46+U47</f>
        <v>0</v>
      </c>
      <c r="W47" s="147">
        <f t="shared" ref="W47" si="1064">+W46+V47</f>
        <v>0</v>
      </c>
      <c r="X47" s="147">
        <f t="shared" ref="X47" si="1065">+X46+W47</f>
        <v>0</v>
      </c>
      <c r="Y47" s="347">
        <f t="shared" ref="Y47" si="1066">+Y46+X47</f>
        <v>0</v>
      </c>
      <c r="Z47" s="280">
        <f t="shared" ref="Z47" si="1067">+Z46+Y47</f>
        <v>0</v>
      </c>
      <c r="AA47" s="280">
        <f t="shared" ref="AA47" si="1068">+AA46+Z47</f>
        <v>0</v>
      </c>
      <c r="AB47" s="280">
        <f t="shared" ref="AB47" si="1069">+AB46+AA47</f>
        <v>0</v>
      </c>
      <c r="AC47" s="280">
        <f t="shared" ref="AC47" si="1070">+AC46+AB47</f>
        <v>0</v>
      </c>
      <c r="AD47" s="280">
        <f t="shared" ref="AD47" si="1071">+AD46+AC47</f>
        <v>0</v>
      </c>
      <c r="AE47" s="280">
        <f t="shared" ref="AE47" si="1072">+AE46+AD47</f>
        <v>0</v>
      </c>
      <c r="AF47" s="280">
        <f t="shared" ref="AF47" si="1073">+AF46+AE47</f>
        <v>0</v>
      </c>
      <c r="AG47" s="280">
        <f t="shared" ref="AG47" si="1074">+AG46+AF47</f>
        <v>0</v>
      </c>
      <c r="AH47" s="280">
        <f t="shared" ref="AH47" si="1075">+AH46+AG47</f>
        <v>0</v>
      </c>
      <c r="AI47" s="280">
        <f t="shared" ref="AI47" si="1076">+AI46+AH47</f>
        <v>0</v>
      </c>
      <c r="AJ47" s="280">
        <f t="shared" ref="AJ47" si="1077">+AJ46+AI47</f>
        <v>0</v>
      </c>
      <c r="AK47" s="280">
        <f t="shared" ref="AK47" si="1078">+AK46+AJ47</f>
        <v>0</v>
      </c>
      <c r="AL47" s="280">
        <f t="shared" ref="AL47" si="1079">+AL46+AK47</f>
        <v>0</v>
      </c>
      <c r="AM47" s="280">
        <f t="shared" ref="AM47" si="1080">+AM46+AL47</f>
        <v>0</v>
      </c>
      <c r="AN47" s="280">
        <f t="shared" ref="AN47" si="1081">+AN46+AM47</f>
        <v>0</v>
      </c>
      <c r="AO47" s="280">
        <f t="shared" ref="AO47" si="1082">+AO46+AN47</f>
        <v>0</v>
      </c>
      <c r="AP47" s="280">
        <f t="shared" ref="AP47" si="1083">+AP46+AO47</f>
        <v>0</v>
      </c>
      <c r="AQ47" s="280">
        <f t="shared" ref="AQ47" si="1084">+AQ46+AP47</f>
        <v>0</v>
      </c>
      <c r="AR47" s="280">
        <f t="shared" ref="AR47" si="1085">+AR46+AQ47</f>
        <v>0</v>
      </c>
      <c r="AS47" s="280">
        <f t="shared" ref="AS47" si="1086">+AS46+AR47</f>
        <v>0</v>
      </c>
      <c r="AT47" s="280">
        <f t="shared" ref="AT47" si="1087">+AT46+AS47</f>
        <v>0</v>
      </c>
      <c r="AU47" s="280">
        <f t="shared" ref="AU47" si="1088">+AU46+AT47</f>
        <v>0</v>
      </c>
      <c r="AV47" s="280">
        <f t="shared" ref="AV47" si="1089">+AV46+AU47</f>
        <v>0</v>
      </c>
      <c r="AW47" s="280">
        <f t="shared" ref="AW47" si="1090">+AW46+AV47</f>
        <v>0</v>
      </c>
      <c r="AX47" s="280">
        <f t="shared" ref="AX47" si="1091">+AX46+AW47</f>
        <v>0</v>
      </c>
      <c r="AY47" s="280">
        <f t="shared" ref="AY47" si="1092">+AY46+AX47</f>
        <v>0</v>
      </c>
      <c r="AZ47" s="280">
        <f t="shared" ref="AZ47" si="1093">+AZ46+AY47</f>
        <v>0</v>
      </c>
      <c r="BA47" s="280">
        <f t="shared" ref="BA47" si="1094">+BA46+AZ47</f>
        <v>0</v>
      </c>
      <c r="BB47" s="280">
        <f t="shared" ref="BB47" si="1095">+BB46+BA47</f>
        <v>0</v>
      </c>
      <c r="BC47" s="280">
        <f t="shared" ref="BC47" si="1096">+BC46+BB47</f>
        <v>0</v>
      </c>
      <c r="BD47" s="280">
        <f t="shared" ref="BD47" si="1097">+BD46+BC47</f>
        <v>0</v>
      </c>
      <c r="BE47" s="280">
        <f t="shared" ref="BE47" si="1098">+BE46+BD47</f>
        <v>0</v>
      </c>
      <c r="BF47" s="280">
        <f t="shared" ref="BF47" si="1099">+BF46+BE47</f>
        <v>0</v>
      </c>
      <c r="BG47" s="280">
        <f t="shared" ref="BG47" si="1100">+BG46+BF47</f>
        <v>0</v>
      </c>
      <c r="BH47" s="280">
        <f t="shared" ref="BH47" si="1101">+BH46+BG47</f>
        <v>0</v>
      </c>
      <c r="BI47" s="280">
        <f t="shared" ref="BI47" si="1102">+BI46+BH47</f>
        <v>0</v>
      </c>
      <c r="BJ47" s="280">
        <f t="shared" ref="BJ47" si="1103">+BJ46+BI47</f>
        <v>0</v>
      </c>
      <c r="BK47" s="280">
        <f t="shared" ref="BK47" si="1104">+BK46+BJ47</f>
        <v>0</v>
      </c>
      <c r="BL47" s="280">
        <f t="shared" ref="BL47" si="1105">+BL46+BK47</f>
        <v>0</v>
      </c>
      <c r="BM47" s="280">
        <f t="shared" ref="BM47" si="1106">+BM46+BL47</f>
        <v>0</v>
      </c>
      <c r="BN47" s="280">
        <f t="shared" ref="BN47" si="1107">+BN46+BM47</f>
        <v>0</v>
      </c>
      <c r="BO47" s="280">
        <f t="shared" ref="BO47" si="1108">+BO46+BN47</f>
        <v>0</v>
      </c>
      <c r="BP47" s="280">
        <f t="shared" ref="BP47" si="1109">+BP46+BO47</f>
        <v>0</v>
      </c>
      <c r="BQ47" s="280">
        <f t="shared" ref="BQ47" si="1110">+BQ46+BP47</f>
        <v>0</v>
      </c>
      <c r="BR47" s="280">
        <f t="shared" ref="BR47" si="1111">+BR46+BQ47</f>
        <v>20491.708779210512</v>
      </c>
      <c r="BS47" s="280">
        <f t="shared" ref="BS47" si="1112">+BS46+BR47</f>
        <v>23422.541759403659</v>
      </c>
      <c r="BT47" s="280">
        <f t="shared" ref="BT47" si="1113">+BT46+BS47</f>
        <v>144884.52227174107</v>
      </c>
      <c r="BU47" s="280">
        <f t="shared" ref="BU47" si="1114">+BU46+BT47</f>
        <v>155848.73226752042</v>
      </c>
      <c r="BV47" s="280">
        <f t="shared" ref="BV47" si="1115">+BV46+BU47</f>
        <v>651857.35775651573</v>
      </c>
      <c r="BW47" s="280">
        <f t="shared" ref="BW47" si="1116">+BW46+BV47</f>
        <v>1541368.845862662</v>
      </c>
      <c r="BX47" s="280">
        <f t="shared" ref="BX47" si="1117">+BX46+BW47</f>
        <v>2140737.095626106</v>
      </c>
      <c r="BY47" s="280">
        <f t="shared" ref="BY47" si="1118">+BY46+BX47</f>
        <v>2536245.0460160645</v>
      </c>
      <c r="BZ47" s="280">
        <f t="shared" ref="BZ47" si="1119">+BZ46+BY47</f>
        <v>2619048.5555519848</v>
      </c>
      <c r="CA47" s="280">
        <f t="shared" ref="CA47" si="1120">+CA46+BZ47</f>
        <v>3253158.3325937083</v>
      </c>
      <c r="CB47" s="280">
        <f t="shared" ref="CB47" si="1121">+CB46+CA47</f>
        <v>3400000.0000000005</v>
      </c>
      <c r="CC47" s="280">
        <f t="shared" ref="CC47" si="1122">+CC46+CB47</f>
        <v>3400000.0000000005</v>
      </c>
      <c r="CD47" s="280">
        <f t="shared" ref="CD47" si="1123">+CD46+CC47</f>
        <v>3400000.0000000005</v>
      </c>
      <c r="CE47" s="280">
        <f t="shared" ref="CE47" si="1124">+CE46+CD47</f>
        <v>3400000.0000000005</v>
      </c>
      <c r="CF47" s="280">
        <f t="shared" ref="CF47" si="1125">+CF46+CE47</f>
        <v>3400000.0000000005</v>
      </c>
      <c r="CG47" s="280">
        <f t="shared" ref="CG47" si="1126">+CG46+CF47</f>
        <v>3400000.0000000005</v>
      </c>
      <c r="CH47" s="280">
        <f t="shared" ref="CH47" si="1127">+CH46+CG47</f>
        <v>3400000.0000000005</v>
      </c>
      <c r="CI47" s="280">
        <f t="shared" ref="CI47" si="1128">+CI46+CH47</f>
        <v>3400000.0000000005</v>
      </c>
      <c r="CJ47" s="280">
        <f t="shared" ref="CJ47" si="1129">+CJ46+CI47</f>
        <v>3400000.0000000005</v>
      </c>
      <c r="CK47" s="280">
        <f t="shared" ref="CK47" si="1130">+CK46+CJ47</f>
        <v>3400000.0000000005</v>
      </c>
      <c r="CL47" s="280">
        <f t="shared" ref="CL47" si="1131">+CL46+CK47</f>
        <v>3400000.0000000005</v>
      </c>
      <c r="CM47" s="280">
        <f t="shared" ref="CM47" si="1132">+CM46+CL47</f>
        <v>3400000.0000000005</v>
      </c>
      <c r="CN47" s="280">
        <f t="shared" ref="CN47" si="1133">+CN46+CM47</f>
        <v>3400000.0000000005</v>
      </c>
      <c r="CO47" s="280">
        <f t="shared" ref="CO47" si="1134">+CO46+CN47</f>
        <v>3400000.0000000005</v>
      </c>
      <c r="CP47" s="280">
        <f t="shared" ref="CP47" si="1135">+CP46+CO47</f>
        <v>3400000.0000000005</v>
      </c>
      <c r="CQ47" s="280">
        <f t="shared" ref="CQ47" si="1136">+CQ46+CP47</f>
        <v>3400000.0000000005</v>
      </c>
      <c r="CR47" s="280">
        <f t="shared" ref="CR47" si="1137">+CR46+CQ47</f>
        <v>3400000.0000000005</v>
      </c>
      <c r="CS47" s="280">
        <f t="shared" ref="CS47" si="1138">+CS46+CR47</f>
        <v>3400000.0000000005</v>
      </c>
      <c r="CT47" s="280">
        <f t="shared" ref="CT47" si="1139">+CT46+CS47</f>
        <v>3400000.0000000005</v>
      </c>
      <c r="CU47" s="280">
        <f t="shared" ref="CU47" si="1140">+CU46+CT47</f>
        <v>3400000.0000000005</v>
      </c>
      <c r="CV47" s="280">
        <f t="shared" ref="CV47" si="1141">+CV46+CU47</f>
        <v>3400000.0000000005</v>
      </c>
      <c r="CW47" s="280">
        <f t="shared" ref="CW47" si="1142">+CW46+CV47</f>
        <v>3400000.0000000005</v>
      </c>
      <c r="CX47" s="280">
        <f t="shared" ref="CX47" si="1143">+CX46+CW47</f>
        <v>3400000.0000000005</v>
      </c>
      <c r="CY47" s="280">
        <f t="shared" ref="CY47" si="1144">+CY46+CX47</f>
        <v>3400000.0000000005</v>
      </c>
      <c r="CZ47" s="280">
        <f t="shared" ref="CZ47" si="1145">+CZ46+CY47</f>
        <v>3400000.0000000005</v>
      </c>
      <c r="DA47" s="280">
        <f t="shared" ref="DA47" si="1146">+DA46+CZ47</f>
        <v>3400000.0000000005</v>
      </c>
      <c r="DB47" s="280">
        <f t="shared" ref="DB47" si="1147">+DB46+DA47</f>
        <v>3400000.0000000005</v>
      </c>
      <c r="DC47" s="280">
        <f t="shared" ref="DC47" si="1148">+DC46+DB47</f>
        <v>3400000.0000000005</v>
      </c>
      <c r="DD47" s="280">
        <f t="shared" ref="DD47" si="1149">+DD46+DC47</f>
        <v>3400000.0000000005</v>
      </c>
      <c r="DE47" s="280">
        <f t="shared" ref="DE47" si="1150">+DE46+DD47</f>
        <v>3400000.0000000005</v>
      </c>
      <c r="DF47" s="280">
        <f t="shared" ref="DF47" si="1151">+DF46+DE47</f>
        <v>3400000.0000000005</v>
      </c>
      <c r="DG47" s="280">
        <f t="shared" ref="DG47:DH47" si="1152">+DG46+DF47</f>
        <v>3400000.0000000005</v>
      </c>
      <c r="DH47" s="280">
        <f t="shared" si="1152"/>
        <v>3400000.0000000005</v>
      </c>
    </row>
    <row r="48" spans="2:112" x14ac:dyDescent="0.3">
      <c r="B48" t="s">
        <v>245</v>
      </c>
      <c r="C48" s="208">
        <v>1200000</v>
      </c>
      <c r="D48" t="s">
        <v>243</v>
      </c>
      <c r="E48" s="460"/>
      <c r="F48" s="459">
        <f>+IFERROR(INDEX(Assumptions!$E$18:$E$29, MATCH(F45, Assumptions!$D$18:$D$29, 0))*$C$48, 0)</f>
        <v>0</v>
      </c>
      <c r="G48" s="460">
        <f>+IFERROR(INDEX(Assumptions!$E$18:$E$29, MATCH(G45, Assumptions!$D$18:$D$29, 0))*$C$48, 0)</f>
        <v>0</v>
      </c>
      <c r="H48" s="460">
        <f>+IFERROR(INDEX(Assumptions!$E$18:$E$29, MATCH(H45, Assumptions!$D$18:$D$29, 0))*$C$48, 0)</f>
        <v>0</v>
      </c>
      <c r="I48" s="460">
        <f>+IFERROR(INDEX(Assumptions!$E$18:$E$29, MATCH(I45, Assumptions!$D$18:$D$29, 0))*$C$48, 0)</f>
        <v>0</v>
      </c>
      <c r="J48" s="460">
        <f>+IFERROR(INDEX(Assumptions!$E$18:$E$29, MATCH(J45, Assumptions!$D$18:$D$29, 0))*$C$48, 0)</f>
        <v>0</v>
      </c>
      <c r="K48" s="460">
        <f>+IFERROR(INDEX(Assumptions!$E$18:$E$29, MATCH(K45, Assumptions!$D$18:$D$29, 0))*$C$48, 0)</f>
        <v>0</v>
      </c>
      <c r="L48" s="460">
        <f>+IFERROR(INDEX(Assumptions!$E$18:$E$29, MATCH(L45, Assumptions!$D$18:$D$29, 0))*$C$48, 0)</f>
        <v>0</v>
      </c>
      <c r="M48" s="460">
        <f>+IFERROR(INDEX(Assumptions!$E$18:$E$29, MATCH(M45, Assumptions!$D$18:$D$29, 0))*$C$48, 0)</f>
        <v>0</v>
      </c>
      <c r="N48" s="460">
        <f>+IFERROR(INDEX(Assumptions!$E$18:$E$29, MATCH(N45, Assumptions!$D$18:$D$29, 0))*$C$48, 0)</f>
        <v>0</v>
      </c>
      <c r="O48" s="460">
        <f>+IFERROR(INDEX(Assumptions!$E$18:$E$29, MATCH(O45, Assumptions!$D$18:$D$29, 0))*$C$48, 0)</f>
        <v>0</v>
      </c>
      <c r="P48" s="460">
        <f>+IFERROR(INDEX(Assumptions!$E$18:$E$29, MATCH(P45, Assumptions!$D$18:$D$29, 0))*$C$48, 0)</f>
        <v>0</v>
      </c>
      <c r="Q48" s="460">
        <f>+IFERROR(INDEX(Assumptions!$E$18:$E$29, MATCH(Q45, Assumptions!$D$18:$D$29, 0))*$C$48, 0)</f>
        <v>0</v>
      </c>
      <c r="R48" s="460">
        <f>+IFERROR(INDEX(Assumptions!$E$18:$E$29, MATCH(R45, Assumptions!$D$18:$D$29, 0))*$C$48, 0)</f>
        <v>0</v>
      </c>
      <c r="S48" s="460">
        <f>+IFERROR(INDEX(Assumptions!$E$18:$E$29, MATCH(S45, Assumptions!$D$18:$D$29, 0))*$C$48, 0)</f>
        <v>0</v>
      </c>
      <c r="T48" s="460">
        <f>+IFERROR(INDEX(Assumptions!$E$18:$E$29, MATCH(T45, Assumptions!$D$18:$D$29, 0))*$C$48, 0)</f>
        <v>0</v>
      </c>
      <c r="U48" s="459">
        <f>+IFERROR(INDEX(Assumptions!$E$18:$E$29, MATCH(U45, Assumptions!$D$18:$D$29, 0))*$C$48, 0)</f>
        <v>0</v>
      </c>
      <c r="V48" s="535">
        <f>+IFERROR(INDEX(Assumptions!$E$18:$E$29, MATCH(V45, Assumptions!$D$18:$D$29, 0))*$C$48, 0)</f>
        <v>0</v>
      </c>
      <c r="W48" s="147">
        <f>+IFERROR(INDEX(Assumptions!$E$18:$E$29, MATCH(W45, Assumptions!$D$18:$D$29, 0))*$C$48, 0)</f>
        <v>0</v>
      </c>
      <c r="X48" s="147">
        <f>+IFERROR(INDEX(Assumptions!$E$18:$E$29, MATCH(X45, Assumptions!$D$18:$D$29, 0))*$C$48, 0)</f>
        <v>0</v>
      </c>
      <c r="Y48" s="347">
        <f>+IFERROR(INDEX(Assumptions!$E$18:$E$29, MATCH(Y45, Assumptions!$D$18:$D$29, 0))*$C$48, 0)</f>
        <v>0</v>
      </c>
      <c r="Z48" s="280">
        <f>+IFERROR(INDEX(Assumptions!$E$18:$E$29, MATCH(Z45, Assumptions!$D$18:$D$29, 0))*$C$48, 0)</f>
        <v>0</v>
      </c>
      <c r="AA48" s="280">
        <f>+IFERROR(INDEX(Assumptions!$E$18:$E$29, MATCH(AA45, Assumptions!$D$18:$D$29, 0))*$C$48, 0)</f>
        <v>0</v>
      </c>
      <c r="AB48" s="280">
        <f>+IFERROR(INDEX(Assumptions!$E$18:$E$29, MATCH(AB45, Assumptions!$D$18:$D$29, 0))*$C$48, 0)</f>
        <v>0</v>
      </c>
      <c r="AC48" s="280">
        <f>+IFERROR(INDEX(Assumptions!$E$18:$E$29, MATCH(AC45, Assumptions!$D$18:$D$29, 0))*$C$48, 0)</f>
        <v>0</v>
      </c>
      <c r="AD48" s="280">
        <f>+IFERROR(INDEX(Assumptions!$E$18:$E$29, MATCH(AD45, Assumptions!$D$18:$D$29, 0))*$C$48, 0)</f>
        <v>0</v>
      </c>
      <c r="AE48" s="280">
        <f>+IFERROR(INDEX(Assumptions!$E$18:$E$29, MATCH(AE45, Assumptions!$D$18:$D$29, 0))*$C$48, 0)</f>
        <v>0</v>
      </c>
      <c r="AF48" s="280">
        <f>+IFERROR(INDEX(Assumptions!$E$18:$E$29, MATCH(AF45, Assumptions!$D$18:$D$29, 0))*$C$48, 0)</f>
        <v>0</v>
      </c>
      <c r="AG48" s="280">
        <f>+IFERROR(INDEX(Assumptions!$E$18:$E$29, MATCH(AG45, Assumptions!$D$18:$D$29, 0))*$C$48, 0)</f>
        <v>0</v>
      </c>
      <c r="AH48" s="280">
        <f>+IFERROR(INDEX(Assumptions!$E$18:$E$29, MATCH(AH45, Assumptions!$D$18:$D$29, 0))*$C$48, 0)</f>
        <v>0</v>
      </c>
      <c r="AI48" s="280">
        <f>+IFERROR(INDEX(Assumptions!$E$18:$E$29, MATCH(AI45, Assumptions!$D$18:$D$29, 0))*$C$48, 0)</f>
        <v>0</v>
      </c>
      <c r="AJ48" s="280">
        <f>+IFERROR(INDEX(Assumptions!$E$18:$E$29, MATCH(AJ45, Assumptions!$D$18:$D$29, 0))*$C$48, 0)</f>
        <v>0</v>
      </c>
      <c r="AK48" s="280">
        <f>+IFERROR(INDEX(Assumptions!$E$18:$E$29, MATCH(AK45, Assumptions!$D$18:$D$29, 0))*$C$48, 0)</f>
        <v>0</v>
      </c>
      <c r="AL48" s="280">
        <f>+IFERROR(INDEX(Assumptions!$E$18:$E$29, MATCH(AL45, Assumptions!$D$18:$D$29, 0))*$C$48, 0)</f>
        <v>0</v>
      </c>
      <c r="AM48" s="280">
        <f>+IFERROR(INDEX(Assumptions!$E$18:$E$29, MATCH(AM45, Assumptions!$D$18:$D$29, 0))*$C$48, 0)</f>
        <v>0</v>
      </c>
      <c r="AN48" s="280">
        <f>+IFERROR(INDEX(Assumptions!$E$18:$E$29, MATCH(AN45, Assumptions!$D$18:$D$29, 0))*$C$48, 0)</f>
        <v>0</v>
      </c>
      <c r="AO48" s="280">
        <f>+IFERROR(INDEX(Assumptions!$E$18:$E$29, MATCH(AO45, Assumptions!$D$18:$D$29, 0))*$C$48, 0)</f>
        <v>0</v>
      </c>
      <c r="AP48" s="280">
        <f>+IFERROR(INDEX(Assumptions!$E$18:$E$29, MATCH(AP45, Assumptions!$D$18:$D$29, 0))*$C$48, 0)</f>
        <v>0</v>
      </c>
      <c r="AQ48" s="280">
        <f>+IFERROR(INDEX(Assumptions!$E$18:$E$29, MATCH(AQ45, Assumptions!$D$18:$D$29, 0))*$C$48, 0)</f>
        <v>0</v>
      </c>
      <c r="AR48" s="280">
        <f>+IFERROR(INDEX(Assumptions!$E$18:$E$29, MATCH(AR45, Assumptions!$D$18:$D$29, 0))*$C$48, 0)</f>
        <v>0</v>
      </c>
      <c r="AS48" s="280">
        <f>+IFERROR(INDEX(Assumptions!$E$18:$E$29, MATCH(AS45, Assumptions!$D$18:$D$29, 0))*$C$48, 0)</f>
        <v>0</v>
      </c>
      <c r="AT48" s="280">
        <f>+IFERROR(INDEX(Assumptions!$E$18:$E$29, MATCH(AT45, Assumptions!$D$18:$D$29, 0))*$C$48, 0)</f>
        <v>0</v>
      </c>
      <c r="AU48" s="280">
        <f>+IFERROR(INDEX(Assumptions!$E$18:$E$29, MATCH(AU45, Assumptions!$D$18:$D$29, 0))*$C$48, 0)</f>
        <v>0</v>
      </c>
      <c r="AV48" s="280">
        <f>+IFERROR(INDEX(Assumptions!$E$18:$E$29, MATCH(AV45, Assumptions!$D$18:$D$29, 0))*$C$48, 0)</f>
        <v>0</v>
      </c>
      <c r="AW48" s="280">
        <f>+IFERROR(INDEX(Assumptions!$E$18:$E$29, MATCH(AW45, Assumptions!$D$18:$D$29, 0))*$C$48, 0)</f>
        <v>0</v>
      </c>
      <c r="AX48" s="280">
        <f>+IFERROR(INDEX(Assumptions!$E$18:$E$29, MATCH(AX45, Assumptions!$D$18:$D$29, 0))*$C$48, 0)</f>
        <v>0</v>
      </c>
      <c r="AY48" s="280">
        <f>+IFERROR(INDEX(Assumptions!$E$18:$E$29, MATCH(AY45, Assumptions!$D$18:$D$29, 0))*$C$48, 0)</f>
        <v>0</v>
      </c>
      <c r="AZ48" s="280">
        <f>+IFERROR(INDEX(Assumptions!$E$18:$E$29, MATCH(AZ45, Assumptions!$D$18:$D$29, 0))*$C$48, 0)</f>
        <v>0</v>
      </c>
      <c r="BA48" s="280">
        <f>+IFERROR(INDEX(Assumptions!$E$18:$E$29, MATCH(BA45, Assumptions!$D$18:$D$29, 0))*$C$48, 0)</f>
        <v>0</v>
      </c>
      <c r="BB48" s="280">
        <f>+IFERROR(INDEX(Assumptions!$E$18:$E$29, MATCH(BB45, Assumptions!$D$18:$D$29, 0))*$C$48, 0)</f>
        <v>0</v>
      </c>
      <c r="BC48" s="280">
        <f>+IFERROR(INDEX(Assumptions!$E$18:$E$29, MATCH(BC45, Assumptions!$D$18:$D$29, 0))*$C$48, 0)</f>
        <v>0</v>
      </c>
      <c r="BD48" s="280">
        <f>+IFERROR(INDEX(Assumptions!$E$18:$E$29, MATCH(BD45, Assumptions!$D$18:$D$29, 0))*$C$48, 0)</f>
        <v>0</v>
      </c>
      <c r="BE48" s="280">
        <f>+IFERROR(INDEX(Assumptions!$E$18:$E$29, MATCH(BE45, Assumptions!$D$18:$D$29, 0))*$C$48, 0)</f>
        <v>0</v>
      </c>
      <c r="BF48" s="280">
        <f>+IFERROR(INDEX(Assumptions!$E$18:$E$29, MATCH(BF45, Assumptions!$D$18:$D$29, 0))*$C$48, 0)</f>
        <v>0</v>
      </c>
      <c r="BG48" s="280">
        <f>+IFERROR(INDEX(Assumptions!$E$18:$E$29, MATCH(BG45, Assumptions!$D$18:$D$29, 0))*$C$48, 0)</f>
        <v>0</v>
      </c>
      <c r="BH48" s="280">
        <f>+IFERROR(INDEX(Assumptions!$E$18:$E$29, MATCH(BH45, Assumptions!$D$18:$D$29, 0))*$C$48, 0)</f>
        <v>0</v>
      </c>
      <c r="BI48" s="280">
        <f>+IFERROR(INDEX(Assumptions!$E$18:$E$29, MATCH(BI45, Assumptions!$D$18:$D$29, 0))*$C$48, 0)</f>
        <v>0</v>
      </c>
      <c r="BJ48" s="280">
        <f>+IFERROR(INDEX(Assumptions!$E$18:$E$29, MATCH(BJ45, Assumptions!$D$18:$D$29, 0))*$C$48, 0)</f>
        <v>0</v>
      </c>
      <c r="BK48" s="280">
        <f>+IFERROR(INDEX(Assumptions!$E$18:$E$29, MATCH(BK45, Assumptions!$D$18:$D$29, 0))*$C$48, 0)</f>
        <v>0</v>
      </c>
      <c r="BL48" s="280">
        <f>+IFERROR(INDEX(Assumptions!$E$18:$E$29, MATCH(BL45, Assumptions!$D$18:$D$29, 0))*$C$48, 0)</f>
        <v>0</v>
      </c>
      <c r="BM48" s="280">
        <f>+IFERROR(INDEX(Assumptions!$E$18:$E$29, MATCH(BM45, Assumptions!$D$18:$D$29, 0))*$C$48, 0)</f>
        <v>0</v>
      </c>
      <c r="BN48" s="280">
        <f>+IFERROR(INDEX(Assumptions!$E$18:$E$29, MATCH(BN45, Assumptions!$D$18:$D$29, 0))*$C$48, 0)</f>
        <v>0</v>
      </c>
      <c r="BO48" s="280">
        <f>+IFERROR(INDEX(Assumptions!$E$18:$E$29, MATCH(BO45, Assumptions!$D$18:$D$29, 0))*$C$48, 0)</f>
        <v>0</v>
      </c>
      <c r="BP48" s="280">
        <f>+IFERROR(INDEX(Assumptions!$E$18:$E$29, MATCH(BP45, Assumptions!$D$18:$D$29, 0))*$C$48, 0)</f>
        <v>0</v>
      </c>
      <c r="BQ48" s="280">
        <f>+IFERROR(INDEX(Assumptions!$E$18:$E$29, MATCH(BQ45, Assumptions!$D$18:$D$29, 0))*$C$48, 0)</f>
        <v>0</v>
      </c>
      <c r="BR48" s="280">
        <f>+IFERROR(INDEX(Assumptions!$E$18:$E$29, MATCH(BR45, Assumptions!$D$18:$D$29, 0))*$C$48, 0)</f>
        <v>7232.3678044272392</v>
      </c>
      <c r="BS48" s="280">
        <f>+IFERROR(INDEX(Assumptions!$E$18:$E$29, MATCH(BS45, Assumptions!$D$18:$D$29, 0))*$C$48, 0)</f>
        <v>1034.4116400681689</v>
      </c>
      <c r="BT48" s="280">
        <f>+IFERROR(INDEX(Assumptions!$E$18:$E$29, MATCH(BT45, Assumptions!$D$18:$D$29, 0))*$C$48, 0)</f>
        <v>42868.934298472028</v>
      </c>
      <c r="BU48" s="280">
        <f>+IFERROR(INDEX(Assumptions!$E$18:$E$29, MATCH(BU45, Assumptions!$D$18:$D$29, 0))*$C$48, 0)</f>
        <v>3869.7211749809449</v>
      </c>
      <c r="BV48" s="280">
        <f>+IFERROR(INDEX(Assumptions!$E$18:$E$29, MATCH(BV45, Assumptions!$D$18:$D$29, 0))*$C$48, 0)</f>
        <v>175061.86781964541</v>
      </c>
      <c r="BW48" s="280">
        <f>+IFERROR(INDEX(Assumptions!$E$18:$E$29, MATCH(BW45, Assumptions!$D$18:$D$29, 0))*$C$48, 0)</f>
        <v>313945.23109628691</v>
      </c>
      <c r="BX48" s="280">
        <f>+IFERROR(INDEX(Assumptions!$E$18:$E$29, MATCH(BX45, Assumptions!$D$18:$D$29, 0))*$C$48, 0)</f>
        <v>211541.73521062726</v>
      </c>
      <c r="BY48" s="280">
        <f>+IFERROR(INDEX(Assumptions!$E$18:$E$29, MATCH(BY45, Assumptions!$D$18:$D$29, 0))*$C$48, 0)</f>
        <v>139591.04131410291</v>
      </c>
      <c r="BZ48" s="280">
        <f>+IFERROR(INDEX(Assumptions!$E$18:$E$29, MATCH(BZ45, Assumptions!$D$18:$D$29, 0))*$C$48, 0)</f>
        <v>29224.768071501261</v>
      </c>
      <c r="CA48" s="280">
        <f>+IFERROR(INDEX(Assumptions!$E$18:$E$29, MATCH(CA45, Assumptions!$D$18:$D$29, 0))*$C$48, 0)</f>
        <v>223803.45072060818</v>
      </c>
      <c r="CB48" s="280">
        <f>+IFERROR(INDEX(Assumptions!$E$18:$E$29, MATCH(CB45, Assumptions!$D$18:$D$29, 0))*$C$48, 0)</f>
        <v>51826.470849279627</v>
      </c>
      <c r="CC48" s="280">
        <f>+IFERROR(INDEX(Assumptions!$E$18:$E$29, MATCH(CC45, Assumptions!$D$18:$D$29, 0))*$C$48, 0)</f>
        <v>0</v>
      </c>
      <c r="CD48" s="280">
        <f>+IFERROR(INDEX(Assumptions!$E$18:$E$29, MATCH(CD45, Assumptions!$D$18:$D$29, 0))*$C$48, 0)</f>
        <v>0</v>
      </c>
      <c r="CE48" s="280">
        <f>+IFERROR(INDEX(Assumptions!$E$18:$E$29, MATCH(CE45, Assumptions!$D$18:$D$29, 0))*$C$48, 0)</f>
        <v>0</v>
      </c>
      <c r="CF48" s="280">
        <f>+IFERROR(INDEX(Assumptions!$E$18:$E$29, MATCH(CF45, Assumptions!$D$18:$D$29, 0))*$C$48, 0)</f>
        <v>0</v>
      </c>
      <c r="CG48" s="280">
        <f>+IFERROR(INDEX(Assumptions!$E$18:$E$29, MATCH(CG45, Assumptions!$D$18:$D$29, 0))*$C$48, 0)</f>
        <v>0</v>
      </c>
      <c r="CH48" s="280">
        <f>+IFERROR(INDEX(Assumptions!$E$18:$E$29, MATCH(CH45, Assumptions!$D$18:$D$29, 0))*$C$48, 0)</f>
        <v>0</v>
      </c>
      <c r="CI48" s="280">
        <f>+IFERROR(INDEX(Assumptions!$E$18:$E$29, MATCH(CI45, Assumptions!$D$18:$D$29, 0))*$C$48, 0)</f>
        <v>0</v>
      </c>
      <c r="CJ48" s="280">
        <f>+IFERROR(INDEX(Assumptions!$E$18:$E$29, MATCH(CJ45, Assumptions!$D$18:$D$29, 0))*$C$48, 0)</f>
        <v>0</v>
      </c>
      <c r="CK48" s="280">
        <f>+IFERROR(INDEX(Assumptions!$E$18:$E$29, MATCH(CK45, Assumptions!$D$18:$D$29, 0))*$C$48, 0)</f>
        <v>0</v>
      </c>
      <c r="CL48" s="280">
        <f>+IFERROR(INDEX(Assumptions!$E$18:$E$29, MATCH(CL45, Assumptions!$D$18:$D$29, 0))*$C$48, 0)</f>
        <v>0</v>
      </c>
      <c r="CM48" s="280">
        <f>+IFERROR(INDEX(Assumptions!$E$18:$E$29, MATCH(CM45, Assumptions!$D$18:$D$29, 0))*$C$48, 0)</f>
        <v>0</v>
      </c>
      <c r="CN48" s="280">
        <f>+IFERROR(INDEX(Assumptions!$E$18:$E$29, MATCH(CN45, Assumptions!$D$18:$D$29, 0))*$C$48, 0)</f>
        <v>0</v>
      </c>
      <c r="CO48" s="280">
        <f>+IFERROR(INDEX(Assumptions!$E$18:$E$29, MATCH(CO45, Assumptions!$D$18:$D$29, 0))*$C$48, 0)</f>
        <v>0</v>
      </c>
      <c r="CP48" s="280">
        <f>+IFERROR(INDEX(Assumptions!$E$18:$E$29, MATCH(CP45, Assumptions!$D$18:$D$29, 0))*$C$48, 0)</f>
        <v>0</v>
      </c>
      <c r="CQ48" s="280">
        <f>+IFERROR(INDEX(Assumptions!$E$18:$E$29, MATCH(CQ45, Assumptions!$D$18:$D$29, 0))*$C$48, 0)</f>
        <v>0</v>
      </c>
      <c r="CR48" s="280">
        <f>+IFERROR(INDEX(Assumptions!$E$18:$E$29, MATCH(CR45, Assumptions!$D$18:$D$29, 0))*$C$48, 0)</f>
        <v>0</v>
      </c>
      <c r="CS48" s="280">
        <f>+IFERROR(INDEX(Assumptions!$E$18:$E$29, MATCH(CS45, Assumptions!$D$18:$D$29, 0))*$C$48, 0)</f>
        <v>0</v>
      </c>
      <c r="CT48" s="280">
        <f>+IFERROR(INDEX(Assumptions!$E$18:$E$29, MATCH(CT45, Assumptions!$D$18:$D$29, 0))*$C$48, 0)</f>
        <v>0</v>
      </c>
      <c r="CU48" s="280">
        <f>+IFERROR(INDEX(Assumptions!$E$18:$E$29, MATCH(CU45, Assumptions!$D$18:$D$29, 0))*$C$48, 0)</f>
        <v>0</v>
      </c>
      <c r="CV48" s="280">
        <f>+IFERROR(INDEX(Assumptions!$E$18:$E$29, MATCH(CV45, Assumptions!$D$18:$D$29, 0))*$C$48, 0)</f>
        <v>0</v>
      </c>
      <c r="CW48" s="280">
        <f>+IFERROR(INDEX(Assumptions!$E$18:$E$29, MATCH(CW45, Assumptions!$D$18:$D$29, 0))*$C$48, 0)</f>
        <v>0</v>
      </c>
      <c r="CX48" s="280">
        <f>+IFERROR(INDEX(Assumptions!$E$18:$E$29, MATCH(CX45, Assumptions!$D$18:$D$29, 0))*$C$48, 0)</f>
        <v>0</v>
      </c>
      <c r="CY48" s="280">
        <f>+IFERROR(INDEX(Assumptions!$E$18:$E$29, MATCH(CY45, Assumptions!$D$18:$D$29, 0))*$C$48, 0)</f>
        <v>0</v>
      </c>
      <c r="CZ48" s="280">
        <f>+IFERROR(INDEX(Assumptions!$E$18:$E$29, MATCH(CZ45, Assumptions!$D$18:$D$29, 0))*$C$48, 0)</f>
        <v>0</v>
      </c>
      <c r="DA48" s="280">
        <f>+IFERROR(INDEX(Assumptions!$E$18:$E$29, MATCH(DA45, Assumptions!$D$18:$D$29, 0))*$C$48, 0)</f>
        <v>0</v>
      </c>
      <c r="DB48" s="280">
        <f>+IFERROR(INDEX(Assumptions!$E$18:$E$29, MATCH(DB45, Assumptions!$D$18:$D$29, 0))*$C$48, 0)</f>
        <v>0</v>
      </c>
      <c r="DC48" s="280">
        <f>+IFERROR(INDEX(Assumptions!$E$18:$E$29, MATCH(DC45, Assumptions!$D$18:$D$29, 0))*$C$48, 0)</f>
        <v>0</v>
      </c>
      <c r="DD48" s="280">
        <f>+IFERROR(INDEX(Assumptions!$E$18:$E$29, MATCH(DD45, Assumptions!$D$18:$D$29, 0))*$C$48, 0)</f>
        <v>0</v>
      </c>
      <c r="DE48" s="280">
        <f>+IFERROR(INDEX(Assumptions!$E$18:$E$29, MATCH(DE45, Assumptions!$D$18:$D$29, 0))*$C$48, 0)</f>
        <v>0</v>
      </c>
      <c r="DF48" s="280">
        <f>+IFERROR(INDEX(Assumptions!$E$18:$E$29, MATCH(DF45, Assumptions!$D$18:$D$29, 0))*$C$48, 0)</f>
        <v>0</v>
      </c>
      <c r="DG48" s="280">
        <f>+IFERROR(INDEX(Assumptions!$E$18:$E$29, MATCH(DG45, Assumptions!$D$18:$D$29, 0))*$C$48, 0)</f>
        <v>0</v>
      </c>
      <c r="DH48" s="280">
        <f>+IFERROR(INDEX(Assumptions!$E$18:$E$29, MATCH(DH45, Assumptions!$D$18:$D$29, 0))*$C$48, 0)</f>
        <v>0</v>
      </c>
    </row>
    <row r="49" spans="2:112" x14ac:dyDescent="0.3">
      <c r="B49" t="s">
        <v>468</v>
      </c>
      <c r="C49" s="512">
        <v>46904</v>
      </c>
      <c r="D49" t="s">
        <v>255</v>
      </c>
      <c r="F49" s="9">
        <f t="shared" ref="F49" si="1153">+F48+E49</f>
        <v>0</v>
      </c>
      <c r="G49" s="9">
        <f t="shared" ref="G49" si="1154">+G48+F49</f>
        <v>0</v>
      </c>
      <c r="H49" s="9">
        <f t="shared" ref="H49" si="1155">+H48+G49</f>
        <v>0</v>
      </c>
      <c r="I49" s="9">
        <f t="shared" ref="I49" si="1156">+I48+H49</f>
        <v>0</v>
      </c>
      <c r="J49" s="9">
        <f t="shared" ref="J49" si="1157">+J48+I49</f>
        <v>0</v>
      </c>
      <c r="K49" s="9">
        <f t="shared" ref="K49" si="1158">+K48+J49</f>
        <v>0</v>
      </c>
      <c r="L49" s="9">
        <f t="shared" ref="L49" si="1159">+L48+K49</f>
        <v>0</v>
      </c>
      <c r="M49" s="9">
        <f t="shared" ref="M49" si="1160">+M48+L49</f>
        <v>0</v>
      </c>
      <c r="N49" s="9">
        <f t="shared" ref="N49" si="1161">+N48+M49</f>
        <v>0</v>
      </c>
      <c r="O49" s="9">
        <f t="shared" ref="O49" si="1162">+O48+N49</f>
        <v>0</v>
      </c>
      <c r="P49" s="9">
        <f t="shared" ref="P49" si="1163">+P48+O49</f>
        <v>0</v>
      </c>
      <c r="Q49" s="9">
        <f t="shared" ref="Q49" si="1164">+Q48+P49</f>
        <v>0</v>
      </c>
      <c r="R49" s="9">
        <f t="shared" ref="R49" si="1165">+R48+Q49</f>
        <v>0</v>
      </c>
      <c r="S49" s="9">
        <f t="shared" ref="S49" si="1166">+S48+R49</f>
        <v>0</v>
      </c>
      <c r="T49" s="9">
        <f t="shared" ref="T49" si="1167">+T48+S49</f>
        <v>0</v>
      </c>
      <c r="U49" s="9">
        <f t="shared" ref="U49" si="1168">+U48+T49</f>
        <v>0</v>
      </c>
      <c r="V49" s="9">
        <f t="shared" ref="V49" si="1169">+V48+U49</f>
        <v>0</v>
      </c>
      <c r="W49" s="9">
        <f t="shared" ref="W49" si="1170">+W48+V49</f>
        <v>0</v>
      </c>
      <c r="X49" s="9">
        <f t="shared" ref="X49" si="1171">+X48+W49</f>
        <v>0</v>
      </c>
      <c r="Y49" s="172">
        <f t="shared" ref="Y49" si="1172">+Y48+X49</f>
        <v>0</v>
      </c>
      <c r="Z49" s="9">
        <f t="shared" ref="Z49" si="1173">+Z48+Y49</f>
        <v>0</v>
      </c>
      <c r="AA49" s="9">
        <f t="shared" ref="AA49" si="1174">+AA48+Z49</f>
        <v>0</v>
      </c>
      <c r="AB49" s="9">
        <f t="shared" ref="AB49" si="1175">+AB48+AA49</f>
        <v>0</v>
      </c>
      <c r="AC49" s="9">
        <f t="shared" ref="AC49" si="1176">+AC48+AB49</f>
        <v>0</v>
      </c>
      <c r="AD49" s="9">
        <f t="shared" ref="AD49" si="1177">+AD48+AC49</f>
        <v>0</v>
      </c>
      <c r="AE49" s="9">
        <f t="shared" ref="AE49" si="1178">+AE48+AD49</f>
        <v>0</v>
      </c>
      <c r="AF49" s="9">
        <f t="shared" ref="AF49" si="1179">+AF48+AE49</f>
        <v>0</v>
      </c>
      <c r="AG49" s="9">
        <f t="shared" ref="AG49" si="1180">+AG48+AF49</f>
        <v>0</v>
      </c>
      <c r="AH49" s="9">
        <f t="shared" ref="AH49" si="1181">+AH48+AG49</f>
        <v>0</v>
      </c>
      <c r="AI49" s="9">
        <f t="shared" ref="AI49" si="1182">+AI48+AH49</f>
        <v>0</v>
      </c>
      <c r="AJ49" s="9">
        <f t="shared" ref="AJ49" si="1183">+AJ48+AI49</f>
        <v>0</v>
      </c>
      <c r="AK49" s="9">
        <f t="shared" ref="AK49" si="1184">+AK48+AJ49</f>
        <v>0</v>
      </c>
      <c r="AL49" s="9">
        <f t="shared" ref="AL49" si="1185">+AL48+AK49</f>
        <v>0</v>
      </c>
      <c r="AM49" s="9">
        <f t="shared" ref="AM49" si="1186">+AM48+AL49</f>
        <v>0</v>
      </c>
      <c r="AN49" s="9">
        <f t="shared" ref="AN49" si="1187">+AN48+AM49</f>
        <v>0</v>
      </c>
      <c r="AO49" s="9">
        <f t="shared" ref="AO49" si="1188">+AO48+AN49</f>
        <v>0</v>
      </c>
      <c r="AP49" s="9">
        <f t="shared" ref="AP49" si="1189">+AP48+AO49</f>
        <v>0</v>
      </c>
      <c r="AQ49" s="9">
        <f t="shared" ref="AQ49" si="1190">+AQ48+AP49</f>
        <v>0</v>
      </c>
      <c r="AR49" s="9">
        <f t="shared" ref="AR49" si="1191">+AR48+AQ49</f>
        <v>0</v>
      </c>
      <c r="AS49" s="9">
        <f t="shared" ref="AS49" si="1192">+AS48+AR49</f>
        <v>0</v>
      </c>
      <c r="AT49" s="9">
        <f t="shared" ref="AT49" si="1193">+AT48+AS49</f>
        <v>0</v>
      </c>
      <c r="AU49" s="9">
        <f t="shared" ref="AU49" si="1194">+AU48+AT49</f>
        <v>0</v>
      </c>
      <c r="AV49" s="9">
        <f t="shared" ref="AV49" si="1195">+AV48+AU49</f>
        <v>0</v>
      </c>
      <c r="AW49" s="9">
        <f t="shared" ref="AW49" si="1196">+AW48+AV49</f>
        <v>0</v>
      </c>
      <c r="AX49" s="9">
        <f t="shared" ref="AX49" si="1197">+AX48+AW49</f>
        <v>0</v>
      </c>
      <c r="AY49" s="9">
        <f t="shared" ref="AY49" si="1198">+AY48+AX49</f>
        <v>0</v>
      </c>
      <c r="AZ49" s="9">
        <f t="shared" ref="AZ49" si="1199">+AZ48+AY49</f>
        <v>0</v>
      </c>
      <c r="BA49" s="9">
        <f t="shared" ref="BA49" si="1200">+BA48+AZ49</f>
        <v>0</v>
      </c>
      <c r="BB49" s="9">
        <f t="shared" ref="BB49" si="1201">+BB48+BA49</f>
        <v>0</v>
      </c>
      <c r="BC49" s="9">
        <f t="shared" ref="BC49" si="1202">+BC48+BB49</f>
        <v>0</v>
      </c>
      <c r="BD49" s="9">
        <f t="shared" ref="BD49" si="1203">+BD48+BC49</f>
        <v>0</v>
      </c>
      <c r="BE49" s="9">
        <f t="shared" ref="BE49" si="1204">+BE48+BD49</f>
        <v>0</v>
      </c>
      <c r="BF49" s="9">
        <f t="shared" ref="BF49" si="1205">+BF48+BE49</f>
        <v>0</v>
      </c>
      <c r="BG49" s="9">
        <f t="shared" ref="BG49" si="1206">+BG48+BF49</f>
        <v>0</v>
      </c>
      <c r="BH49" s="9">
        <f t="shared" ref="BH49" si="1207">+BH48+BG49</f>
        <v>0</v>
      </c>
      <c r="BI49" s="9">
        <f t="shared" ref="BI49" si="1208">+BI48+BH49</f>
        <v>0</v>
      </c>
      <c r="BJ49" s="9">
        <f t="shared" ref="BJ49" si="1209">+BJ48+BI49</f>
        <v>0</v>
      </c>
      <c r="BK49" s="9">
        <f t="shared" ref="BK49" si="1210">+BK48+BJ49</f>
        <v>0</v>
      </c>
      <c r="BL49" s="9">
        <f t="shared" ref="BL49" si="1211">+BL48+BK49</f>
        <v>0</v>
      </c>
      <c r="BM49" s="9">
        <f t="shared" ref="BM49" si="1212">+BM48+BL49</f>
        <v>0</v>
      </c>
      <c r="BN49" s="9">
        <f t="shared" ref="BN49" si="1213">+BN48+BM49</f>
        <v>0</v>
      </c>
      <c r="BO49" s="9">
        <f t="shared" ref="BO49" si="1214">+BO48+BN49</f>
        <v>0</v>
      </c>
      <c r="BP49" s="9">
        <f t="shared" ref="BP49" si="1215">+BP48+BO49</f>
        <v>0</v>
      </c>
      <c r="BQ49" s="9">
        <f t="shared" ref="BQ49" si="1216">+BQ48+BP49</f>
        <v>0</v>
      </c>
      <c r="BR49" s="9">
        <f t="shared" ref="BR49" si="1217">+BR48+BQ49</f>
        <v>7232.3678044272392</v>
      </c>
      <c r="BS49" s="9">
        <f t="shared" ref="BS49" si="1218">+BS48+BR49</f>
        <v>8266.7794444954088</v>
      </c>
      <c r="BT49" s="9">
        <f t="shared" ref="BT49" si="1219">+BT48+BS49</f>
        <v>51135.713742967433</v>
      </c>
      <c r="BU49" s="9">
        <f t="shared" ref="BU49" si="1220">+BU48+BT49</f>
        <v>55005.434917948376</v>
      </c>
      <c r="BV49" s="9">
        <f t="shared" ref="BV49" si="1221">+BV48+BU49</f>
        <v>230067.3027375938</v>
      </c>
      <c r="BW49" s="9">
        <f t="shared" ref="BW49" si="1222">+BW48+BV49</f>
        <v>544012.53383388068</v>
      </c>
      <c r="BX49" s="9">
        <f t="shared" ref="BX49" si="1223">+BX48+BW49</f>
        <v>755554.26904450799</v>
      </c>
      <c r="BY49" s="9">
        <f t="shared" ref="BY49" si="1224">+BY48+BX49</f>
        <v>895145.31035861094</v>
      </c>
      <c r="BZ49" s="9">
        <f t="shared" ref="BZ49" si="1225">+BZ48+BY49</f>
        <v>924370.07843011222</v>
      </c>
      <c r="CA49" s="9">
        <f t="shared" ref="CA49" si="1226">+CA48+BZ49</f>
        <v>1148173.5291507205</v>
      </c>
      <c r="CB49" s="9">
        <f t="shared" ref="CB49" si="1227">+CB48+CA49</f>
        <v>1200000</v>
      </c>
      <c r="CC49" s="9">
        <f t="shared" ref="CC49" si="1228">+CC48+CB49</f>
        <v>1200000</v>
      </c>
      <c r="CD49" s="9">
        <f t="shared" ref="CD49" si="1229">+CD48+CC49</f>
        <v>1200000</v>
      </c>
      <c r="CE49" s="9">
        <f t="shared" ref="CE49" si="1230">+CE48+CD49</f>
        <v>1200000</v>
      </c>
      <c r="CF49" s="9">
        <f t="shared" ref="CF49" si="1231">+CF48+CE49</f>
        <v>1200000</v>
      </c>
      <c r="CG49" s="9">
        <f t="shared" ref="CG49" si="1232">+CG48+CF49</f>
        <v>1200000</v>
      </c>
      <c r="CH49" s="9">
        <f t="shared" ref="CH49" si="1233">+CH48+CG49</f>
        <v>1200000</v>
      </c>
      <c r="CI49" s="9">
        <f t="shared" ref="CI49" si="1234">+CI48+CH49</f>
        <v>1200000</v>
      </c>
      <c r="CJ49" s="9">
        <f t="shared" ref="CJ49" si="1235">+CJ48+CI49</f>
        <v>1200000</v>
      </c>
      <c r="CK49" s="9">
        <f t="shared" ref="CK49" si="1236">+CK48+CJ49</f>
        <v>1200000</v>
      </c>
      <c r="CL49" s="9">
        <f t="shared" ref="CL49" si="1237">+CL48+CK49</f>
        <v>1200000</v>
      </c>
      <c r="CM49" s="9">
        <f t="shared" ref="CM49" si="1238">+CM48+CL49</f>
        <v>1200000</v>
      </c>
      <c r="CN49" s="9">
        <f t="shared" ref="CN49" si="1239">+CN48+CM49</f>
        <v>1200000</v>
      </c>
      <c r="CO49" s="9">
        <f t="shared" ref="CO49" si="1240">+CO48+CN49</f>
        <v>1200000</v>
      </c>
      <c r="CP49" s="9">
        <f t="shared" ref="CP49" si="1241">+CP48+CO49</f>
        <v>1200000</v>
      </c>
      <c r="CQ49" s="9">
        <f t="shared" ref="CQ49" si="1242">+CQ48+CP49</f>
        <v>1200000</v>
      </c>
      <c r="CR49" s="9">
        <f t="shared" ref="CR49" si="1243">+CR48+CQ49</f>
        <v>1200000</v>
      </c>
      <c r="CS49" s="9">
        <f t="shared" ref="CS49" si="1244">+CS48+CR49</f>
        <v>1200000</v>
      </c>
      <c r="CT49" s="9">
        <f t="shared" ref="CT49" si="1245">+CT48+CS49</f>
        <v>1200000</v>
      </c>
      <c r="CU49" s="9">
        <f t="shared" ref="CU49" si="1246">+CU48+CT49</f>
        <v>1200000</v>
      </c>
      <c r="CV49" s="9">
        <f t="shared" ref="CV49" si="1247">+CV48+CU49</f>
        <v>1200000</v>
      </c>
      <c r="CW49" s="9">
        <f t="shared" ref="CW49" si="1248">+CW48+CV49</f>
        <v>1200000</v>
      </c>
      <c r="CX49" s="9">
        <f t="shared" ref="CX49" si="1249">+CX48+CW49</f>
        <v>1200000</v>
      </c>
      <c r="CY49" s="9">
        <f t="shared" ref="CY49" si="1250">+CY48+CX49</f>
        <v>1200000</v>
      </c>
      <c r="CZ49" s="9">
        <f t="shared" ref="CZ49" si="1251">+CZ48+CY49</f>
        <v>1200000</v>
      </c>
      <c r="DA49" s="9">
        <f t="shared" ref="DA49" si="1252">+DA48+CZ49</f>
        <v>1200000</v>
      </c>
      <c r="DB49" s="9">
        <f t="shared" ref="DB49" si="1253">+DB48+DA49</f>
        <v>1200000</v>
      </c>
      <c r="DC49" s="9">
        <f t="shared" ref="DC49" si="1254">+DC48+DB49</f>
        <v>1200000</v>
      </c>
      <c r="DD49" s="9">
        <f t="shared" ref="DD49" si="1255">+DD48+DC49</f>
        <v>1200000</v>
      </c>
      <c r="DE49" s="9">
        <f t="shared" ref="DE49" si="1256">+DE48+DD49</f>
        <v>1200000</v>
      </c>
      <c r="DF49" s="9">
        <f t="shared" ref="DF49" si="1257">+DF48+DE49</f>
        <v>1200000</v>
      </c>
      <c r="DG49" s="9">
        <f t="shared" ref="DG49:DH49" si="1258">+DG48+DF49</f>
        <v>1200000</v>
      </c>
      <c r="DH49" s="9">
        <f t="shared" si="1258"/>
        <v>1200000</v>
      </c>
    </row>
    <row r="50" spans="2:112" x14ac:dyDescent="0.3">
      <c r="B50" t="s">
        <v>486</v>
      </c>
      <c r="C50" s="514">
        <f>+EOMONTH(C49,12)</f>
        <v>47269</v>
      </c>
      <c r="D50" t="s">
        <v>290</v>
      </c>
      <c r="F50" s="459">
        <f>+IFERROR(INDEX(Assumptions!$F$31:$F$42, MATCH(F45, Assumptions!$D$31:$D$42, 0))*$C$47, 0)</f>
        <v>0</v>
      </c>
      <c r="G50" s="9">
        <f>+IFERROR(INDEX(Assumptions!$F$31:$F$42, MATCH(G45, Assumptions!$D$31:$D$42, 0))*$C$47, 0)</f>
        <v>0</v>
      </c>
      <c r="H50" s="9">
        <f>+IFERROR(INDEX(Assumptions!$F$31:$F$42, MATCH(H45, Assumptions!$D$31:$D$42, 0))*$C$47, 0)</f>
        <v>0</v>
      </c>
      <c r="I50" s="9">
        <f>+IFERROR(INDEX(Assumptions!$F$31:$F$42, MATCH(I45, Assumptions!$D$31:$D$42, 0))*$C$47, 0)</f>
        <v>0</v>
      </c>
      <c r="J50" s="9">
        <f>+IFERROR(INDEX(Assumptions!$F$31:$F$42, MATCH(J45, Assumptions!$D$31:$D$42, 0))*$C$47, 0)</f>
        <v>0</v>
      </c>
      <c r="K50" s="9">
        <f>+IFERROR(INDEX(Assumptions!$F$31:$F$42, MATCH(K45, Assumptions!$D$31:$D$42, 0))*$C$47, 0)</f>
        <v>0</v>
      </c>
      <c r="L50" s="9">
        <f>+IFERROR(INDEX(Assumptions!$F$31:$F$42, MATCH(L45, Assumptions!$D$31:$D$42, 0))*$C$47, 0)</f>
        <v>0</v>
      </c>
      <c r="M50" s="9">
        <f>+IFERROR(INDEX(Assumptions!$F$31:$F$42, MATCH(M45, Assumptions!$D$31:$D$42, 0))*$C$47, 0)</f>
        <v>0</v>
      </c>
      <c r="N50" s="9">
        <f>+IFERROR(INDEX(Assumptions!$F$31:$F$42, MATCH(N45, Assumptions!$D$31:$D$42, 0))*$C$47, 0)</f>
        <v>0</v>
      </c>
      <c r="O50" s="9">
        <f>+IFERROR(INDEX(Assumptions!$F$31:$F$42, MATCH(O45, Assumptions!$D$31:$D$42, 0))*$C$47, 0)</f>
        <v>0</v>
      </c>
      <c r="P50" s="9">
        <f>+IFERROR(INDEX(Assumptions!$F$31:$F$42, MATCH(P45, Assumptions!$D$31:$D$42, 0))*$C$47, 0)</f>
        <v>0</v>
      </c>
      <c r="Q50" s="9">
        <f>+IFERROR(INDEX(Assumptions!$F$31:$F$42, MATCH(Q45, Assumptions!$D$31:$D$42, 0))*$C$47, 0)</f>
        <v>0</v>
      </c>
      <c r="R50" s="9">
        <f>+IFERROR(INDEX(Assumptions!$F$31:$F$42, MATCH(R45, Assumptions!$D$31:$D$42, 0))*$C$47, 0)</f>
        <v>0</v>
      </c>
      <c r="S50" s="9">
        <f>+IFERROR(INDEX(Assumptions!$F$31:$F$42, MATCH(S45, Assumptions!$D$31:$D$42, 0))*$C$47, 0)</f>
        <v>0</v>
      </c>
      <c r="T50" s="9">
        <f>+IFERROR(INDEX(Assumptions!$F$31:$F$42, MATCH(T45, Assumptions!$D$31:$D$42, 0))*$C$47, 0)</f>
        <v>0</v>
      </c>
      <c r="U50" s="9">
        <f>+IFERROR(INDEX(Assumptions!$F$31:$F$42, MATCH(U45, Assumptions!$D$31:$D$42, 0))*$C$47, 0)</f>
        <v>0</v>
      </c>
      <c r="V50" s="9">
        <f>+IFERROR(INDEX(Assumptions!$F$31:$F$42, MATCH(V45, Assumptions!$D$31:$D$42, 0))*$C$47, 0)</f>
        <v>0</v>
      </c>
      <c r="W50" s="9">
        <f>+IFERROR(INDEX(Assumptions!$F$31:$F$42, MATCH(W45, Assumptions!$D$31:$D$42, 0))*$C$47, 0)</f>
        <v>0</v>
      </c>
      <c r="X50" s="9">
        <f>+IFERROR(INDEX(Assumptions!$F$31:$F$42, MATCH(X45, Assumptions!$D$31:$D$42, 0))*$C$47, 0)</f>
        <v>0</v>
      </c>
      <c r="Y50" s="172">
        <f>+IFERROR(INDEX(Assumptions!$F$31:$F$42, MATCH(Y45, Assumptions!$D$31:$D$42, 0))*$C$47, 0)</f>
        <v>0</v>
      </c>
      <c r="Z50" s="9">
        <f>+IFERROR(INDEX(Assumptions!$F$31:$F$42, MATCH(Z45, Assumptions!$D$31:$D$42, 0))*$C$47, 0)</f>
        <v>0</v>
      </c>
      <c r="AA50" s="9">
        <f>+IFERROR(INDEX(Assumptions!$F$31:$F$42, MATCH(AA45, Assumptions!$D$31:$D$42, 0))*$C$47, 0)</f>
        <v>0</v>
      </c>
      <c r="AB50" s="9">
        <f>+IFERROR(INDEX(Assumptions!$F$31:$F$42, MATCH(AB45, Assumptions!$D$31:$D$42, 0))*$C$47, 0)</f>
        <v>0</v>
      </c>
      <c r="AC50" s="9">
        <f>+IFERROR(INDEX(Assumptions!$F$31:$F$42, MATCH(AC45, Assumptions!$D$31:$D$42, 0))*$C$47, 0)</f>
        <v>0</v>
      </c>
      <c r="AD50" s="9">
        <f>+IFERROR(INDEX(Assumptions!$F$31:$F$42, MATCH(AD45, Assumptions!$D$31:$D$42, 0))*$C$47, 0)</f>
        <v>0</v>
      </c>
      <c r="AE50" s="9">
        <f>+IFERROR(INDEX(Assumptions!$F$31:$F$42, MATCH(AE45, Assumptions!$D$31:$D$42, 0))*$C$47, 0)</f>
        <v>0</v>
      </c>
      <c r="AF50" s="9">
        <f>+IFERROR(INDEX(Assumptions!$F$31:$F$42, MATCH(AF45, Assumptions!$D$31:$D$42, 0))*$C$47, 0)</f>
        <v>0</v>
      </c>
      <c r="AG50" s="9">
        <f>+IFERROR(INDEX(Assumptions!$F$31:$F$42, MATCH(AG45, Assumptions!$D$31:$D$42, 0))*$C$47, 0)</f>
        <v>0</v>
      </c>
      <c r="AH50" s="9">
        <f>+IFERROR(INDEX(Assumptions!$F$31:$F$42, MATCH(AH45, Assumptions!$D$31:$D$42, 0))*$C$47, 0)</f>
        <v>0</v>
      </c>
      <c r="AI50" s="9">
        <f>+IFERROR(INDEX(Assumptions!$F$31:$F$42, MATCH(AI45, Assumptions!$D$31:$D$42, 0))*$C$47, 0)</f>
        <v>0</v>
      </c>
      <c r="AJ50" s="9">
        <f>+IFERROR(INDEX(Assumptions!$F$31:$F$42, MATCH(AJ45, Assumptions!$D$31:$D$42, 0))*$C$47, 0)</f>
        <v>0</v>
      </c>
      <c r="AK50" s="9">
        <f>+IFERROR(INDEX(Assumptions!$F$31:$F$42, MATCH(AK45, Assumptions!$D$31:$D$42, 0))*$C$47, 0)</f>
        <v>0</v>
      </c>
      <c r="AL50" s="9">
        <f>+IFERROR(INDEX(Assumptions!$F$31:$F$42, MATCH(AL45, Assumptions!$D$31:$D$42, 0))*$C$47, 0)</f>
        <v>0</v>
      </c>
      <c r="AM50" s="9">
        <f>+IFERROR(INDEX(Assumptions!$F$31:$F$42, MATCH(AM45, Assumptions!$D$31:$D$42, 0))*$C$47, 0)</f>
        <v>0</v>
      </c>
      <c r="AN50" s="9">
        <f>+IFERROR(INDEX(Assumptions!$F$31:$F$42, MATCH(AN45, Assumptions!$D$31:$D$42, 0))*$C$47, 0)</f>
        <v>0</v>
      </c>
      <c r="AO50" s="9">
        <f>+IFERROR(INDEX(Assumptions!$F$31:$F$42, MATCH(AO45, Assumptions!$D$31:$D$42, 0))*$C$47, 0)</f>
        <v>0</v>
      </c>
      <c r="AP50" s="9">
        <f>+IFERROR(INDEX(Assumptions!$F$31:$F$42, MATCH(AP45, Assumptions!$D$31:$D$42, 0))*$C$47, 0)</f>
        <v>0</v>
      </c>
      <c r="AQ50" s="9">
        <f>+IFERROR(INDEX(Assumptions!$F$31:$F$42, MATCH(AQ45, Assumptions!$D$31:$D$42, 0))*$C$47, 0)</f>
        <v>0</v>
      </c>
      <c r="AR50" s="9">
        <f>+IFERROR(INDEX(Assumptions!$F$31:$F$42, MATCH(AR45, Assumptions!$D$31:$D$42, 0))*$C$47, 0)</f>
        <v>0</v>
      </c>
      <c r="AS50" s="9">
        <f>+IFERROR(INDEX(Assumptions!$F$31:$F$42, MATCH(AS45, Assumptions!$D$31:$D$42, 0))*$C$47, 0)</f>
        <v>0</v>
      </c>
      <c r="AT50" s="9">
        <f>+IFERROR(INDEX(Assumptions!$F$31:$F$42, MATCH(AT45, Assumptions!$D$31:$D$42, 0))*$C$47, 0)</f>
        <v>0</v>
      </c>
      <c r="AU50" s="9">
        <f>+IFERROR(INDEX(Assumptions!$F$31:$F$42, MATCH(AU45, Assumptions!$D$31:$D$42, 0))*$C$47, 0)</f>
        <v>0</v>
      </c>
      <c r="AV50" s="9">
        <f>+IFERROR(INDEX(Assumptions!$F$31:$F$42, MATCH(AV45, Assumptions!$D$31:$D$42, 0))*$C$47, 0)</f>
        <v>0</v>
      </c>
      <c r="AW50" s="9">
        <f>+IFERROR(INDEX(Assumptions!$F$31:$F$42, MATCH(AW45, Assumptions!$D$31:$D$42, 0))*$C$47, 0)</f>
        <v>0</v>
      </c>
      <c r="AX50" s="9">
        <f>+IFERROR(INDEX(Assumptions!$F$31:$F$42, MATCH(AX45, Assumptions!$D$31:$D$42, 0))*$C$47, 0)</f>
        <v>0</v>
      </c>
      <c r="AY50" s="9">
        <f>+IFERROR(INDEX(Assumptions!$F$31:$F$42, MATCH(AY45, Assumptions!$D$31:$D$42, 0))*$C$47, 0)</f>
        <v>0</v>
      </c>
      <c r="AZ50" s="9">
        <f>+IFERROR(INDEX(Assumptions!$F$31:$F$42, MATCH(AZ45, Assumptions!$D$31:$D$42, 0))*$C$47, 0)</f>
        <v>0</v>
      </c>
      <c r="BA50" s="9">
        <f>+IFERROR(INDEX(Assumptions!$F$31:$F$42, MATCH(BA45, Assumptions!$D$31:$D$42, 0))*$C$47, 0)</f>
        <v>0</v>
      </c>
      <c r="BB50" s="9">
        <f>+IFERROR(INDEX(Assumptions!$F$31:$F$42, MATCH(BB45, Assumptions!$D$31:$D$42, 0))*$C$47, 0)</f>
        <v>0</v>
      </c>
      <c r="BC50" s="9">
        <f>+IFERROR(INDEX(Assumptions!$F$31:$F$42, MATCH(BC45, Assumptions!$D$31:$D$42, 0))*$C$47, 0)</f>
        <v>0</v>
      </c>
      <c r="BD50" s="9">
        <f>+IFERROR(INDEX(Assumptions!$F$31:$F$42, MATCH(BD45, Assumptions!$D$31:$D$42, 0))*$C$47, 0)</f>
        <v>0</v>
      </c>
      <c r="BE50" s="9">
        <f>+IFERROR(INDEX(Assumptions!$F$31:$F$42, MATCH(BE45, Assumptions!$D$31:$D$42, 0))*$C$47, 0)</f>
        <v>0</v>
      </c>
      <c r="BF50" s="9">
        <f>+IFERROR(INDEX(Assumptions!$F$31:$F$42, MATCH(BF45, Assumptions!$D$31:$D$42, 0))*$C$47, 0)</f>
        <v>0</v>
      </c>
      <c r="BG50" s="9">
        <f>+IFERROR(INDEX(Assumptions!$F$31:$F$42, MATCH(BG45, Assumptions!$D$31:$D$42, 0))*$C$47, 0)</f>
        <v>0</v>
      </c>
      <c r="BH50" s="9">
        <f>+IFERROR(INDEX(Assumptions!$F$31:$F$42, MATCH(BH45, Assumptions!$D$31:$D$42, 0))*$C$47, 0)</f>
        <v>0</v>
      </c>
      <c r="BI50" s="9">
        <f>+IFERROR(INDEX(Assumptions!$F$31:$F$42, MATCH(BI45, Assumptions!$D$31:$D$42, 0))*$C$47, 0)</f>
        <v>0</v>
      </c>
      <c r="BJ50" s="9">
        <f>+IFERROR(INDEX(Assumptions!$F$31:$F$42, MATCH(BJ45, Assumptions!$D$31:$D$42, 0))*$C$47, 0)</f>
        <v>0</v>
      </c>
      <c r="BK50" s="9">
        <f>+IFERROR(INDEX(Assumptions!$F$31:$F$42, MATCH(BK45, Assumptions!$D$31:$D$42, 0))*$C$47, 0)</f>
        <v>0</v>
      </c>
      <c r="BL50" s="9">
        <f>+IFERROR(INDEX(Assumptions!$F$31:$F$42, MATCH(BL45, Assumptions!$D$31:$D$42, 0))*$C$47, 0)</f>
        <v>0</v>
      </c>
      <c r="BM50" s="9">
        <f>+IFERROR(INDEX(Assumptions!$F$31:$F$42, MATCH(BM45, Assumptions!$D$31:$D$42, 0))*$C$47, 0)</f>
        <v>0</v>
      </c>
      <c r="BN50" s="9">
        <f>+IFERROR(INDEX(Assumptions!$F$31:$F$42, MATCH(BN45, Assumptions!$D$31:$D$42, 0))*$C$47, 0)</f>
        <v>0</v>
      </c>
      <c r="BO50" s="9">
        <f>+IFERROR(INDEX(Assumptions!$F$31:$F$42, MATCH(BO45, Assumptions!$D$31:$D$42, 0))*$C$47, 0)</f>
        <v>0</v>
      </c>
      <c r="BP50" s="9">
        <f>+IFERROR(INDEX(Assumptions!$F$31:$F$42, MATCH(BP45, Assumptions!$D$31:$D$42, 0))*$C$47, 0)</f>
        <v>0</v>
      </c>
      <c r="BQ50" s="9">
        <f>+IFERROR(INDEX(Assumptions!$F$31:$F$42, MATCH(BQ45, Assumptions!$D$31:$D$42, 0))*$C$47, 0)</f>
        <v>340000</v>
      </c>
      <c r="BR50" s="9">
        <f>+IFERROR(INDEX(Assumptions!$F$31:$F$42, MATCH(BR45, Assumptions!$D$31:$D$42, 0))*$C$47, 0)</f>
        <v>0</v>
      </c>
      <c r="BS50" s="9">
        <f>+IFERROR(INDEX(Assumptions!$F$31:$F$42, MATCH(BS45, Assumptions!$D$31:$D$42, 0))*$C$47, 0)</f>
        <v>0</v>
      </c>
      <c r="BT50" s="9">
        <f>+IFERROR(INDEX(Assumptions!$F$31:$F$42, MATCH(BT45, Assumptions!$D$31:$D$42, 0))*$C$47, 0)</f>
        <v>0</v>
      </c>
      <c r="BU50" s="9">
        <f>+IFERROR(INDEX(Assumptions!$F$31:$F$42, MATCH(BU45, Assumptions!$D$31:$D$42, 0))*$C$47, 0)</f>
        <v>680000</v>
      </c>
      <c r="BV50" s="9">
        <f>+IFERROR(INDEX(Assumptions!$F$31:$F$42, MATCH(BV45, Assumptions!$D$31:$D$42, 0))*$C$47, 0)</f>
        <v>850000</v>
      </c>
      <c r="BW50" s="9">
        <f>+IFERROR(INDEX(Assumptions!$F$31:$F$42, MATCH(BW45, Assumptions!$D$31:$D$42, 0))*$C$47, 0)</f>
        <v>510000</v>
      </c>
      <c r="BX50" s="9">
        <f>+IFERROR(INDEX(Assumptions!$F$31:$F$42, MATCH(BX45, Assumptions!$D$31:$D$42, 0))*$C$47, 0)</f>
        <v>0</v>
      </c>
      <c r="BY50" s="9">
        <f>+IFERROR(INDEX(Assumptions!$F$31:$F$42, MATCH(BY45, Assumptions!$D$31:$D$42, 0))*$C$47, 0)</f>
        <v>510000</v>
      </c>
      <c r="BZ50" s="9">
        <f>+IFERROR(INDEX(Assumptions!$F$31:$F$42, MATCH(BZ45, Assumptions!$D$31:$D$42, 0))*$C$47, 0)</f>
        <v>0</v>
      </c>
      <c r="CA50" s="9">
        <f>+IFERROR(INDEX(Assumptions!$F$31:$F$42, MATCH(CA45, Assumptions!$D$31:$D$42, 0))*$C$47, 0)</f>
        <v>510000</v>
      </c>
      <c r="CB50" s="9">
        <f>+IFERROR(INDEX(Assumptions!$F$31:$F$42, MATCH(CB45, Assumptions!$D$31:$D$42, 0))*$C$47, 0)</f>
        <v>0</v>
      </c>
      <c r="CC50" s="9">
        <f>+IFERROR(INDEX(Assumptions!$F$31:$F$42, MATCH(CC45, Assumptions!$D$31:$D$42, 0))*$C$47, 0)</f>
        <v>0</v>
      </c>
      <c r="CD50" s="9">
        <f>+IFERROR(INDEX(Assumptions!$F$31:$F$42, MATCH(CD45, Assumptions!$D$31:$D$42, 0))*$C$47, 0)</f>
        <v>0</v>
      </c>
      <c r="CE50" s="9">
        <f>+IFERROR(INDEX(Assumptions!$F$31:$F$42, MATCH(CE45, Assumptions!$D$31:$D$42, 0))*$C$47, 0)</f>
        <v>0</v>
      </c>
      <c r="CF50" s="9">
        <f>+IFERROR(INDEX(Assumptions!$F$31:$F$42, MATCH(CF45, Assumptions!$D$31:$D$42, 0))*$C$47, 0)</f>
        <v>0</v>
      </c>
      <c r="CG50" s="9">
        <f>+IFERROR(INDEX(Assumptions!$F$31:$F$42, MATCH(CG45, Assumptions!$D$31:$D$42, 0))*$C$47, 0)</f>
        <v>0</v>
      </c>
      <c r="CH50" s="9">
        <f>+IFERROR(INDEX(Assumptions!$F$31:$F$42, MATCH(CH45, Assumptions!$D$31:$D$42, 0))*$C$47, 0)</f>
        <v>0</v>
      </c>
      <c r="CI50" s="9">
        <f>+IFERROR(INDEX(Assumptions!$F$31:$F$42, MATCH(CI45, Assumptions!$D$31:$D$42, 0))*$C$47, 0)</f>
        <v>0</v>
      </c>
      <c r="CJ50" s="9">
        <f>+IFERROR(INDEX(Assumptions!$F$31:$F$42, MATCH(CJ45, Assumptions!$D$31:$D$42, 0))*$C$47, 0)</f>
        <v>0</v>
      </c>
      <c r="CK50" s="9">
        <f>+IFERROR(INDEX(Assumptions!$F$31:$F$42, MATCH(CK45, Assumptions!$D$31:$D$42, 0))*$C$47, 0)</f>
        <v>0</v>
      </c>
      <c r="CL50" s="9">
        <f>+IFERROR(INDEX(Assumptions!$F$31:$F$42, MATCH(CL45, Assumptions!$D$31:$D$42, 0))*$C$47, 0)</f>
        <v>0</v>
      </c>
      <c r="CM50" s="9">
        <f>+IFERROR(INDEX(Assumptions!$F$31:$F$42, MATCH(CM45, Assumptions!$D$31:$D$42, 0))*$C$47, 0)</f>
        <v>0</v>
      </c>
      <c r="CN50" s="9">
        <f>+IFERROR(INDEX(Assumptions!$F$31:$F$42, MATCH(CN45, Assumptions!$D$31:$D$42, 0))*$C$47, 0)</f>
        <v>0</v>
      </c>
      <c r="CO50" s="9">
        <f>+IFERROR(INDEX(Assumptions!$F$31:$F$42, MATCH(CO45, Assumptions!$D$31:$D$42, 0))*$C$47, 0)</f>
        <v>0</v>
      </c>
      <c r="CP50" s="9">
        <f>+IFERROR(INDEX(Assumptions!$F$31:$F$42, MATCH(CP45, Assumptions!$D$31:$D$42, 0))*$C$47, 0)</f>
        <v>0</v>
      </c>
      <c r="CQ50" s="9">
        <f>+IFERROR(INDEX(Assumptions!$F$31:$F$42, MATCH(CQ45, Assumptions!$D$31:$D$42, 0))*$C$47, 0)</f>
        <v>0</v>
      </c>
      <c r="CR50" s="9">
        <f>+IFERROR(INDEX(Assumptions!$F$31:$F$42, MATCH(CR45, Assumptions!$D$31:$D$42, 0))*$C$47, 0)</f>
        <v>0</v>
      </c>
      <c r="CS50" s="9">
        <f>+IFERROR(INDEX(Assumptions!$F$31:$F$42, MATCH(CS45, Assumptions!$D$31:$D$42, 0))*$C$47, 0)</f>
        <v>0</v>
      </c>
      <c r="CT50" s="9">
        <f>+IFERROR(INDEX(Assumptions!$F$31:$F$42, MATCH(CT45, Assumptions!$D$31:$D$42, 0))*$C$47, 0)</f>
        <v>0</v>
      </c>
      <c r="CU50" s="9">
        <f>+IFERROR(INDEX(Assumptions!$F$31:$F$42, MATCH(CU45, Assumptions!$D$31:$D$42, 0))*$C$47, 0)</f>
        <v>0</v>
      </c>
      <c r="CV50" s="9">
        <f>+IFERROR(INDEX(Assumptions!$F$31:$F$42, MATCH(CV45, Assumptions!$D$31:$D$42, 0))*$C$47, 0)</f>
        <v>0</v>
      </c>
      <c r="CW50" s="9">
        <f>+IFERROR(INDEX(Assumptions!$F$31:$F$42, MATCH(CW45, Assumptions!$D$31:$D$42, 0))*$C$47, 0)</f>
        <v>0</v>
      </c>
      <c r="CX50" s="9">
        <f>+IFERROR(INDEX(Assumptions!$F$31:$F$42, MATCH(CX45, Assumptions!$D$31:$D$42, 0))*$C$47, 0)</f>
        <v>0</v>
      </c>
      <c r="CY50" s="9">
        <f>+IFERROR(INDEX(Assumptions!$F$31:$F$42, MATCH(CY45, Assumptions!$D$31:$D$42, 0))*$C$47, 0)</f>
        <v>0</v>
      </c>
      <c r="CZ50" s="9">
        <f>+IFERROR(INDEX(Assumptions!$F$31:$F$42, MATCH(CZ45, Assumptions!$D$31:$D$42, 0))*$C$47, 0)</f>
        <v>0</v>
      </c>
      <c r="DA50" s="9">
        <f>+IFERROR(INDEX(Assumptions!$F$31:$F$42, MATCH(DA45, Assumptions!$D$31:$D$42, 0))*$C$47, 0)</f>
        <v>0</v>
      </c>
      <c r="DB50" s="9">
        <f>+IFERROR(INDEX(Assumptions!$F$31:$F$42, MATCH(DB45, Assumptions!$D$31:$D$42, 0))*$C$47, 0)</f>
        <v>0</v>
      </c>
      <c r="DC50" s="9">
        <f>+IFERROR(INDEX(Assumptions!$F$31:$F$42, MATCH(DC45, Assumptions!$D$31:$D$42, 0))*$C$47, 0)</f>
        <v>0</v>
      </c>
      <c r="DD50" s="9">
        <f>+IFERROR(INDEX(Assumptions!$F$31:$F$42, MATCH(DD45, Assumptions!$D$31:$D$42, 0))*$C$47, 0)</f>
        <v>0</v>
      </c>
      <c r="DE50" s="9">
        <f>+IFERROR(INDEX(Assumptions!$F$31:$F$42, MATCH(DE45, Assumptions!$D$31:$D$42, 0))*$C$47, 0)</f>
        <v>0</v>
      </c>
      <c r="DF50" s="9">
        <f>+IFERROR(INDEX(Assumptions!$F$31:$F$42, MATCH(DF45, Assumptions!$D$31:$D$42, 0))*$C$47, 0)</f>
        <v>0</v>
      </c>
      <c r="DG50" s="9">
        <f>+IFERROR(INDEX(Assumptions!$F$31:$F$42, MATCH(DG45, Assumptions!$D$31:$D$42, 0))*$C$47, 0)</f>
        <v>0</v>
      </c>
      <c r="DH50" s="9">
        <f>+IFERROR(INDEX(Assumptions!$F$31:$F$42, MATCH(DH45, Assumptions!$D$31:$D$42, 0))*$C$47, 0)</f>
        <v>0</v>
      </c>
    </row>
    <row r="51" spans="2:112" x14ac:dyDescent="0.3">
      <c r="D51" t="s">
        <v>289</v>
      </c>
      <c r="F51" s="9">
        <f t="shared" ref="F51" si="1259">+F50+E51</f>
        <v>0</v>
      </c>
      <c r="G51" s="9">
        <f t="shared" ref="G51" si="1260">+G50+F51</f>
        <v>0</v>
      </c>
      <c r="H51" s="9">
        <f t="shared" ref="H51" si="1261">+H50+G51</f>
        <v>0</v>
      </c>
      <c r="I51" s="9">
        <f t="shared" ref="I51" si="1262">+I50+H51</f>
        <v>0</v>
      </c>
      <c r="J51" s="9">
        <f t="shared" ref="J51" si="1263">+J50+I51</f>
        <v>0</v>
      </c>
      <c r="K51" s="9">
        <f t="shared" ref="K51" si="1264">+K50+J51</f>
        <v>0</v>
      </c>
      <c r="L51" s="9">
        <f t="shared" ref="L51" si="1265">+L50+K51</f>
        <v>0</v>
      </c>
      <c r="M51" s="9">
        <f t="shared" ref="M51" si="1266">+M50+L51</f>
        <v>0</v>
      </c>
      <c r="N51" s="9">
        <f t="shared" ref="N51" si="1267">+N50+M51</f>
        <v>0</v>
      </c>
      <c r="O51" s="9">
        <f t="shared" ref="O51" si="1268">+O50+N51</f>
        <v>0</v>
      </c>
      <c r="P51" s="9">
        <f t="shared" ref="P51" si="1269">+P50+O51</f>
        <v>0</v>
      </c>
      <c r="Q51" s="9">
        <f t="shared" ref="Q51" si="1270">+Q50+P51</f>
        <v>0</v>
      </c>
      <c r="R51" s="9">
        <f t="shared" ref="R51" si="1271">+R50+Q51</f>
        <v>0</v>
      </c>
      <c r="S51" s="9">
        <f t="shared" ref="S51" si="1272">+S50+R51</f>
        <v>0</v>
      </c>
      <c r="T51" s="9">
        <f t="shared" ref="T51" si="1273">+T50+S51</f>
        <v>0</v>
      </c>
      <c r="U51" s="9">
        <f t="shared" ref="U51" si="1274">+U50+T51</f>
        <v>0</v>
      </c>
      <c r="V51" s="9">
        <f t="shared" ref="V51" si="1275">+V50+U51</f>
        <v>0</v>
      </c>
      <c r="W51" s="9">
        <f t="shared" ref="W51" si="1276">+W50+V51</f>
        <v>0</v>
      </c>
      <c r="X51" s="9">
        <f t="shared" ref="X51" si="1277">+X50+W51</f>
        <v>0</v>
      </c>
      <c r="Y51" s="172">
        <f t="shared" ref="Y51" si="1278">+Y50+X51</f>
        <v>0</v>
      </c>
      <c r="Z51" s="9">
        <f t="shared" ref="Z51" si="1279">+Z50+Y51</f>
        <v>0</v>
      </c>
      <c r="AA51" s="9">
        <f t="shared" ref="AA51" si="1280">+AA50+Z51</f>
        <v>0</v>
      </c>
      <c r="AB51" s="9">
        <f t="shared" ref="AB51" si="1281">+AB50+AA51</f>
        <v>0</v>
      </c>
      <c r="AC51" s="9">
        <f t="shared" ref="AC51" si="1282">+AC50+AB51</f>
        <v>0</v>
      </c>
      <c r="AD51" s="9">
        <f t="shared" ref="AD51" si="1283">+AD50+AC51</f>
        <v>0</v>
      </c>
      <c r="AE51" s="9">
        <f t="shared" ref="AE51" si="1284">+AE50+AD51</f>
        <v>0</v>
      </c>
      <c r="AF51" s="9">
        <f t="shared" ref="AF51" si="1285">+AF50+AE51</f>
        <v>0</v>
      </c>
      <c r="AG51" s="9">
        <f t="shared" ref="AG51" si="1286">+AG50+AF51</f>
        <v>0</v>
      </c>
      <c r="AH51" s="9">
        <f t="shared" ref="AH51" si="1287">+AH50+AG51</f>
        <v>0</v>
      </c>
      <c r="AI51" s="9">
        <f t="shared" ref="AI51" si="1288">+AI50+AH51</f>
        <v>0</v>
      </c>
      <c r="AJ51" s="9">
        <f t="shared" ref="AJ51" si="1289">+AJ50+AI51</f>
        <v>0</v>
      </c>
      <c r="AK51" s="9">
        <f t="shared" ref="AK51" si="1290">+AK50+AJ51</f>
        <v>0</v>
      </c>
      <c r="AL51" s="9">
        <f t="shared" ref="AL51" si="1291">+AL50+AK51</f>
        <v>0</v>
      </c>
      <c r="AM51" s="9">
        <f t="shared" ref="AM51" si="1292">+AM50+AL51</f>
        <v>0</v>
      </c>
      <c r="AN51" s="9">
        <f t="shared" ref="AN51" si="1293">+AN50+AM51</f>
        <v>0</v>
      </c>
      <c r="AO51" s="9">
        <f t="shared" ref="AO51" si="1294">+AO50+AN51</f>
        <v>0</v>
      </c>
      <c r="AP51" s="9">
        <f t="shared" ref="AP51" si="1295">+AP50+AO51</f>
        <v>0</v>
      </c>
      <c r="AQ51" s="9">
        <f t="shared" ref="AQ51" si="1296">+AQ50+AP51</f>
        <v>0</v>
      </c>
      <c r="AR51" s="9">
        <f t="shared" ref="AR51" si="1297">+AR50+AQ51</f>
        <v>0</v>
      </c>
      <c r="AS51" s="9">
        <f t="shared" ref="AS51" si="1298">+AS50+AR51</f>
        <v>0</v>
      </c>
      <c r="AT51" s="9">
        <f t="shared" ref="AT51" si="1299">+AT50+AS51</f>
        <v>0</v>
      </c>
      <c r="AU51" s="9">
        <f t="shared" ref="AU51" si="1300">+AU50+AT51</f>
        <v>0</v>
      </c>
      <c r="AV51" s="9">
        <f t="shared" ref="AV51" si="1301">+AV50+AU51</f>
        <v>0</v>
      </c>
      <c r="AW51" s="9">
        <f t="shared" ref="AW51" si="1302">+AW50+AV51</f>
        <v>0</v>
      </c>
      <c r="AX51" s="9">
        <f t="shared" ref="AX51" si="1303">+AX50+AW51</f>
        <v>0</v>
      </c>
      <c r="AY51" s="9">
        <f t="shared" ref="AY51" si="1304">+AY50+AX51</f>
        <v>0</v>
      </c>
      <c r="AZ51" s="9">
        <f t="shared" ref="AZ51" si="1305">+AZ50+AY51</f>
        <v>0</v>
      </c>
      <c r="BA51" s="9">
        <f t="shared" ref="BA51" si="1306">+BA50+AZ51</f>
        <v>0</v>
      </c>
      <c r="BB51" s="9">
        <f t="shared" ref="BB51" si="1307">+BB50+BA51</f>
        <v>0</v>
      </c>
      <c r="BC51" s="9">
        <f t="shared" ref="BC51" si="1308">+BC50+BB51</f>
        <v>0</v>
      </c>
      <c r="BD51" s="9">
        <f t="shared" ref="BD51" si="1309">+BD50+BC51</f>
        <v>0</v>
      </c>
      <c r="BE51" s="9">
        <f t="shared" ref="BE51" si="1310">+BE50+BD51</f>
        <v>0</v>
      </c>
      <c r="BF51" s="9">
        <f t="shared" ref="BF51" si="1311">+BF50+BE51</f>
        <v>0</v>
      </c>
      <c r="BG51" s="9">
        <f t="shared" ref="BG51" si="1312">+BG50+BF51</f>
        <v>0</v>
      </c>
      <c r="BH51" s="9">
        <f t="shared" ref="BH51" si="1313">+BH50+BG51</f>
        <v>0</v>
      </c>
      <c r="BI51" s="9">
        <f t="shared" ref="BI51" si="1314">+BI50+BH51</f>
        <v>0</v>
      </c>
      <c r="BJ51" s="9">
        <f t="shared" ref="BJ51" si="1315">+BJ50+BI51</f>
        <v>0</v>
      </c>
      <c r="BK51" s="9">
        <f t="shared" ref="BK51" si="1316">+BK50+BJ51</f>
        <v>0</v>
      </c>
      <c r="BL51" s="9">
        <f t="shared" ref="BL51" si="1317">+BL50+BK51</f>
        <v>0</v>
      </c>
      <c r="BM51" s="9">
        <f t="shared" ref="BM51" si="1318">+BM50+BL51</f>
        <v>0</v>
      </c>
      <c r="BN51" s="9">
        <f t="shared" ref="BN51" si="1319">+BN50+BM51</f>
        <v>0</v>
      </c>
      <c r="BO51" s="9">
        <f t="shared" ref="BO51" si="1320">+BO50+BN51</f>
        <v>0</v>
      </c>
      <c r="BP51" s="9">
        <f t="shared" ref="BP51" si="1321">+BP50+BO51</f>
        <v>0</v>
      </c>
      <c r="BQ51" s="9">
        <f t="shared" ref="BQ51" si="1322">+BQ50+BP51</f>
        <v>340000</v>
      </c>
      <c r="BR51" s="9">
        <f t="shared" ref="BR51" si="1323">+BR50+BQ51</f>
        <v>340000</v>
      </c>
      <c r="BS51" s="9">
        <f t="shared" ref="BS51" si="1324">+BS50+BR51</f>
        <v>340000</v>
      </c>
      <c r="BT51" s="9">
        <f t="shared" ref="BT51" si="1325">+BT50+BS51</f>
        <v>340000</v>
      </c>
      <c r="BU51" s="9">
        <f t="shared" ref="BU51" si="1326">+BU50+BT51</f>
        <v>1020000</v>
      </c>
      <c r="BV51" s="9">
        <f t="shared" ref="BV51" si="1327">+BV50+BU51</f>
        <v>1870000</v>
      </c>
      <c r="BW51" s="9">
        <f t="shared" ref="BW51" si="1328">+BW50+BV51</f>
        <v>2380000</v>
      </c>
      <c r="BX51" s="9">
        <f t="shared" ref="BX51" si="1329">+BX50+BW51</f>
        <v>2380000</v>
      </c>
      <c r="BY51" s="9">
        <f t="shared" ref="BY51" si="1330">+BY50+BX51</f>
        <v>2890000</v>
      </c>
      <c r="BZ51" s="9">
        <f t="shared" ref="BZ51" si="1331">+BZ50+BY51</f>
        <v>2890000</v>
      </c>
      <c r="CA51" s="9">
        <f t="shared" ref="CA51" si="1332">+CA50+BZ51</f>
        <v>3400000</v>
      </c>
      <c r="CB51" s="9">
        <f t="shared" ref="CB51" si="1333">+CB50+CA51</f>
        <v>3400000</v>
      </c>
      <c r="CC51" s="9">
        <f t="shared" ref="CC51" si="1334">+CC50+CB51</f>
        <v>3400000</v>
      </c>
      <c r="CD51" s="9">
        <f t="shared" ref="CD51" si="1335">+CD50+CC51</f>
        <v>3400000</v>
      </c>
      <c r="CE51" s="9">
        <f t="shared" ref="CE51" si="1336">+CE50+CD51</f>
        <v>3400000</v>
      </c>
      <c r="CF51" s="9">
        <f t="shared" ref="CF51" si="1337">+CF50+CE51</f>
        <v>3400000</v>
      </c>
      <c r="CG51" s="9">
        <f t="shared" ref="CG51" si="1338">+CG50+CF51</f>
        <v>3400000</v>
      </c>
      <c r="CH51" s="9">
        <f t="shared" ref="CH51" si="1339">+CH50+CG51</f>
        <v>3400000</v>
      </c>
      <c r="CI51" s="9">
        <f t="shared" ref="CI51" si="1340">+CI50+CH51</f>
        <v>3400000</v>
      </c>
      <c r="CJ51" s="9">
        <f t="shared" ref="CJ51" si="1341">+CJ50+CI51</f>
        <v>3400000</v>
      </c>
      <c r="CK51" s="9">
        <f t="shared" ref="CK51" si="1342">+CK50+CJ51</f>
        <v>3400000</v>
      </c>
      <c r="CL51" s="9">
        <f t="shared" ref="CL51" si="1343">+CL50+CK51</f>
        <v>3400000</v>
      </c>
      <c r="CM51" s="9">
        <f t="shared" ref="CM51" si="1344">+CM50+CL51</f>
        <v>3400000</v>
      </c>
      <c r="CN51" s="9">
        <f t="shared" ref="CN51" si="1345">+CN50+CM51</f>
        <v>3400000</v>
      </c>
      <c r="CO51" s="9">
        <f t="shared" ref="CO51" si="1346">+CO50+CN51</f>
        <v>3400000</v>
      </c>
      <c r="CP51" s="9">
        <f t="shared" ref="CP51" si="1347">+CP50+CO51</f>
        <v>3400000</v>
      </c>
      <c r="CQ51" s="9">
        <f t="shared" ref="CQ51" si="1348">+CQ50+CP51</f>
        <v>3400000</v>
      </c>
      <c r="CR51" s="9">
        <f t="shared" ref="CR51" si="1349">+CR50+CQ51</f>
        <v>3400000</v>
      </c>
      <c r="CS51" s="9">
        <f t="shared" ref="CS51" si="1350">+CS50+CR51</f>
        <v>3400000</v>
      </c>
      <c r="CT51" s="9">
        <f t="shared" ref="CT51" si="1351">+CT50+CS51</f>
        <v>3400000</v>
      </c>
      <c r="CU51" s="9">
        <f t="shared" ref="CU51" si="1352">+CU50+CT51</f>
        <v>3400000</v>
      </c>
      <c r="CV51" s="9">
        <f t="shared" ref="CV51" si="1353">+CV50+CU51</f>
        <v>3400000</v>
      </c>
      <c r="CW51" s="9">
        <f t="shared" ref="CW51" si="1354">+CW50+CV51</f>
        <v>3400000</v>
      </c>
      <c r="CX51" s="9">
        <f t="shared" ref="CX51" si="1355">+CX50+CW51</f>
        <v>3400000</v>
      </c>
      <c r="CY51" s="9">
        <f t="shared" ref="CY51" si="1356">+CY50+CX51</f>
        <v>3400000</v>
      </c>
      <c r="CZ51" s="9">
        <f t="shared" ref="CZ51" si="1357">+CZ50+CY51</f>
        <v>3400000</v>
      </c>
      <c r="DA51" s="9">
        <f t="shared" ref="DA51" si="1358">+DA50+CZ51</f>
        <v>3400000</v>
      </c>
      <c r="DB51" s="9">
        <f t="shared" ref="DB51" si="1359">+DB50+DA51</f>
        <v>3400000</v>
      </c>
      <c r="DC51" s="9">
        <f t="shared" ref="DC51" si="1360">+DC50+DB51</f>
        <v>3400000</v>
      </c>
      <c r="DD51" s="9">
        <f t="shared" ref="DD51" si="1361">+DD50+DC51</f>
        <v>3400000</v>
      </c>
      <c r="DE51" s="9">
        <f t="shared" ref="DE51" si="1362">+DE50+DD51</f>
        <v>3400000</v>
      </c>
      <c r="DF51" s="9">
        <f t="shared" ref="DF51" si="1363">+DF50+DE51</f>
        <v>3400000</v>
      </c>
      <c r="DG51" s="9">
        <f t="shared" ref="DG51:DH51" si="1364">+DG50+DF51</f>
        <v>3400000</v>
      </c>
      <c r="DH51" s="9">
        <f t="shared" si="1364"/>
        <v>3400000</v>
      </c>
    </row>
    <row r="52" spans="2:112" x14ac:dyDescent="0.3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72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</row>
    <row r="53" spans="2:112" x14ac:dyDescent="0.3">
      <c r="F53" s="513">
        <f t="shared" ref="F53:AK53" si="1365">+IF(F$3&lt;$C$57,0,IF(AND(F$3&gt;=$C$57,E53&lt;12, $C$58&gt;=F$3),E53+1,0))</f>
        <v>0</v>
      </c>
      <c r="G53" s="513">
        <f t="shared" si="1365"/>
        <v>0</v>
      </c>
      <c r="H53" s="513">
        <f t="shared" si="1365"/>
        <v>0</v>
      </c>
      <c r="I53" s="513">
        <f t="shared" si="1365"/>
        <v>0</v>
      </c>
      <c r="J53" s="513">
        <f t="shared" si="1365"/>
        <v>0</v>
      </c>
      <c r="K53" s="513">
        <f t="shared" si="1365"/>
        <v>0</v>
      </c>
      <c r="L53" s="513">
        <f t="shared" si="1365"/>
        <v>0</v>
      </c>
      <c r="M53" s="513">
        <f t="shared" si="1365"/>
        <v>0</v>
      </c>
      <c r="N53" s="513">
        <f t="shared" si="1365"/>
        <v>0</v>
      </c>
      <c r="O53" s="513">
        <f t="shared" si="1365"/>
        <v>0</v>
      </c>
      <c r="P53" s="513">
        <f t="shared" si="1365"/>
        <v>0</v>
      </c>
      <c r="Q53" s="513">
        <f t="shared" si="1365"/>
        <v>0</v>
      </c>
      <c r="R53" s="513">
        <f t="shared" si="1365"/>
        <v>0</v>
      </c>
      <c r="S53" s="513">
        <f t="shared" si="1365"/>
        <v>0</v>
      </c>
      <c r="T53" s="513">
        <f t="shared" si="1365"/>
        <v>0</v>
      </c>
      <c r="U53" s="513">
        <f t="shared" si="1365"/>
        <v>0</v>
      </c>
      <c r="V53" s="82">
        <f t="shared" si="1365"/>
        <v>0</v>
      </c>
      <c r="W53" s="82">
        <f t="shared" si="1365"/>
        <v>0</v>
      </c>
      <c r="X53" s="82">
        <f t="shared" si="1365"/>
        <v>0</v>
      </c>
      <c r="Y53" s="252">
        <f t="shared" si="1365"/>
        <v>0</v>
      </c>
      <c r="Z53" s="513">
        <f t="shared" si="1365"/>
        <v>0</v>
      </c>
      <c r="AA53" s="513">
        <f t="shared" si="1365"/>
        <v>0</v>
      </c>
      <c r="AB53" s="513">
        <f t="shared" si="1365"/>
        <v>0</v>
      </c>
      <c r="AC53" s="513">
        <f t="shared" si="1365"/>
        <v>0</v>
      </c>
      <c r="AD53" s="513">
        <f t="shared" si="1365"/>
        <v>0</v>
      </c>
      <c r="AE53" s="513">
        <f t="shared" si="1365"/>
        <v>0</v>
      </c>
      <c r="AF53" s="513">
        <f t="shared" si="1365"/>
        <v>0</v>
      </c>
      <c r="AG53" s="513">
        <f t="shared" si="1365"/>
        <v>0</v>
      </c>
      <c r="AH53" s="513">
        <f t="shared" si="1365"/>
        <v>0</v>
      </c>
      <c r="AI53" s="513">
        <f t="shared" si="1365"/>
        <v>0</v>
      </c>
      <c r="AJ53" s="513">
        <f t="shared" si="1365"/>
        <v>0</v>
      </c>
      <c r="AK53" s="513">
        <f t="shared" si="1365"/>
        <v>0</v>
      </c>
      <c r="AL53" s="513">
        <f t="shared" ref="AL53:BQ53" si="1366">+IF(AL$3&lt;$C$57,0,IF(AND(AL$3&gt;=$C$57,AK53&lt;12, $C$58&gt;=AL$3),AK53+1,0))</f>
        <v>0</v>
      </c>
      <c r="AM53" s="513">
        <f t="shared" si="1366"/>
        <v>0</v>
      </c>
      <c r="AN53" s="513">
        <f t="shared" si="1366"/>
        <v>0</v>
      </c>
      <c r="AO53" s="513">
        <f t="shared" si="1366"/>
        <v>0</v>
      </c>
      <c r="AP53" s="513">
        <f t="shared" si="1366"/>
        <v>0</v>
      </c>
      <c r="AQ53" s="513">
        <f t="shared" si="1366"/>
        <v>0</v>
      </c>
      <c r="AR53" s="513">
        <f t="shared" si="1366"/>
        <v>0</v>
      </c>
      <c r="AS53" s="513">
        <f t="shared" si="1366"/>
        <v>0</v>
      </c>
      <c r="AT53" s="513">
        <f t="shared" si="1366"/>
        <v>0</v>
      </c>
      <c r="AU53" s="513">
        <f t="shared" si="1366"/>
        <v>0</v>
      </c>
      <c r="AV53" s="513">
        <f t="shared" si="1366"/>
        <v>0</v>
      </c>
      <c r="AW53" s="513">
        <f t="shared" si="1366"/>
        <v>0</v>
      </c>
      <c r="AX53" s="513">
        <f t="shared" si="1366"/>
        <v>0</v>
      </c>
      <c r="AY53" s="513">
        <f t="shared" si="1366"/>
        <v>0</v>
      </c>
      <c r="AZ53" s="513">
        <f t="shared" si="1366"/>
        <v>0</v>
      </c>
      <c r="BA53" s="513">
        <f t="shared" si="1366"/>
        <v>0</v>
      </c>
      <c r="BB53" s="513">
        <f t="shared" si="1366"/>
        <v>0</v>
      </c>
      <c r="BC53" s="513">
        <f t="shared" si="1366"/>
        <v>0</v>
      </c>
      <c r="BD53" s="513">
        <f t="shared" si="1366"/>
        <v>0</v>
      </c>
      <c r="BE53" s="513">
        <f t="shared" si="1366"/>
        <v>0</v>
      </c>
      <c r="BF53" s="513">
        <f t="shared" si="1366"/>
        <v>0</v>
      </c>
      <c r="BG53" s="513">
        <f t="shared" si="1366"/>
        <v>0</v>
      </c>
      <c r="BH53" s="513">
        <f t="shared" si="1366"/>
        <v>0</v>
      </c>
      <c r="BI53" s="513">
        <f t="shared" si="1366"/>
        <v>0</v>
      </c>
      <c r="BJ53" s="513">
        <f t="shared" si="1366"/>
        <v>0</v>
      </c>
      <c r="BK53" s="513">
        <f t="shared" si="1366"/>
        <v>0</v>
      </c>
      <c r="BL53" s="513">
        <f t="shared" si="1366"/>
        <v>0</v>
      </c>
      <c r="BM53" s="513">
        <f t="shared" si="1366"/>
        <v>0</v>
      </c>
      <c r="BN53" s="513">
        <f t="shared" si="1366"/>
        <v>0</v>
      </c>
      <c r="BO53" s="513">
        <f t="shared" si="1366"/>
        <v>0</v>
      </c>
      <c r="BP53" s="513">
        <f t="shared" si="1366"/>
        <v>0</v>
      </c>
      <c r="BQ53" s="513">
        <f t="shared" si="1366"/>
        <v>0</v>
      </c>
      <c r="BR53" s="513">
        <f t="shared" ref="BR53:CV53" si="1367">+IF(BR$3&lt;$C$57,0,IF(AND(BR$3&gt;=$C$57,BQ53&lt;12, $C$58&gt;=BR$3),BQ53+1,0))</f>
        <v>0</v>
      </c>
      <c r="BS53" s="513">
        <f t="shared" si="1367"/>
        <v>0</v>
      </c>
      <c r="BT53" s="513">
        <f t="shared" si="1367"/>
        <v>0</v>
      </c>
      <c r="BU53" s="513">
        <f t="shared" si="1367"/>
        <v>0</v>
      </c>
      <c r="BV53" s="513">
        <f t="shared" si="1367"/>
        <v>0</v>
      </c>
      <c r="BW53" s="513">
        <f t="shared" si="1367"/>
        <v>0</v>
      </c>
      <c r="BX53" s="513">
        <f t="shared" si="1367"/>
        <v>0</v>
      </c>
      <c r="BY53" s="513">
        <f t="shared" si="1367"/>
        <v>0</v>
      </c>
      <c r="BZ53" s="513">
        <f t="shared" si="1367"/>
        <v>0</v>
      </c>
      <c r="CA53" s="513">
        <f t="shared" si="1367"/>
        <v>0</v>
      </c>
      <c r="CB53" s="513">
        <f t="shared" si="1367"/>
        <v>0</v>
      </c>
      <c r="CC53" s="513">
        <f t="shared" si="1367"/>
        <v>1</v>
      </c>
      <c r="CD53" s="513">
        <f t="shared" si="1367"/>
        <v>2</v>
      </c>
      <c r="CE53" s="513">
        <f t="shared" si="1367"/>
        <v>3</v>
      </c>
      <c r="CF53" s="513">
        <f t="shared" si="1367"/>
        <v>4</v>
      </c>
      <c r="CG53" s="513">
        <f t="shared" si="1367"/>
        <v>5</v>
      </c>
      <c r="CH53" s="513">
        <f t="shared" si="1367"/>
        <v>6</v>
      </c>
      <c r="CI53" s="513">
        <f t="shared" si="1367"/>
        <v>7</v>
      </c>
      <c r="CJ53" s="513">
        <f t="shared" si="1367"/>
        <v>8</v>
      </c>
      <c r="CK53" s="513">
        <f t="shared" si="1367"/>
        <v>9</v>
      </c>
      <c r="CL53" s="513">
        <f t="shared" si="1367"/>
        <v>10</v>
      </c>
      <c r="CM53" s="513">
        <f t="shared" si="1367"/>
        <v>11</v>
      </c>
      <c r="CN53" s="513">
        <f t="shared" si="1367"/>
        <v>12</v>
      </c>
      <c r="CO53" s="513">
        <f t="shared" si="1367"/>
        <v>0</v>
      </c>
      <c r="CP53" s="513">
        <f t="shared" si="1367"/>
        <v>0</v>
      </c>
      <c r="CQ53" s="513">
        <f t="shared" si="1367"/>
        <v>0</v>
      </c>
      <c r="CR53" s="513">
        <f t="shared" si="1367"/>
        <v>0</v>
      </c>
      <c r="CS53" s="513">
        <f t="shared" si="1367"/>
        <v>0</v>
      </c>
      <c r="CT53" s="513">
        <f t="shared" si="1367"/>
        <v>0</v>
      </c>
      <c r="CU53" s="513">
        <f t="shared" si="1367"/>
        <v>0</v>
      </c>
      <c r="CV53" s="513">
        <f t="shared" si="1367"/>
        <v>0</v>
      </c>
      <c r="CW53" s="513">
        <f t="shared" ref="CW53:DG53" si="1368">+IF(CW$3&lt;$C$57,0,IF(AND(CW$3&gt;=$C$57,CV53&lt;12, $C$58&gt;=CW$3),CV53+1,0))</f>
        <v>0</v>
      </c>
      <c r="CX53" s="513">
        <f t="shared" si="1368"/>
        <v>0</v>
      </c>
      <c r="CY53" s="513">
        <f t="shared" si="1368"/>
        <v>0</v>
      </c>
      <c r="CZ53" s="513">
        <f t="shared" si="1368"/>
        <v>0</v>
      </c>
      <c r="DA53" s="513">
        <f t="shared" si="1368"/>
        <v>0</v>
      </c>
      <c r="DB53" s="513">
        <f t="shared" si="1368"/>
        <v>0</v>
      </c>
      <c r="DC53" s="513">
        <f t="shared" si="1368"/>
        <v>0</v>
      </c>
      <c r="DD53" s="513">
        <f t="shared" si="1368"/>
        <v>0</v>
      </c>
      <c r="DE53" s="513">
        <f t="shared" si="1368"/>
        <v>0</v>
      </c>
      <c r="DF53" s="513">
        <f t="shared" si="1368"/>
        <v>0</v>
      </c>
      <c r="DG53" s="513">
        <f t="shared" si="1368"/>
        <v>0</v>
      </c>
      <c r="DH53" s="513">
        <f t="shared" ref="DH53" si="1369">+IF(DH$3&lt;$C$57,0,IF(AND(DH$3&gt;=$C$57,DG53&lt;12, $C$58&gt;=DH$3),DG53+1,0))</f>
        <v>0</v>
      </c>
    </row>
    <row r="54" spans="2:112" x14ac:dyDescent="0.3">
      <c r="B54" t="s">
        <v>386</v>
      </c>
      <c r="D54" t="s">
        <v>244</v>
      </c>
      <c r="E54" s="459"/>
      <c r="F54" s="459">
        <f>+IFERROR(INDEX(Assumptions!$F$5:$F$16, MATCH(F53, Assumptions!$D$5:$D$16, 0))*$C$55, 0)</f>
        <v>0</v>
      </c>
      <c r="G54" s="459">
        <f>+IFERROR(INDEX(Assumptions!$F$5:$F$16, MATCH(G53, Assumptions!$D$5:$D$16, 0))*$C$55, 0)</f>
        <v>0</v>
      </c>
      <c r="H54" s="459">
        <f>+IFERROR(INDEX(Assumptions!$F$5:$F$16, MATCH(H53, Assumptions!$D$5:$D$16, 0))*$C$55, 0)</f>
        <v>0</v>
      </c>
      <c r="I54" s="459">
        <f>+IFERROR(INDEX(Assumptions!$F$5:$F$16, MATCH(I53, Assumptions!$D$5:$D$16, 0))*$C$55, 0)</f>
        <v>0</v>
      </c>
      <c r="J54" s="459">
        <f>+IFERROR(INDEX(Assumptions!$F$5:$F$16, MATCH(J53, Assumptions!$D$5:$D$16, 0))*$C$55, 0)</f>
        <v>0</v>
      </c>
      <c r="K54" s="459">
        <f>+IFERROR(INDEX(Assumptions!$F$5:$F$16, MATCH(K53, Assumptions!$D$5:$D$16, 0))*$C$55, 0)</f>
        <v>0</v>
      </c>
      <c r="L54" s="459">
        <f>+IFERROR(INDEX(Assumptions!$F$5:$F$16, MATCH(L53, Assumptions!$D$5:$D$16, 0))*$C$55, 0)</f>
        <v>0</v>
      </c>
      <c r="M54" s="459">
        <f>+IFERROR(INDEX(Assumptions!$F$5:$F$16, MATCH(M53, Assumptions!$D$5:$D$16, 0))*$C$55, 0)</f>
        <v>0</v>
      </c>
      <c r="N54" s="459">
        <f>+IFERROR(INDEX(Assumptions!$F$5:$F$16, MATCH(N53, Assumptions!$D$5:$D$16, 0))*$C$55, 0)</f>
        <v>0</v>
      </c>
      <c r="O54" s="459">
        <f>+IFERROR(INDEX(Assumptions!$F$5:$F$16, MATCH(O53, Assumptions!$D$5:$D$16, 0))*$C$55, 0)</f>
        <v>0</v>
      </c>
      <c r="P54" s="459">
        <f>+IFERROR(INDEX(Assumptions!$F$5:$F$16, MATCH(P53, Assumptions!$D$5:$D$16, 0))*$C$55, 0)</f>
        <v>0</v>
      </c>
      <c r="Q54" s="511">
        <f>+IFERROR(INDEX(Assumptions!$F$5:$F$16, MATCH(Q53, Assumptions!$D$5:$D$16, 0))*$C$55, 0)</f>
        <v>0</v>
      </c>
      <c r="R54" s="459">
        <f>+IFERROR(INDEX(Assumptions!$F$5:$F$16, MATCH(R53, Assumptions!$D$5:$D$16, 0))*$C$55, 0)</f>
        <v>0</v>
      </c>
      <c r="S54" s="459">
        <f>+IFERROR(INDEX(Assumptions!$F$5:$F$16, MATCH(S53, Assumptions!$D$5:$D$16, 0))*$C$55, 0)</f>
        <v>0</v>
      </c>
      <c r="T54" s="459">
        <f>+IFERROR(INDEX(Assumptions!$F$5:$F$16, MATCH(T53, Assumptions!$D$5:$D$16, 0))*$C$55, 0)</f>
        <v>0</v>
      </c>
      <c r="U54" s="459">
        <f>+IFERROR(INDEX(Assumptions!$F$5:$F$16, MATCH(U53, Assumptions!$D$5:$D$16, 0))*$C$55, 0)</f>
        <v>0</v>
      </c>
      <c r="V54" s="535">
        <f>+IFERROR(INDEX(Assumptions!$F$5:$F$16, MATCH(V53, Assumptions!$D$5:$D$16, 0))*$C$55, 0)</f>
        <v>0</v>
      </c>
      <c r="W54" s="147">
        <f>+IFERROR(INDEX(Assumptions!$F$5:$F$16, MATCH(W53, Assumptions!$D$5:$D$16, 0))*$C$55, 0)</f>
        <v>0</v>
      </c>
      <c r="X54" s="147">
        <f>+IFERROR(INDEX(Assumptions!$F$5:$F$16, MATCH(X53, Assumptions!$D$5:$D$16, 0))*$C$55, 0)</f>
        <v>0</v>
      </c>
      <c r="Y54" s="347">
        <f>+IFERROR(INDEX(Assumptions!$F$5:$F$16, MATCH(Y53, Assumptions!$D$5:$D$16, 0))*$C$55, 0)</f>
        <v>0</v>
      </c>
      <c r="Z54" s="280">
        <f>+IFERROR(INDEX(Assumptions!$F$5:$F$16, MATCH(Z53, Assumptions!$D$5:$D$16, 0))*$C$55, 0)</f>
        <v>0</v>
      </c>
      <c r="AA54" s="280">
        <f>+IFERROR(INDEX(Assumptions!$F$5:$F$16, MATCH(AA53, Assumptions!$D$5:$D$16, 0))*$C$55, 0)</f>
        <v>0</v>
      </c>
      <c r="AB54" s="280">
        <f>+IFERROR(INDEX(Assumptions!$F$5:$F$16, MATCH(AB53, Assumptions!$D$5:$D$16, 0))*$C$55, 0)</f>
        <v>0</v>
      </c>
      <c r="AC54" s="280">
        <f>+IFERROR(INDEX(Assumptions!$F$5:$F$16, MATCH(AC53, Assumptions!$D$5:$D$16, 0))*$C$55, 0)</f>
        <v>0</v>
      </c>
      <c r="AD54" s="280">
        <f>+IFERROR(INDEX(Assumptions!$F$5:$F$16, MATCH(AD53, Assumptions!$D$5:$D$16, 0))*$C$55, 0)</f>
        <v>0</v>
      </c>
      <c r="AE54" s="280">
        <f>+IFERROR(INDEX(Assumptions!$F$5:$F$16, MATCH(AE53, Assumptions!$D$5:$D$16, 0))*$C$55, 0)</f>
        <v>0</v>
      </c>
      <c r="AF54" s="280">
        <f>+IFERROR(INDEX(Assumptions!$F$5:$F$16, MATCH(AF53, Assumptions!$D$5:$D$16, 0))*$C$55, 0)</f>
        <v>0</v>
      </c>
      <c r="AG54" s="280">
        <f>+IFERROR(INDEX(Assumptions!$F$5:$F$16, MATCH(AG53, Assumptions!$D$5:$D$16, 0))*$C$55, 0)</f>
        <v>0</v>
      </c>
      <c r="AH54" s="280">
        <f>+IFERROR(INDEX(Assumptions!$F$5:$F$16, MATCH(AH53, Assumptions!$D$5:$D$16, 0))*$C$55, 0)</f>
        <v>0</v>
      </c>
      <c r="AI54" s="280">
        <f>+IFERROR(INDEX(Assumptions!$F$5:$F$16, MATCH(AI53, Assumptions!$D$5:$D$16, 0))*$C$55, 0)</f>
        <v>0</v>
      </c>
      <c r="AJ54" s="280">
        <f>+IFERROR(INDEX(Assumptions!$F$5:$F$16, MATCH(AJ53, Assumptions!$D$5:$D$16, 0))*$C$55, 0)</f>
        <v>0</v>
      </c>
      <c r="AK54" s="280">
        <f>+IFERROR(INDEX(Assumptions!$F$5:$F$16, MATCH(AK53, Assumptions!$D$5:$D$16, 0))*$C$55, 0)</f>
        <v>0</v>
      </c>
      <c r="AL54" s="280">
        <f>+IFERROR(INDEX(Assumptions!$F$5:$F$16, MATCH(AL53, Assumptions!$D$5:$D$16, 0))*$C$55, 0)</f>
        <v>0</v>
      </c>
      <c r="AM54" s="280">
        <f>+IFERROR(INDEX(Assumptions!$F$5:$F$16, MATCH(AM53, Assumptions!$D$5:$D$16, 0))*$C$55, 0)</f>
        <v>0</v>
      </c>
      <c r="AN54" s="280">
        <f>+IFERROR(INDEX(Assumptions!$F$5:$F$16, MATCH(AN53, Assumptions!$D$5:$D$16, 0))*$C$55, 0)</f>
        <v>0</v>
      </c>
      <c r="AO54" s="280">
        <f>+IFERROR(INDEX(Assumptions!$F$5:$F$16, MATCH(AO53, Assumptions!$D$5:$D$16, 0))*$C$55, 0)</f>
        <v>0</v>
      </c>
      <c r="AP54" s="280">
        <f>+IFERROR(INDEX(Assumptions!$F$5:$F$16, MATCH(AP53, Assumptions!$D$5:$D$16, 0))*$C$55, 0)</f>
        <v>0</v>
      </c>
      <c r="AQ54" s="280">
        <f>+IFERROR(INDEX(Assumptions!$F$5:$F$16, MATCH(AQ53, Assumptions!$D$5:$D$16, 0))*$C$55, 0)</f>
        <v>0</v>
      </c>
      <c r="AR54" s="280">
        <f>+IFERROR(INDEX(Assumptions!$F$5:$F$16, MATCH(AR53, Assumptions!$D$5:$D$16, 0))*$C$55, 0)</f>
        <v>0</v>
      </c>
      <c r="AS54" s="280">
        <f>+IFERROR(INDEX(Assumptions!$F$5:$F$16, MATCH(AS53, Assumptions!$D$5:$D$16, 0))*$C$55, 0)</f>
        <v>0</v>
      </c>
      <c r="AT54" s="280">
        <f>+IFERROR(INDEX(Assumptions!$F$5:$F$16, MATCH(AT53, Assumptions!$D$5:$D$16, 0))*$C$55, 0)</f>
        <v>0</v>
      </c>
      <c r="AU54" s="280">
        <f>+IFERROR(INDEX(Assumptions!$F$5:$F$16, MATCH(AU53, Assumptions!$D$5:$D$16, 0))*$C$55, 0)</f>
        <v>0</v>
      </c>
      <c r="AV54" s="280">
        <f>+IFERROR(INDEX(Assumptions!$F$5:$F$16, MATCH(AV53, Assumptions!$D$5:$D$16, 0))*$C$55, 0)</f>
        <v>0</v>
      </c>
      <c r="AW54" s="280">
        <f>+IFERROR(INDEX(Assumptions!$F$5:$F$16, MATCH(AW53, Assumptions!$D$5:$D$16, 0))*$C$55, 0)</f>
        <v>0</v>
      </c>
      <c r="AX54" s="280">
        <f>+IFERROR(INDEX(Assumptions!$F$5:$F$16, MATCH(AX53, Assumptions!$D$5:$D$16, 0))*$C$55, 0)</f>
        <v>0</v>
      </c>
      <c r="AY54" s="280">
        <f>+IFERROR(INDEX(Assumptions!$F$5:$F$16, MATCH(AY53, Assumptions!$D$5:$D$16, 0))*$C$55, 0)</f>
        <v>0</v>
      </c>
      <c r="AZ54" s="280">
        <f>+IFERROR(INDEX(Assumptions!$F$5:$F$16, MATCH(AZ53, Assumptions!$D$5:$D$16, 0))*$C$55, 0)</f>
        <v>0</v>
      </c>
      <c r="BA54" s="280">
        <f>+IFERROR(INDEX(Assumptions!$F$5:$F$16, MATCH(BA53, Assumptions!$D$5:$D$16, 0))*$C$55, 0)</f>
        <v>0</v>
      </c>
      <c r="BB54" s="280">
        <f>+IFERROR(INDEX(Assumptions!$F$5:$F$16, MATCH(BB53, Assumptions!$D$5:$D$16, 0))*$C$55, 0)</f>
        <v>0</v>
      </c>
      <c r="BC54" s="280">
        <f>+IFERROR(INDEX(Assumptions!$F$5:$F$16, MATCH(BC53, Assumptions!$D$5:$D$16, 0))*$C$55, 0)</f>
        <v>0</v>
      </c>
      <c r="BD54" s="280">
        <f>+IFERROR(INDEX(Assumptions!$F$5:$F$16, MATCH(BD53, Assumptions!$D$5:$D$16, 0))*$C$55, 0)</f>
        <v>0</v>
      </c>
      <c r="BE54" s="280">
        <f>+IFERROR(INDEX(Assumptions!$F$5:$F$16, MATCH(BE53, Assumptions!$D$5:$D$16, 0))*$C$55, 0)</f>
        <v>0</v>
      </c>
      <c r="BF54" s="280">
        <f>+IFERROR(INDEX(Assumptions!$F$5:$F$16, MATCH(BF53, Assumptions!$D$5:$D$16, 0))*$C$55, 0)</f>
        <v>0</v>
      </c>
      <c r="BG54" s="280">
        <f>+IFERROR(INDEX(Assumptions!$F$5:$F$16, MATCH(BG53, Assumptions!$D$5:$D$16, 0))*$C$55, 0)</f>
        <v>0</v>
      </c>
      <c r="BH54" s="280">
        <f>+IFERROR(INDEX(Assumptions!$F$5:$F$16, MATCH(BH53, Assumptions!$D$5:$D$16, 0))*$C$55, 0)</f>
        <v>0</v>
      </c>
      <c r="BI54" s="280">
        <f>+IFERROR(INDEX(Assumptions!$F$5:$F$16, MATCH(BI53, Assumptions!$D$5:$D$16, 0))*$C$55, 0)</f>
        <v>0</v>
      </c>
      <c r="BJ54" s="280">
        <f>+IFERROR(INDEX(Assumptions!$F$5:$F$16, MATCH(BJ53, Assumptions!$D$5:$D$16, 0))*$C$55, 0)</f>
        <v>0</v>
      </c>
      <c r="BK54" s="280">
        <f>+IFERROR(INDEX(Assumptions!$F$5:$F$16, MATCH(BK53, Assumptions!$D$5:$D$16, 0))*$C$55, 0)</f>
        <v>0</v>
      </c>
      <c r="BL54" s="280">
        <f>+IFERROR(INDEX(Assumptions!$F$5:$F$16, MATCH(BL53, Assumptions!$D$5:$D$16, 0))*$C$55, 0)</f>
        <v>0</v>
      </c>
      <c r="BM54" s="280">
        <f>+IFERROR(INDEX(Assumptions!$F$5:$F$16, MATCH(BM53, Assumptions!$D$5:$D$16, 0))*$C$55, 0)</f>
        <v>0</v>
      </c>
      <c r="BN54" s="280">
        <f>+IFERROR(INDEX(Assumptions!$F$5:$F$16, MATCH(BN53, Assumptions!$D$5:$D$16, 0))*$C$55, 0)</f>
        <v>0</v>
      </c>
      <c r="BO54" s="280">
        <f>+IFERROR(INDEX(Assumptions!$F$5:$F$16, MATCH(BO53, Assumptions!$D$5:$D$16, 0))*$C$55, 0)</f>
        <v>0</v>
      </c>
      <c r="BP54" s="280">
        <f>+IFERROR(INDEX(Assumptions!$F$5:$F$16, MATCH(BP53, Assumptions!$D$5:$D$16, 0))*$C$55, 0)</f>
        <v>0</v>
      </c>
      <c r="BQ54" s="280">
        <f>+IFERROR(INDEX(Assumptions!$F$5:$F$16, MATCH(BQ53, Assumptions!$D$5:$D$16, 0))*$C$55, 0)</f>
        <v>0</v>
      </c>
      <c r="BR54" s="280">
        <f>+IFERROR(INDEX(Assumptions!$F$5:$F$16, MATCH(BR53, Assumptions!$D$5:$D$16, 0))*$C$55, 0)</f>
        <v>0</v>
      </c>
      <c r="BS54" s="280">
        <f>+IFERROR(INDEX(Assumptions!$F$5:$F$16, MATCH(BS53, Assumptions!$D$5:$D$16, 0))*$C$55, 0)</f>
        <v>0</v>
      </c>
      <c r="BT54" s="280">
        <f>+IFERROR(INDEX(Assumptions!$F$5:$F$16, MATCH(BT53, Assumptions!$D$5:$D$16, 0))*$C$55, 0)</f>
        <v>0</v>
      </c>
      <c r="BU54" s="280">
        <f>+IFERROR(INDEX(Assumptions!$F$5:$F$16, MATCH(BU53, Assumptions!$D$5:$D$16, 0))*$C$55, 0)</f>
        <v>0</v>
      </c>
      <c r="BV54" s="280">
        <f>+IFERROR(INDEX(Assumptions!$F$5:$F$16, MATCH(BV53, Assumptions!$D$5:$D$16, 0))*$C$55, 0)</f>
        <v>0</v>
      </c>
      <c r="BW54" s="280">
        <f>+IFERROR(INDEX(Assumptions!$F$5:$F$16, MATCH(BW53, Assumptions!$D$5:$D$16, 0))*$C$55, 0)</f>
        <v>0</v>
      </c>
      <c r="BX54" s="280">
        <f>+IFERROR(INDEX(Assumptions!$F$5:$F$16, MATCH(BX53, Assumptions!$D$5:$D$16, 0))*$C$55, 0)</f>
        <v>0</v>
      </c>
      <c r="BY54" s="280">
        <f>+IFERROR(INDEX(Assumptions!$F$5:$F$16, MATCH(BY53, Assumptions!$D$5:$D$16, 0))*$C$55, 0)</f>
        <v>0</v>
      </c>
      <c r="BZ54" s="280">
        <f>+IFERROR(INDEX(Assumptions!$F$5:$F$16, MATCH(BZ53, Assumptions!$D$5:$D$16, 0))*$C$55, 0)</f>
        <v>0</v>
      </c>
      <c r="CA54" s="280">
        <f>+IFERROR(INDEX(Assumptions!$F$5:$F$16, MATCH(CA53, Assumptions!$D$5:$D$16, 0))*$C$55, 0)</f>
        <v>0</v>
      </c>
      <c r="CB54" s="280">
        <f>+IFERROR(INDEX(Assumptions!$F$5:$F$16, MATCH(CB53, Assumptions!$D$5:$D$16, 0))*$C$55, 0)</f>
        <v>0</v>
      </c>
      <c r="CC54" s="280">
        <f>+IFERROR(INDEX(Assumptions!$F$5:$F$16, MATCH(CC53, Assumptions!$D$5:$D$16, 0))*$C$55, 0)</f>
        <v>0</v>
      </c>
      <c r="CD54" s="280">
        <f>+IFERROR(INDEX(Assumptions!$F$5:$F$16, MATCH(CD53, Assumptions!$D$5:$D$16, 0))*$C$55, 0)</f>
        <v>27121.379266602147</v>
      </c>
      <c r="CE54" s="280">
        <f>+IFERROR(INDEX(Assumptions!$F$5:$F$16, MATCH(CE53, Assumptions!$D$5:$D$16, 0))*$C$55, 0)</f>
        <v>3879.0436502556336</v>
      </c>
      <c r="CF54" s="280">
        <f>+IFERROR(INDEX(Assumptions!$F$5:$F$16, MATCH(CF53, Assumptions!$D$5:$D$16, 0))*$C$55, 0)</f>
        <v>160758.50361927011</v>
      </c>
      <c r="CG54" s="280">
        <f>+IFERROR(INDEX(Assumptions!$F$5:$F$16, MATCH(CG53, Assumptions!$D$5:$D$16, 0))*$C$55, 0)</f>
        <v>14511.454406178544</v>
      </c>
      <c r="CH54" s="280">
        <f>+IFERROR(INDEX(Assumptions!$F$5:$F$16, MATCH(CH53, Assumptions!$D$5:$D$16, 0))*$C$55, 0)</f>
        <v>656482.00432367029</v>
      </c>
      <c r="CI54" s="280">
        <f>+IFERROR(INDEX(Assumptions!$F$5:$F$16, MATCH(CI53, Assumptions!$D$5:$D$16, 0))*$C$55, 0)</f>
        <v>1177294.6166110761</v>
      </c>
      <c r="CJ54" s="280">
        <f>+IFERROR(INDEX(Assumptions!$F$5:$F$16, MATCH(CJ53, Assumptions!$D$5:$D$16, 0))*$C$55, 0)</f>
        <v>793281.50703985221</v>
      </c>
      <c r="CK54" s="280">
        <f>+IFERROR(INDEX(Assumptions!$F$5:$F$16, MATCH(CK53, Assumptions!$D$5:$D$16, 0))*$C$55, 0)</f>
        <v>523466.40492788597</v>
      </c>
      <c r="CL54" s="280">
        <f>+IFERROR(INDEX(Assumptions!$F$5:$F$16, MATCH(CL53, Assumptions!$D$5:$D$16, 0))*$C$55, 0)</f>
        <v>109592.88026812972</v>
      </c>
      <c r="CM54" s="280">
        <f>+IFERROR(INDEX(Assumptions!$F$5:$F$16, MATCH(CM53, Assumptions!$D$5:$D$16, 0))*$C$55, 0)</f>
        <v>839262.94020228076</v>
      </c>
      <c r="CN54" s="280">
        <f>+IFERROR(INDEX(Assumptions!$F$5:$F$16, MATCH(CN53, Assumptions!$D$5:$D$16, 0))*$C$55, 0)</f>
        <v>194349.26568479859</v>
      </c>
      <c r="CO54" s="280">
        <f>+IFERROR(INDEX(Assumptions!$F$5:$F$16, MATCH(CO53, Assumptions!$D$5:$D$16, 0))*$C$55, 0)</f>
        <v>0</v>
      </c>
      <c r="CP54" s="280">
        <f>+IFERROR(INDEX(Assumptions!$F$5:$F$16, MATCH(CP53, Assumptions!$D$5:$D$16, 0))*$C$55, 0)</f>
        <v>0</v>
      </c>
      <c r="CQ54" s="280">
        <f>+IFERROR(INDEX(Assumptions!$F$5:$F$16, MATCH(CQ53, Assumptions!$D$5:$D$16, 0))*$C$55, 0)</f>
        <v>0</v>
      </c>
      <c r="CR54" s="280">
        <f>+IFERROR(INDEX(Assumptions!$F$5:$F$16, MATCH(CR53, Assumptions!$D$5:$D$16, 0))*$C$55, 0)</f>
        <v>0</v>
      </c>
      <c r="CS54" s="280">
        <f>+IFERROR(INDEX(Assumptions!$F$5:$F$16, MATCH(CS53, Assumptions!$D$5:$D$16, 0))*$C$55, 0)</f>
        <v>0</v>
      </c>
      <c r="CT54" s="280">
        <f>+IFERROR(INDEX(Assumptions!$F$5:$F$16, MATCH(CT53, Assumptions!$D$5:$D$16, 0))*$C$55, 0)</f>
        <v>0</v>
      </c>
      <c r="CU54" s="280">
        <f>+IFERROR(INDEX(Assumptions!$F$5:$F$16, MATCH(CU53, Assumptions!$D$5:$D$16, 0))*$C$55, 0)</f>
        <v>0</v>
      </c>
      <c r="CV54" s="280">
        <f>+IFERROR(INDEX(Assumptions!$F$5:$F$16, MATCH(CV53, Assumptions!$D$5:$D$16, 0))*$C$55, 0)</f>
        <v>0</v>
      </c>
      <c r="CW54" s="280">
        <f>+IFERROR(INDEX(Assumptions!$F$5:$F$16, MATCH(CW53, Assumptions!$D$5:$D$16, 0))*$C$55, 0)</f>
        <v>0</v>
      </c>
      <c r="CX54" s="280">
        <f>+IFERROR(INDEX(Assumptions!$F$5:$F$16, MATCH(CX53, Assumptions!$D$5:$D$16, 0))*$C$55, 0)</f>
        <v>0</v>
      </c>
      <c r="CY54" s="280">
        <f>+IFERROR(INDEX(Assumptions!$F$5:$F$16, MATCH(CY53, Assumptions!$D$5:$D$16, 0))*$C$55, 0)</f>
        <v>0</v>
      </c>
      <c r="CZ54" s="280">
        <f>+IFERROR(INDEX(Assumptions!$F$5:$F$16, MATCH(CZ53, Assumptions!$D$5:$D$16, 0))*$C$55, 0)</f>
        <v>0</v>
      </c>
      <c r="DA54" s="280">
        <f>+IFERROR(INDEX(Assumptions!$F$5:$F$16, MATCH(DA53, Assumptions!$D$5:$D$16, 0))*$C$55, 0)</f>
        <v>0</v>
      </c>
      <c r="DB54" s="280">
        <f>+IFERROR(INDEX(Assumptions!$F$5:$F$16, MATCH(DB53, Assumptions!$D$5:$D$16, 0))*$C$55, 0)</f>
        <v>0</v>
      </c>
      <c r="DC54" s="280">
        <f>+IFERROR(INDEX(Assumptions!$F$5:$F$16, MATCH(DC53, Assumptions!$D$5:$D$16, 0))*$C$55, 0)</f>
        <v>0</v>
      </c>
      <c r="DD54" s="280">
        <f>+IFERROR(INDEX(Assumptions!$F$5:$F$16, MATCH(DD53, Assumptions!$D$5:$D$16, 0))*$C$55, 0)</f>
        <v>0</v>
      </c>
      <c r="DE54" s="280">
        <f>+IFERROR(INDEX(Assumptions!$F$5:$F$16, MATCH(DE53, Assumptions!$D$5:$D$16, 0))*$C$55, 0)</f>
        <v>0</v>
      </c>
      <c r="DF54" s="280">
        <f>+IFERROR(INDEX(Assumptions!$F$5:$F$16, MATCH(DF53, Assumptions!$D$5:$D$16, 0))*$C$55, 0)</f>
        <v>0</v>
      </c>
      <c r="DG54" s="280">
        <f>+IFERROR(INDEX(Assumptions!$F$5:$F$16, MATCH(DG53, Assumptions!$D$5:$D$16, 0))*$C$55, 0)</f>
        <v>0</v>
      </c>
      <c r="DH54" s="280">
        <f>+IFERROR(INDEX(Assumptions!$F$5:$F$16, MATCH(DH53, Assumptions!$D$5:$D$16, 0))*$C$55, 0)</f>
        <v>0</v>
      </c>
    </row>
    <row r="55" spans="2:112" x14ac:dyDescent="0.3">
      <c r="B55" t="s">
        <v>242</v>
      </c>
      <c r="C55" s="208">
        <v>4500000</v>
      </c>
      <c r="D55" t="s">
        <v>294</v>
      </c>
      <c r="E55" s="459"/>
      <c r="F55" s="459">
        <f t="shared" ref="F55" si="1370">+F54+E55</f>
        <v>0</v>
      </c>
      <c r="G55" s="459">
        <f t="shared" ref="G55" si="1371">+G54+F55</f>
        <v>0</v>
      </c>
      <c r="H55" s="459">
        <f t="shared" ref="H55" si="1372">+H54+G55</f>
        <v>0</v>
      </c>
      <c r="I55" s="459">
        <f t="shared" ref="I55" si="1373">+I54+H55</f>
        <v>0</v>
      </c>
      <c r="J55" s="459">
        <f t="shared" ref="J55" si="1374">+J54+I55</f>
        <v>0</v>
      </c>
      <c r="K55" s="459">
        <f t="shared" ref="K55" si="1375">+K54+J55</f>
        <v>0</v>
      </c>
      <c r="L55" s="459">
        <f t="shared" ref="L55" si="1376">+L54+K55</f>
        <v>0</v>
      </c>
      <c r="M55" s="459">
        <f t="shared" ref="M55" si="1377">+M54+L55</f>
        <v>0</v>
      </c>
      <c r="N55" s="459">
        <f t="shared" ref="N55" si="1378">+N54+M55</f>
        <v>0</v>
      </c>
      <c r="O55" s="459">
        <f t="shared" ref="O55" si="1379">+O54+N55</f>
        <v>0</v>
      </c>
      <c r="P55" s="459">
        <f t="shared" ref="P55" si="1380">+P54+O55</f>
        <v>0</v>
      </c>
      <c r="Q55" s="459">
        <f t="shared" ref="Q55" si="1381">+Q54+P55</f>
        <v>0</v>
      </c>
      <c r="R55" s="459">
        <f t="shared" ref="R55" si="1382">+R54+Q55</f>
        <v>0</v>
      </c>
      <c r="S55" s="459">
        <f t="shared" ref="S55" si="1383">+S54+R55</f>
        <v>0</v>
      </c>
      <c r="T55" s="459">
        <f t="shared" ref="T55" si="1384">+T54+S55</f>
        <v>0</v>
      </c>
      <c r="U55" s="459">
        <f t="shared" ref="U55" si="1385">+U54+T55</f>
        <v>0</v>
      </c>
      <c r="V55" s="535">
        <f t="shared" ref="V55" si="1386">+V54+U55</f>
        <v>0</v>
      </c>
      <c r="W55" s="147">
        <f t="shared" ref="W55:AK55" si="1387">+W54+V55</f>
        <v>0</v>
      </c>
      <c r="X55" s="147">
        <f t="shared" si="1387"/>
        <v>0</v>
      </c>
      <c r="Y55" s="347">
        <f t="shared" si="1387"/>
        <v>0</v>
      </c>
      <c r="Z55" s="280">
        <f t="shared" si="1387"/>
        <v>0</v>
      </c>
      <c r="AA55" s="280">
        <f t="shared" si="1387"/>
        <v>0</v>
      </c>
      <c r="AB55" s="280">
        <f t="shared" si="1387"/>
        <v>0</v>
      </c>
      <c r="AC55" s="280">
        <f t="shared" si="1387"/>
        <v>0</v>
      </c>
      <c r="AD55" s="280">
        <f t="shared" si="1387"/>
        <v>0</v>
      </c>
      <c r="AE55" s="280">
        <f t="shared" si="1387"/>
        <v>0</v>
      </c>
      <c r="AF55" s="280">
        <f t="shared" si="1387"/>
        <v>0</v>
      </c>
      <c r="AG55" s="280">
        <f t="shared" si="1387"/>
        <v>0</v>
      </c>
      <c r="AH55" s="280">
        <f t="shared" si="1387"/>
        <v>0</v>
      </c>
      <c r="AI55" s="280">
        <f t="shared" si="1387"/>
        <v>0</v>
      </c>
      <c r="AJ55" s="280">
        <f t="shared" si="1387"/>
        <v>0</v>
      </c>
      <c r="AK55" s="280">
        <f t="shared" si="1387"/>
        <v>0</v>
      </c>
      <c r="AL55" s="280">
        <f t="shared" ref="AL55" si="1388">+AL54+AK55</f>
        <v>0</v>
      </c>
      <c r="AM55" s="280">
        <f t="shared" ref="AM55" si="1389">+AM54+AL55</f>
        <v>0</v>
      </c>
      <c r="AN55" s="280">
        <f t="shared" ref="AN55" si="1390">+AN54+AM55</f>
        <v>0</v>
      </c>
      <c r="AO55" s="280">
        <f t="shared" ref="AO55" si="1391">+AO54+AN55</f>
        <v>0</v>
      </c>
      <c r="AP55" s="280">
        <f t="shared" ref="AP55" si="1392">+AP54+AO55</f>
        <v>0</v>
      </c>
      <c r="AQ55" s="280">
        <f t="shared" ref="AQ55" si="1393">+AQ54+AP55</f>
        <v>0</v>
      </c>
      <c r="AR55" s="280">
        <f t="shared" ref="AR55" si="1394">+AR54+AQ55</f>
        <v>0</v>
      </c>
      <c r="AS55" s="280">
        <f t="shared" ref="AS55" si="1395">+AS54+AR55</f>
        <v>0</v>
      </c>
      <c r="AT55" s="280">
        <f t="shared" ref="AT55" si="1396">+AT54+AS55</f>
        <v>0</v>
      </c>
      <c r="AU55" s="280">
        <f t="shared" ref="AU55" si="1397">+AU54+AT55</f>
        <v>0</v>
      </c>
      <c r="AV55" s="280">
        <f t="shared" ref="AV55" si="1398">+AV54+AU55</f>
        <v>0</v>
      </c>
      <c r="AW55" s="280">
        <f t="shared" ref="AW55" si="1399">+AW54+AV55</f>
        <v>0</v>
      </c>
      <c r="AX55" s="280">
        <f t="shared" ref="AX55" si="1400">+AX54+AW55</f>
        <v>0</v>
      </c>
      <c r="AY55" s="280">
        <f t="shared" ref="AY55" si="1401">+AY54+AX55</f>
        <v>0</v>
      </c>
      <c r="AZ55" s="280">
        <f t="shared" ref="AZ55" si="1402">+AZ54+AY55</f>
        <v>0</v>
      </c>
      <c r="BA55" s="280">
        <f t="shared" ref="BA55" si="1403">+BA54+AZ55</f>
        <v>0</v>
      </c>
      <c r="BB55" s="280">
        <f t="shared" ref="BB55" si="1404">+BB54+BA55</f>
        <v>0</v>
      </c>
      <c r="BC55" s="280">
        <f t="shared" ref="BC55" si="1405">+BC54+BB55</f>
        <v>0</v>
      </c>
      <c r="BD55" s="280">
        <f t="shared" ref="BD55" si="1406">+BD54+BC55</f>
        <v>0</v>
      </c>
      <c r="BE55" s="280">
        <f t="shared" ref="BE55" si="1407">+BE54+BD55</f>
        <v>0</v>
      </c>
      <c r="BF55" s="280">
        <f t="shared" ref="BF55" si="1408">+BF54+BE55</f>
        <v>0</v>
      </c>
      <c r="BG55" s="280">
        <f t="shared" ref="BG55" si="1409">+BG54+BF55</f>
        <v>0</v>
      </c>
      <c r="BH55" s="280">
        <f t="shared" ref="BH55" si="1410">+BH54+BG55</f>
        <v>0</v>
      </c>
      <c r="BI55" s="280">
        <f t="shared" ref="BI55" si="1411">+BI54+BH55</f>
        <v>0</v>
      </c>
      <c r="BJ55" s="280">
        <f t="shared" ref="BJ55" si="1412">+BJ54+BI55</f>
        <v>0</v>
      </c>
      <c r="BK55" s="280">
        <f t="shared" ref="BK55" si="1413">+BK54+BJ55</f>
        <v>0</v>
      </c>
      <c r="BL55" s="280">
        <f t="shared" ref="BL55" si="1414">+BL54+BK55</f>
        <v>0</v>
      </c>
      <c r="BM55" s="280">
        <f t="shared" ref="BM55" si="1415">+BM54+BL55</f>
        <v>0</v>
      </c>
      <c r="BN55" s="280">
        <f t="shared" ref="BN55" si="1416">+BN54+BM55</f>
        <v>0</v>
      </c>
      <c r="BO55" s="280">
        <f t="shared" ref="BO55" si="1417">+BO54+BN55</f>
        <v>0</v>
      </c>
      <c r="BP55" s="280">
        <f t="shared" ref="BP55" si="1418">+BP54+BO55</f>
        <v>0</v>
      </c>
      <c r="BQ55" s="280">
        <f t="shared" ref="BQ55" si="1419">+BQ54+BP55</f>
        <v>0</v>
      </c>
      <c r="BR55" s="280">
        <f t="shared" ref="BR55" si="1420">+BR54+BQ55</f>
        <v>0</v>
      </c>
      <c r="BS55" s="280">
        <f t="shared" ref="BS55" si="1421">+BS54+BR55</f>
        <v>0</v>
      </c>
      <c r="BT55" s="280">
        <f t="shared" ref="BT55" si="1422">+BT54+BS55</f>
        <v>0</v>
      </c>
      <c r="BU55" s="280">
        <f t="shared" ref="BU55" si="1423">+BU54+BT55</f>
        <v>0</v>
      </c>
      <c r="BV55" s="280">
        <f t="shared" ref="BV55" si="1424">+BV54+BU55</f>
        <v>0</v>
      </c>
      <c r="BW55" s="280">
        <f t="shared" ref="BW55" si="1425">+BW54+BV55</f>
        <v>0</v>
      </c>
      <c r="BX55" s="280">
        <f t="shared" ref="BX55" si="1426">+BX54+BW55</f>
        <v>0</v>
      </c>
      <c r="BY55" s="280">
        <f t="shared" ref="BY55" si="1427">+BY54+BX55</f>
        <v>0</v>
      </c>
      <c r="BZ55" s="280">
        <f t="shared" ref="BZ55" si="1428">+BZ54+BY55</f>
        <v>0</v>
      </c>
      <c r="CA55" s="280">
        <f t="shared" ref="CA55" si="1429">+CA54+BZ55</f>
        <v>0</v>
      </c>
      <c r="CB55" s="280">
        <f t="shared" ref="CB55" si="1430">+CB54+CA55</f>
        <v>0</v>
      </c>
      <c r="CC55" s="280">
        <f t="shared" ref="CC55" si="1431">+CC54+CB55</f>
        <v>0</v>
      </c>
      <c r="CD55" s="280">
        <f t="shared" ref="CD55" si="1432">+CD54+CC55</f>
        <v>27121.379266602147</v>
      </c>
      <c r="CE55" s="280">
        <f t="shared" ref="CE55" si="1433">+CE54+CD55</f>
        <v>31000.42291685778</v>
      </c>
      <c r="CF55" s="280">
        <f t="shared" ref="CF55" si="1434">+CF54+CE55</f>
        <v>191758.9265361279</v>
      </c>
      <c r="CG55" s="280">
        <f t="shared" ref="CG55" si="1435">+CG54+CF55</f>
        <v>206270.38094230645</v>
      </c>
      <c r="CH55" s="280">
        <f t="shared" ref="CH55" si="1436">+CH54+CG55</f>
        <v>862752.38526597677</v>
      </c>
      <c r="CI55" s="280">
        <f t="shared" ref="CI55" si="1437">+CI54+CH55</f>
        <v>2040047.0018770527</v>
      </c>
      <c r="CJ55" s="280">
        <f t="shared" ref="CJ55" si="1438">+CJ54+CI55</f>
        <v>2833328.5089169051</v>
      </c>
      <c r="CK55" s="280">
        <f t="shared" ref="CK55" si="1439">+CK54+CJ55</f>
        <v>3356794.9138447912</v>
      </c>
      <c r="CL55" s="280">
        <f t="shared" ref="CL55" si="1440">+CL54+CK55</f>
        <v>3466387.7941129208</v>
      </c>
      <c r="CM55" s="280">
        <f t="shared" ref="CM55" si="1441">+CM54+CL55</f>
        <v>4305650.7343152016</v>
      </c>
      <c r="CN55" s="280">
        <f t="shared" ref="CN55" si="1442">+CN54+CM55</f>
        <v>4500000</v>
      </c>
      <c r="CO55" s="280">
        <f t="shared" ref="CO55" si="1443">+CO54+CN55</f>
        <v>4500000</v>
      </c>
      <c r="CP55" s="280">
        <f t="shared" ref="CP55" si="1444">+CP54+CO55</f>
        <v>4500000</v>
      </c>
      <c r="CQ55" s="280">
        <f t="shared" ref="CQ55" si="1445">+CQ54+CP55</f>
        <v>4500000</v>
      </c>
      <c r="CR55" s="280">
        <f t="shared" ref="CR55" si="1446">+CR54+CQ55</f>
        <v>4500000</v>
      </c>
      <c r="CS55" s="280">
        <f t="shared" ref="CS55" si="1447">+CS54+CR55</f>
        <v>4500000</v>
      </c>
      <c r="CT55" s="280">
        <f t="shared" ref="CT55" si="1448">+CT54+CS55</f>
        <v>4500000</v>
      </c>
      <c r="CU55" s="280">
        <f t="shared" ref="CU55" si="1449">+CU54+CT55</f>
        <v>4500000</v>
      </c>
      <c r="CV55" s="280">
        <f t="shared" ref="CV55" si="1450">+CV54+CU55</f>
        <v>4500000</v>
      </c>
      <c r="CW55" s="280">
        <f t="shared" ref="CW55" si="1451">+CW54+CV55</f>
        <v>4500000</v>
      </c>
      <c r="CX55" s="280">
        <f t="shared" ref="CX55" si="1452">+CX54+CW55</f>
        <v>4500000</v>
      </c>
      <c r="CY55" s="280">
        <f t="shared" ref="CY55" si="1453">+CY54+CX55</f>
        <v>4500000</v>
      </c>
      <c r="CZ55" s="280">
        <f t="shared" ref="CZ55" si="1454">+CZ54+CY55</f>
        <v>4500000</v>
      </c>
      <c r="DA55" s="280">
        <f t="shared" ref="DA55" si="1455">+DA54+CZ55</f>
        <v>4500000</v>
      </c>
      <c r="DB55" s="280">
        <f t="shared" ref="DB55" si="1456">+DB54+DA55</f>
        <v>4500000</v>
      </c>
      <c r="DC55" s="280">
        <f t="shared" ref="DC55" si="1457">+DC54+DB55</f>
        <v>4500000</v>
      </c>
      <c r="DD55" s="280">
        <f t="shared" ref="DD55" si="1458">+DD54+DC55</f>
        <v>4500000</v>
      </c>
      <c r="DE55" s="280">
        <f t="shared" ref="DE55" si="1459">+DE54+DD55</f>
        <v>4500000</v>
      </c>
      <c r="DF55" s="280">
        <f t="shared" ref="DF55" si="1460">+DF54+DE55</f>
        <v>4500000</v>
      </c>
      <c r="DG55" s="280">
        <f t="shared" ref="DG55:DH55" si="1461">+DG54+DF55</f>
        <v>4500000</v>
      </c>
      <c r="DH55" s="280">
        <f t="shared" si="1461"/>
        <v>4500000</v>
      </c>
    </row>
    <row r="56" spans="2:112" x14ac:dyDescent="0.3">
      <c r="B56" t="s">
        <v>245</v>
      </c>
      <c r="C56" s="208">
        <v>1500000</v>
      </c>
      <c r="D56" t="s">
        <v>243</v>
      </c>
      <c r="E56" s="460"/>
      <c r="F56" s="459">
        <f>+IFERROR(INDEX(Assumptions!$E$18:$E$29, MATCH(F53, Assumptions!$D$18:$D$29, 0))*$C$56, 0)</f>
        <v>0</v>
      </c>
      <c r="G56" s="459">
        <f>+IFERROR(INDEX(Assumptions!$E$18:$E$29, MATCH(G53, Assumptions!$D$18:$D$29, 0))*$C$56, 0)</f>
        <v>0</v>
      </c>
      <c r="H56" s="459">
        <f>+IFERROR(INDEX(Assumptions!$E$18:$E$29, MATCH(H53, Assumptions!$D$18:$D$29, 0))*$C$56, 0)</f>
        <v>0</v>
      </c>
      <c r="I56" s="459">
        <f>+IFERROR(INDEX(Assumptions!$E$18:$E$29, MATCH(I53, Assumptions!$D$18:$D$29, 0))*$C$56, 0)</f>
        <v>0</v>
      </c>
      <c r="J56" s="459">
        <f>+IFERROR(INDEX(Assumptions!$E$18:$E$29, MATCH(J53, Assumptions!$D$18:$D$29, 0))*$C$56, 0)</f>
        <v>0</v>
      </c>
      <c r="K56" s="459">
        <f>+IFERROR(INDEX(Assumptions!$E$18:$E$29, MATCH(K53, Assumptions!$D$18:$D$29, 0))*$C$56, 0)</f>
        <v>0</v>
      </c>
      <c r="L56" s="459">
        <f>+IFERROR(INDEX(Assumptions!$E$18:$E$29, MATCH(L53, Assumptions!$D$18:$D$29, 0))*$C$56, 0)</f>
        <v>0</v>
      </c>
      <c r="M56" s="459">
        <f>+IFERROR(INDEX(Assumptions!$E$18:$E$29, MATCH(M53, Assumptions!$D$18:$D$29, 0))*$C$56, 0)</f>
        <v>0</v>
      </c>
      <c r="N56" s="459">
        <f>+IFERROR(INDEX(Assumptions!$E$18:$E$29, MATCH(N53, Assumptions!$D$18:$D$29, 0))*$C$56, 0)</f>
        <v>0</v>
      </c>
      <c r="O56" s="459">
        <f>+IFERROR(INDEX(Assumptions!$E$18:$E$29, MATCH(O53, Assumptions!$D$18:$D$29, 0))*$C$56, 0)</f>
        <v>0</v>
      </c>
      <c r="P56" s="459">
        <f>+IFERROR(INDEX(Assumptions!$E$18:$E$29, MATCH(P53, Assumptions!$D$18:$D$29, 0))*$C$56, 0)</f>
        <v>0</v>
      </c>
      <c r="Q56" s="459">
        <f>+IFERROR(INDEX(Assumptions!$E$18:$E$29, MATCH(Q53, Assumptions!$D$18:$D$29, 0))*$C$56, 0)</f>
        <v>0</v>
      </c>
      <c r="R56" s="459">
        <f>+IFERROR(INDEX(Assumptions!$E$18:$E$29, MATCH(R53, Assumptions!$D$18:$D$29, 0))*$C$56, 0)</f>
        <v>0</v>
      </c>
      <c r="S56" s="459">
        <f>+IFERROR(INDEX(Assumptions!$E$18:$E$29, MATCH(S53, Assumptions!$D$18:$D$29, 0))*$C$56, 0)</f>
        <v>0</v>
      </c>
      <c r="T56" s="459">
        <f>+IFERROR(INDEX(Assumptions!$E$18:$E$29, MATCH(T53, Assumptions!$D$18:$D$29, 0))*$C$56, 0)</f>
        <v>0</v>
      </c>
      <c r="U56" s="459">
        <f>+IFERROR(INDEX(Assumptions!$E$18:$E$29, MATCH(U53, Assumptions!$D$18:$D$29, 0))*$C$56, 0)</f>
        <v>0</v>
      </c>
      <c r="V56" s="459">
        <f>+IFERROR(INDEX(Assumptions!$E$18:$E$29, MATCH(V53, Assumptions!$D$18:$D$29, 0))*$C$56, 0)</f>
        <v>0</v>
      </c>
      <c r="W56" s="535">
        <f>+IFERROR(INDEX(Assumptions!$E$18:$E$29, MATCH(W53, Assumptions!$D$18:$D$29, 0))*$C$56, 0)</f>
        <v>0</v>
      </c>
      <c r="X56" s="535">
        <f>+IFERROR(INDEX(Assumptions!$E$18:$E$29, MATCH(X53, Assumptions!$D$18:$D$29, 0))*$C$56, 0)</f>
        <v>0</v>
      </c>
      <c r="Y56" s="502">
        <f>+IFERROR(INDEX(Assumptions!$E$18:$E$29, MATCH(Y53, Assumptions!$D$18:$D$29, 0))*$C$56, 0)</f>
        <v>0</v>
      </c>
      <c r="Z56" s="459">
        <f>+IFERROR(INDEX(Assumptions!$E$18:$E$29, MATCH(Z53, Assumptions!$D$18:$D$29, 0))*$C$56, 0)</f>
        <v>0</v>
      </c>
      <c r="AA56" s="459">
        <f>+IFERROR(INDEX(Assumptions!$E$18:$E$29, MATCH(AA53, Assumptions!$D$18:$D$29, 0))*$C$56, 0)</f>
        <v>0</v>
      </c>
      <c r="AB56" s="459">
        <f>+IFERROR(INDEX(Assumptions!$E$18:$E$29, MATCH(AB53, Assumptions!$D$18:$D$29, 0))*$C$56, 0)</f>
        <v>0</v>
      </c>
      <c r="AC56" s="459">
        <f>+IFERROR(INDEX(Assumptions!$E$18:$E$29, MATCH(AC53, Assumptions!$D$18:$D$29, 0))*$C$56, 0)</f>
        <v>0</v>
      </c>
      <c r="AD56" s="459">
        <f>+IFERROR(INDEX(Assumptions!$E$18:$E$29, MATCH(AD53, Assumptions!$D$18:$D$29, 0))*$C$56, 0)</f>
        <v>0</v>
      </c>
      <c r="AE56" s="459">
        <f>+IFERROR(INDEX(Assumptions!$E$18:$E$29, MATCH(AE53, Assumptions!$D$18:$D$29, 0))*$C$56, 0)</f>
        <v>0</v>
      </c>
      <c r="AF56" s="459">
        <f>+IFERROR(INDEX(Assumptions!$E$18:$E$29, MATCH(AF53, Assumptions!$D$18:$D$29, 0))*$C$56, 0)</f>
        <v>0</v>
      </c>
      <c r="AG56" s="459">
        <f>+IFERROR(INDEX(Assumptions!$E$18:$E$29, MATCH(AG53, Assumptions!$D$18:$D$29, 0))*$C$56, 0)</f>
        <v>0</v>
      </c>
      <c r="AH56" s="459">
        <f>+IFERROR(INDEX(Assumptions!$E$18:$E$29, MATCH(AH53, Assumptions!$D$18:$D$29, 0))*$C$56, 0)</f>
        <v>0</v>
      </c>
      <c r="AI56" s="459">
        <f>+IFERROR(INDEX(Assumptions!$E$18:$E$29, MATCH(AI53, Assumptions!$D$18:$D$29, 0))*$C$56, 0)</f>
        <v>0</v>
      </c>
      <c r="AJ56" s="459">
        <f>+IFERROR(INDEX(Assumptions!$E$18:$E$29, MATCH(AJ53, Assumptions!$D$18:$D$29, 0))*$C$56, 0)</f>
        <v>0</v>
      </c>
      <c r="AK56" s="459">
        <f>+IFERROR(INDEX(Assumptions!$E$18:$E$29, MATCH(AK53, Assumptions!$D$18:$D$29, 0))*$C$56, 0)</f>
        <v>0</v>
      </c>
      <c r="AL56" s="459">
        <f>+IFERROR(INDEX(Assumptions!$E$18:$E$29, MATCH(AL53, Assumptions!$D$18:$D$29, 0))*$C$56, 0)</f>
        <v>0</v>
      </c>
      <c r="AM56" s="459">
        <f>+IFERROR(INDEX(Assumptions!$E$18:$E$29, MATCH(AM53, Assumptions!$D$18:$D$29, 0))*$C$56, 0)</f>
        <v>0</v>
      </c>
      <c r="AN56" s="459">
        <f>+IFERROR(INDEX(Assumptions!$E$18:$E$29, MATCH(AN53, Assumptions!$D$18:$D$29, 0))*$C$56, 0)</f>
        <v>0</v>
      </c>
      <c r="AO56" s="459">
        <f>+IFERROR(INDEX(Assumptions!$E$18:$E$29, MATCH(AO53, Assumptions!$D$18:$D$29, 0))*$C$56, 0)</f>
        <v>0</v>
      </c>
      <c r="AP56" s="459">
        <f>+IFERROR(INDEX(Assumptions!$E$18:$E$29, MATCH(AP53, Assumptions!$D$18:$D$29, 0))*$C$56, 0)</f>
        <v>0</v>
      </c>
      <c r="AQ56" s="459">
        <f>+IFERROR(INDEX(Assumptions!$E$18:$E$29, MATCH(AQ53, Assumptions!$D$18:$D$29, 0))*$C$56, 0)</f>
        <v>0</v>
      </c>
      <c r="AR56" s="459">
        <f>+IFERROR(INDEX(Assumptions!$E$18:$E$29, MATCH(AR53, Assumptions!$D$18:$D$29, 0))*$C$56, 0)</f>
        <v>0</v>
      </c>
      <c r="AS56" s="459">
        <f>+IFERROR(INDEX(Assumptions!$E$18:$E$29, MATCH(AS53, Assumptions!$D$18:$D$29, 0))*$C$56, 0)</f>
        <v>0</v>
      </c>
      <c r="AT56" s="459">
        <f>+IFERROR(INDEX(Assumptions!$E$18:$E$29, MATCH(AT53, Assumptions!$D$18:$D$29, 0))*$C$56, 0)</f>
        <v>0</v>
      </c>
      <c r="AU56" s="459">
        <f>+IFERROR(INDEX(Assumptions!$E$18:$E$29, MATCH(AU53, Assumptions!$D$18:$D$29, 0))*$C$56, 0)</f>
        <v>0</v>
      </c>
      <c r="AV56" s="459">
        <f>+IFERROR(INDEX(Assumptions!$E$18:$E$29, MATCH(AV53, Assumptions!$D$18:$D$29, 0))*$C$56, 0)</f>
        <v>0</v>
      </c>
      <c r="AW56" s="459">
        <f>+IFERROR(INDEX(Assumptions!$E$18:$E$29, MATCH(AW53, Assumptions!$D$18:$D$29, 0))*$C$56, 0)</f>
        <v>0</v>
      </c>
      <c r="AX56" s="459">
        <f>+IFERROR(INDEX(Assumptions!$E$18:$E$29, MATCH(AX53, Assumptions!$D$18:$D$29, 0))*$C$56, 0)</f>
        <v>0</v>
      </c>
      <c r="AY56" s="459">
        <f>+IFERROR(INDEX(Assumptions!$E$18:$E$29, MATCH(AY53, Assumptions!$D$18:$D$29, 0))*$C$56, 0)</f>
        <v>0</v>
      </c>
      <c r="AZ56" s="459">
        <f>+IFERROR(INDEX(Assumptions!$E$18:$E$29, MATCH(AZ53, Assumptions!$D$18:$D$29, 0))*$C$56, 0)</f>
        <v>0</v>
      </c>
      <c r="BA56" s="459">
        <f>+IFERROR(INDEX(Assumptions!$E$18:$E$29, MATCH(BA53, Assumptions!$D$18:$D$29, 0))*$C$56, 0)</f>
        <v>0</v>
      </c>
      <c r="BB56" s="459">
        <f>+IFERROR(INDEX(Assumptions!$E$18:$E$29, MATCH(BB53, Assumptions!$D$18:$D$29, 0))*$C$56, 0)</f>
        <v>0</v>
      </c>
      <c r="BC56" s="459">
        <f>+IFERROR(INDEX(Assumptions!$E$18:$E$29, MATCH(BC53, Assumptions!$D$18:$D$29, 0))*$C$56, 0)</f>
        <v>0</v>
      </c>
      <c r="BD56" s="459">
        <f>+IFERROR(INDEX(Assumptions!$E$18:$E$29, MATCH(BD53, Assumptions!$D$18:$D$29, 0))*$C$56, 0)</f>
        <v>0</v>
      </c>
      <c r="BE56" s="459">
        <f>+IFERROR(INDEX(Assumptions!$E$18:$E$29, MATCH(BE53, Assumptions!$D$18:$D$29, 0))*$C$56, 0)</f>
        <v>0</v>
      </c>
      <c r="BF56" s="459">
        <f>+IFERROR(INDEX(Assumptions!$E$18:$E$29, MATCH(BF53, Assumptions!$D$18:$D$29, 0))*$C$56, 0)</f>
        <v>0</v>
      </c>
      <c r="BG56" s="459">
        <f>+IFERROR(INDEX(Assumptions!$E$18:$E$29, MATCH(BG53, Assumptions!$D$18:$D$29, 0))*$C$56, 0)</f>
        <v>0</v>
      </c>
      <c r="BH56" s="459">
        <f>+IFERROR(INDEX(Assumptions!$E$18:$E$29, MATCH(BH53, Assumptions!$D$18:$D$29, 0))*$C$56, 0)</f>
        <v>0</v>
      </c>
      <c r="BI56" s="459">
        <f>+IFERROR(INDEX(Assumptions!$E$18:$E$29, MATCH(BI53, Assumptions!$D$18:$D$29, 0))*$C$56, 0)</f>
        <v>0</v>
      </c>
      <c r="BJ56" s="459">
        <f>+IFERROR(INDEX(Assumptions!$E$18:$E$29, MATCH(BJ53, Assumptions!$D$18:$D$29, 0))*$C$56, 0)</f>
        <v>0</v>
      </c>
      <c r="BK56" s="459">
        <f>+IFERROR(INDEX(Assumptions!$E$18:$E$29, MATCH(BK53, Assumptions!$D$18:$D$29, 0))*$C$56, 0)</f>
        <v>0</v>
      </c>
      <c r="BL56" s="459">
        <f>+IFERROR(INDEX(Assumptions!$E$18:$E$29, MATCH(BL53, Assumptions!$D$18:$D$29, 0))*$C$56, 0)</f>
        <v>0</v>
      </c>
      <c r="BM56" s="459">
        <f>+IFERROR(INDEX(Assumptions!$E$18:$E$29, MATCH(BM53, Assumptions!$D$18:$D$29, 0))*$C$56, 0)</f>
        <v>0</v>
      </c>
      <c r="BN56" s="459">
        <f>+IFERROR(INDEX(Assumptions!$E$18:$E$29, MATCH(BN53, Assumptions!$D$18:$D$29, 0))*$C$56, 0)</f>
        <v>0</v>
      </c>
      <c r="BO56" s="459">
        <f>+IFERROR(INDEX(Assumptions!$E$18:$E$29, MATCH(BO53, Assumptions!$D$18:$D$29, 0))*$C$56, 0)</f>
        <v>0</v>
      </c>
      <c r="BP56" s="459">
        <f>+IFERROR(INDEX(Assumptions!$E$18:$E$29, MATCH(BP53, Assumptions!$D$18:$D$29, 0))*$C$56, 0)</f>
        <v>0</v>
      </c>
      <c r="BQ56" s="459">
        <f>+IFERROR(INDEX(Assumptions!$E$18:$E$29, MATCH(BQ53, Assumptions!$D$18:$D$29, 0))*$C$56, 0)</f>
        <v>0</v>
      </c>
      <c r="BR56" s="459">
        <f>+IFERROR(INDEX(Assumptions!$E$18:$E$29, MATCH(BR53, Assumptions!$D$18:$D$29, 0))*$C$56, 0)</f>
        <v>0</v>
      </c>
      <c r="BS56" s="459">
        <f>+IFERROR(INDEX(Assumptions!$E$18:$E$29, MATCH(BS53, Assumptions!$D$18:$D$29, 0))*$C$56, 0)</f>
        <v>0</v>
      </c>
      <c r="BT56" s="459">
        <f>+IFERROR(INDEX(Assumptions!$E$18:$E$29, MATCH(BT53, Assumptions!$D$18:$D$29, 0))*$C$56, 0)</f>
        <v>0</v>
      </c>
      <c r="BU56" s="459">
        <f>+IFERROR(INDEX(Assumptions!$E$18:$E$29, MATCH(BU53, Assumptions!$D$18:$D$29, 0))*$C$56, 0)</f>
        <v>0</v>
      </c>
      <c r="BV56" s="459">
        <f>+IFERROR(INDEX(Assumptions!$E$18:$E$29, MATCH(BV53, Assumptions!$D$18:$D$29, 0))*$C$56, 0)</f>
        <v>0</v>
      </c>
      <c r="BW56" s="459">
        <f>+IFERROR(INDEX(Assumptions!$E$18:$E$29, MATCH(BW53, Assumptions!$D$18:$D$29, 0))*$C$56, 0)</f>
        <v>0</v>
      </c>
      <c r="BX56" s="459">
        <f>+IFERROR(INDEX(Assumptions!$E$18:$E$29, MATCH(BX53, Assumptions!$D$18:$D$29, 0))*$C$56, 0)</f>
        <v>0</v>
      </c>
      <c r="BY56" s="459">
        <f>+IFERROR(INDEX(Assumptions!$E$18:$E$29, MATCH(BY53, Assumptions!$D$18:$D$29, 0))*$C$56, 0)</f>
        <v>0</v>
      </c>
      <c r="BZ56" s="459">
        <f>+IFERROR(INDEX(Assumptions!$E$18:$E$29, MATCH(BZ53, Assumptions!$D$18:$D$29, 0))*$C$56, 0)</f>
        <v>0</v>
      </c>
      <c r="CA56" s="459">
        <f>+IFERROR(INDEX(Assumptions!$E$18:$E$29, MATCH(CA53, Assumptions!$D$18:$D$29, 0))*$C$56, 0)</f>
        <v>0</v>
      </c>
      <c r="CB56" s="459">
        <f>+IFERROR(INDEX(Assumptions!$E$18:$E$29, MATCH(CB53, Assumptions!$D$18:$D$29, 0))*$C$56, 0)</f>
        <v>0</v>
      </c>
      <c r="CC56" s="459">
        <f>+IFERROR(INDEX(Assumptions!$E$18:$E$29, MATCH(CC53, Assumptions!$D$18:$D$29, 0))*$C$56, 0)</f>
        <v>0</v>
      </c>
      <c r="CD56" s="459">
        <f>+IFERROR(INDEX(Assumptions!$E$18:$E$29, MATCH(CD53, Assumptions!$D$18:$D$29, 0))*$C$56, 0)</f>
        <v>9040.4597555340497</v>
      </c>
      <c r="CE56" s="459">
        <f>+IFERROR(INDEX(Assumptions!$E$18:$E$29, MATCH(CE53, Assumptions!$D$18:$D$29, 0))*$C$56, 0)</f>
        <v>1293.0145500852113</v>
      </c>
      <c r="CF56" s="459">
        <f>+IFERROR(INDEX(Assumptions!$E$18:$E$29, MATCH(CF53, Assumptions!$D$18:$D$29, 0))*$C$56, 0)</f>
        <v>53586.167873090031</v>
      </c>
      <c r="CG56" s="459">
        <f>+IFERROR(INDEX(Assumptions!$E$18:$E$29, MATCH(CG53, Assumptions!$D$18:$D$29, 0))*$C$56, 0)</f>
        <v>4837.1514687261815</v>
      </c>
      <c r="CH56" s="459">
        <f>+IFERROR(INDEX(Assumptions!$E$18:$E$29, MATCH(CH53, Assumptions!$D$18:$D$29, 0))*$C$56, 0)</f>
        <v>218827.33477455677</v>
      </c>
      <c r="CI56" s="459">
        <f>+IFERROR(INDEX(Assumptions!$E$18:$E$29, MATCH(CI53, Assumptions!$D$18:$D$29, 0))*$C$56, 0)</f>
        <v>392431.53887035867</v>
      </c>
      <c r="CJ56" s="459">
        <f>+IFERROR(INDEX(Assumptions!$E$18:$E$29, MATCH(CJ53, Assumptions!$D$18:$D$29, 0))*$C$56, 0)</f>
        <v>264427.16901328409</v>
      </c>
      <c r="CK56" s="459">
        <f>+IFERROR(INDEX(Assumptions!$E$18:$E$29, MATCH(CK53, Assumptions!$D$18:$D$29, 0))*$C$56, 0)</f>
        <v>174488.80164262865</v>
      </c>
      <c r="CL56" s="459">
        <f>+IFERROR(INDEX(Assumptions!$E$18:$E$29, MATCH(CL53, Assumptions!$D$18:$D$29, 0))*$C$56, 0)</f>
        <v>36530.960089376575</v>
      </c>
      <c r="CM56" s="459">
        <f>+IFERROR(INDEX(Assumptions!$E$18:$E$29, MATCH(CM53, Assumptions!$D$18:$D$29, 0))*$C$56, 0)</f>
        <v>279754.31340076023</v>
      </c>
      <c r="CN56" s="459">
        <f>+IFERROR(INDEX(Assumptions!$E$18:$E$29, MATCH(CN53, Assumptions!$D$18:$D$29, 0))*$C$56, 0)</f>
        <v>64783.088561599536</v>
      </c>
      <c r="CO56" s="459">
        <f>+IFERROR(INDEX(Assumptions!$E$18:$E$29, MATCH(CO53, Assumptions!$D$18:$D$29, 0))*$C$56, 0)</f>
        <v>0</v>
      </c>
      <c r="CP56" s="459">
        <f>+IFERROR(INDEX(Assumptions!$E$18:$E$29, MATCH(CP53, Assumptions!$D$18:$D$29, 0))*$C$56, 0)</f>
        <v>0</v>
      </c>
      <c r="CQ56" s="459">
        <f>+IFERROR(INDEX(Assumptions!$E$18:$E$29, MATCH(CQ53, Assumptions!$D$18:$D$29, 0))*$C$56, 0)</f>
        <v>0</v>
      </c>
      <c r="CR56" s="459">
        <f>+IFERROR(INDEX(Assumptions!$E$18:$E$29, MATCH(CR53, Assumptions!$D$18:$D$29, 0))*$C$56, 0)</f>
        <v>0</v>
      </c>
      <c r="CS56" s="459">
        <f>+IFERROR(INDEX(Assumptions!$E$18:$E$29, MATCH(CS53, Assumptions!$D$18:$D$29, 0))*$C$56, 0)</f>
        <v>0</v>
      </c>
      <c r="CT56" s="459">
        <f>+IFERROR(INDEX(Assumptions!$E$18:$E$29, MATCH(CT53, Assumptions!$D$18:$D$29, 0))*$C$56, 0)</f>
        <v>0</v>
      </c>
      <c r="CU56" s="459">
        <f>+IFERROR(INDEX(Assumptions!$E$18:$E$29, MATCH(CU53, Assumptions!$D$18:$D$29, 0))*$C$56, 0)</f>
        <v>0</v>
      </c>
      <c r="CV56" s="459">
        <f>+IFERROR(INDEX(Assumptions!$E$18:$E$29, MATCH(CV53, Assumptions!$D$18:$D$29, 0))*$C$56, 0)</f>
        <v>0</v>
      </c>
      <c r="CW56" s="459">
        <f>+IFERROR(INDEX(Assumptions!$E$18:$E$29, MATCH(CW53, Assumptions!$D$18:$D$29, 0))*$C$56, 0)</f>
        <v>0</v>
      </c>
      <c r="CX56" s="459">
        <f>+IFERROR(INDEX(Assumptions!$E$18:$E$29, MATCH(CX53, Assumptions!$D$18:$D$29, 0))*$C$56, 0)</f>
        <v>0</v>
      </c>
      <c r="CY56" s="459">
        <f>+IFERROR(INDEX(Assumptions!$E$18:$E$29, MATCH(CY53, Assumptions!$D$18:$D$29, 0))*$C$56, 0)</f>
        <v>0</v>
      </c>
      <c r="CZ56" s="459">
        <f>+IFERROR(INDEX(Assumptions!$E$18:$E$29, MATCH(CZ53, Assumptions!$D$18:$D$29, 0))*$C$56, 0)</f>
        <v>0</v>
      </c>
      <c r="DA56" s="459">
        <f>+IFERROR(INDEX(Assumptions!$E$18:$E$29, MATCH(DA53, Assumptions!$D$18:$D$29, 0))*$C$56, 0)</f>
        <v>0</v>
      </c>
      <c r="DB56" s="459">
        <f>+IFERROR(INDEX(Assumptions!$E$18:$E$29, MATCH(DB53, Assumptions!$D$18:$D$29, 0))*$C$56, 0)</f>
        <v>0</v>
      </c>
      <c r="DC56" s="459">
        <f>+IFERROR(INDEX(Assumptions!$E$18:$E$29, MATCH(DC53, Assumptions!$D$18:$D$29, 0))*$C$56, 0)</f>
        <v>0</v>
      </c>
      <c r="DD56" s="459">
        <f>+IFERROR(INDEX(Assumptions!$E$18:$E$29, MATCH(DD53, Assumptions!$D$18:$D$29, 0))*$C$56, 0)</f>
        <v>0</v>
      </c>
      <c r="DE56" s="459">
        <f>+IFERROR(INDEX(Assumptions!$E$18:$E$29, MATCH(DE53, Assumptions!$D$18:$D$29, 0))*$C$56, 0)</f>
        <v>0</v>
      </c>
      <c r="DF56" s="459">
        <f>+IFERROR(INDEX(Assumptions!$E$18:$E$29, MATCH(DF53, Assumptions!$D$18:$D$29, 0))*$C$56, 0)</f>
        <v>0</v>
      </c>
      <c r="DG56" s="459">
        <f>+IFERROR(INDEX(Assumptions!$E$18:$E$29, MATCH(DG53, Assumptions!$D$18:$D$29, 0))*$C$56, 0)</f>
        <v>0</v>
      </c>
      <c r="DH56" s="459">
        <f>+IFERROR(INDEX(Assumptions!$E$18:$E$29, MATCH(DH53, Assumptions!$D$18:$D$29, 0))*$C$56, 0)</f>
        <v>0</v>
      </c>
    </row>
    <row r="57" spans="2:112" x14ac:dyDescent="0.3">
      <c r="B57" t="s">
        <v>468</v>
      </c>
      <c r="C57" s="512">
        <v>47269</v>
      </c>
      <c r="D57" t="s">
        <v>255</v>
      </c>
      <c r="F57" s="9">
        <f t="shared" ref="F57" si="1462">+F56+E57</f>
        <v>0</v>
      </c>
      <c r="G57" s="9">
        <f t="shared" ref="G57" si="1463">+G56+F57</f>
        <v>0</v>
      </c>
      <c r="H57" s="9">
        <f t="shared" ref="H57" si="1464">+H56+G57</f>
        <v>0</v>
      </c>
      <c r="I57" s="9">
        <f t="shared" ref="I57" si="1465">+I56+H57</f>
        <v>0</v>
      </c>
      <c r="J57" s="9">
        <f t="shared" ref="J57" si="1466">+J56+I57</f>
        <v>0</v>
      </c>
      <c r="K57" s="9">
        <f t="shared" ref="K57" si="1467">+K56+J57</f>
        <v>0</v>
      </c>
      <c r="L57" s="9">
        <f t="shared" ref="L57" si="1468">+L56+K57</f>
        <v>0</v>
      </c>
      <c r="M57" s="9">
        <f t="shared" ref="M57" si="1469">+M56+L57</f>
        <v>0</v>
      </c>
      <c r="N57" s="9">
        <f t="shared" ref="N57" si="1470">+N56+M57</f>
        <v>0</v>
      </c>
      <c r="O57" s="9">
        <f t="shared" ref="O57" si="1471">+O56+N57</f>
        <v>0</v>
      </c>
      <c r="P57" s="9">
        <f t="shared" ref="P57" si="1472">+P56+O57</f>
        <v>0</v>
      </c>
      <c r="Q57" s="9">
        <f t="shared" ref="Q57" si="1473">+Q56+P57</f>
        <v>0</v>
      </c>
      <c r="R57" s="9">
        <f t="shared" ref="R57" si="1474">+R56+Q57</f>
        <v>0</v>
      </c>
      <c r="S57" s="9">
        <f t="shared" ref="S57" si="1475">+S56+R57</f>
        <v>0</v>
      </c>
      <c r="T57" s="9">
        <f t="shared" ref="T57" si="1476">+T56+S57</f>
        <v>0</v>
      </c>
      <c r="U57" s="9">
        <f t="shared" ref="U57" si="1477">+U56+T57</f>
        <v>0</v>
      </c>
      <c r="V57" s="9">
        <f t="shared" ref="V57" si="1478">+V56+U57</f>
        <v>0</v>
      </c>
      <c r="W57" s="9">
        <f t="shared" ref="W57:AK57" si="1479">+W56+V57</f>
        <v>0</v>
      </c>
      <c r="X57" s="9">
        <f t="shared" si="1479"/>
        <v>0</v>
      </c>
      <c r="Y57" s="172">
        <f t="shared" si="1479"/>
        <v>0</v>
      </c>
      <c r="Z57" s="9">
        <f t="shared" si="1479"/>
        <v>0</v>
      </c>
      <c r="AA57" s="9">
        <f t="shared" si="1479"/>
        <v>0</v>
      </c>
      <c r="AB57" s="9">
        <f t="shared" si="1479"/>
        <v>0</v>
      </c>
      <c r="AC57" s="9">
        <f t="shared" si="1479"/>
        <v>0</v>
      </c>
      <c r="AD57" s="9">
        <f t="shared" si="1479"/>
        <v>0</v>
      </c>
      <c r="AE57" s="9">
        <f t="shared" si="1479"/>
        <v>0</v>
      </c>
      <c r="AF57" s="9">
        <f t="shared" si="1479"/>
        <v>0</v>
      </c>
      <c r="AG57" s="9">
        <f t="shared" si="1479"/>
        <v>0</v>
      </c>
      <c r="AH57" s="9">
        <f t="shared" si="1479"/>
        <v>0</v>
      </c>
      <c r="AI57" s="9">
        <f t="shared" si="1479"/>
        <v>0</v>
      </c>
      <c r="AJ57" s="9">
        <f t="shared" si="1479"/>
        <v>0</v>
      </c>
      <c r="AK57" s="9">
        <f t="shared" si="1479"/>
        <v>0</v>
      </c>
      <c r="AL57" s="9">
        <f t="shared" ref="AL57" si="1480">+AL56+AK57</f>
        <v>0</v>
      </c>
      <c r="AM57" s="9">
        <f t="shared" ref="AM57" si="1481">+AM56+AL57</f>
        <v>0</v>
      </c>
      <c r="AN57" s="9">
        <f t="shared" ref="AN57" si="1482">+AN56+AM57</f>
        <v>0</v>
      </c>
      <c r="AO57" s="9">
        <f t="shared" ref="AO57" si="1483">+AO56+AN57</f>
        <v>0</v>
      </c>
      <c r="AP57" s="9">
        <f t="shared" ref="AP57" si="1484">+AP56+AO57</f>
        <v>0</v>
      </c>
      <c r="AQ57" s="9">
        <f t="shared" ref="AQ57" si="1485">+AQ56+AP57</f>
        <v>0</v>
      </c>
      <c r="AR57" s="9">
        <f t="shared" ref="AR57" si="1486">+AR56+AQ57</f>
        <v>0</v>
      </c>
      <c r="AS57" s="9">
        <f t="shared" ref="AS57" si="1487">+AS56+AR57</f>
        <v>0</v>
      </c>
      <c r="AT57" s="9">
        <f t="shared" ref="AT57" si="1488">+AT56+AS57</f>
        <v>0</v>
      </c>
      <c r="AU57" s="9">
        <f t="shared" ref="AU57" si="1489">+AU56+AT57</f>
        <v>0</v>
      </c>
      <c r="AV57" s="9">
        <f t="shared" ref="AV57" si="1490">+AV56+AU57</f>
        <v>0</v>
      </c>
      <c r="AW57" s="9">
        <f t="shared" ref="AW57" si="1491">+AW56+AV57</f>
        <v>0</v>
      </c>
      <c r="AX57" s="9">
        <f t="shared" ref="AX57" si="1492">+AX56+AW57</f>
        <v>0</v>
      </c>
      <c r="AY57" s="9">
        <f t="shared" ref="AY57" si="1493">+AY56+AX57</f>
        <v>0</v>
      </c>
      <c r="AZ57" s="9">
        <f t="shared" ref="AZ57" si="1494">+AZ56+AY57</f>
        <v>0</v>
      </c>
      <c r="BA57" s="9">
        <f t="shared" ref="BA57" si="1495">+BA56+AZ57</f>
        <v>0</v>
      </c>
      <c r="BB57" s="9">
        <f t="shared" ref="BB57" si="1496">+BB56+BA57</f>
        <v>0</v>
      </c>
      <c r="BC57" s="9">
        <f t="shared" ref="BC57" si="1497">+BC56+BB57</f>
        <v>0</v>
      </c>
      <c r="BD57" s="9">
        <f t="shared" ref="BD57" si="1498">+BD56+BC57</f>
        <v>0</v>
      </c>
      <c r="BE57" s="9">
        <f t="shared" ref="BE57" si="1499">+BE56+BD57</f>
        <v>0</v>
      </c>
      <c r="BF57" s="9">
        <f t="shared" ref="BF57" si="1500">+BF56+BE57</f>
        <v>0</v>
      </c>
      <c r="BG57" s="9">
        <f t="shared" ref="BG57" si="1501">+BG56+BF57</f>
        <v>0</v>
      </c>
      <c r="BH57" s="9">
        <f t="shared" ref="BH57" si="1502">+BH56+BG57</f>
        <v>0</v>
      </c>
      <c r="BI57" s="9">
        <f t="shared" ref="BI57" si="1503">+BI56+BH57</f>
        <v>0</v>
      </c>
      <c r="BJ57" s="9">
        <f t="shared" ref="BJ57" si="1504">+BJ56+BI57</f>
        <v>0</v>
      </c>
      <c r="BK57" s="9">
        <f t="shared" ref="BK57" si="1505">+BK56+BJ57</f>
        <v>0</v>
      </c>
      <c r="BL57" s="9">
        <f t="shared" ref="BL57" si="1506">+BL56+BK57</f>
        <v>0</v>
      </c>
      <c r="BM57" s="9">
        <f t="shared" ref="BM57" si="1507">+BM56+BL57</f>
        <v>0</v>
      </c>
      <c r="BN57" s="9">
        <f t="shared" ref="BN57" si="1508">+BN56+BM57</f>
        <v>0</v>
      </c>
      <c r="BO57" s="9">
        <f t="shared" ref="BO57" si="1509">+BO56+BN57</f>
        <v>0</v>
      </c>
      <c r="BP57" s="9">
        <f t="shared" ref="BP57" si="1510">+BP56+BO57</f>
        <v>0</v>
      </c>
      <c r="BQ57" s="9">
        <f t="shared" ref="BQ57" si="1511">+BQ56+BP57</f>
        <v>0</v>
      </c>
      <c r="BR57" s="9">
        <f t="shared" ref="BR57" si="1512">+BR56+BQ57</f>
        <v>0</v>
      </c>
      <c r="BS57" s="9">
        <f t="shared" ref="BS57" si="1513">+BS56+BR57</f>
        <v>0</v>
      </c>
      <c r="BT57" s="9">
        <f t="shared" ref="BT57" si="1514">+BT56+BS57</f>
        <v>0</v>
      </c>
      <c r="BU57" s="9">
        <f t="shared" ref="BU57" si="1515">+BU56+BT57</f>
        <v>0</v>
      </c>
      <c r="BV57" s="9">
        <f t="shared" ref="BV57" si="1516">+BV56+BU57</f>
        <v>0</v>
      </c>
      <c r="BW57" s="9">
        <f t="shared" ref="BW57" si="1517">+BW56+BV57</f>
        <v>0</v>
      </c>
      <c r="BX57" s="9">
        <f t="shared" ref="BX57" si="1518">+BX56+BW57</f>
        <v>0</v>
      </c>
      <c r="BY57" s="9">
        <f t="shared" ref="BY57" si="1519">+BY56+BX57</f>
        <v>0</v>
      </c>
      <c r="BZ57" s="9">
        <f t="shared" ref="BZ57" si="1520">+BZ56+BY57</f>
        <v>0</v>
      </c>
      <c r="CA57" s="9">
        <f t="shared" ref="CA57" si="1521">+CA56+BZ57</f>
        <v>0</v>
      </c>
      <c r="CB57" s="9">
        <f t="shared" ref="CB57" si="1522">+CB56+CA57</f>
        <v>0</v>
      </c>
      <c r="CC57" s="9">
        <f t="shared" ref="CC57" si="1523">+CC56+CB57</f>
        <v>0</v>
      </c>
      <c r="CD57" s="9">
        <f t="shared" ref="CD57" si="1524">+CD56+CC57</f>
        <v>9040.4597555340497</v>
      </c>
      <c r="CE57" s="9">
        <f t="shared" ref="CE57" si="1525">+CE56+CD57</f>
        <v>10333.47430561926</v>
      </c>
      <c r="CF57" s="9">
        <f t="shared" ref="CF57" si="1526">+CF56+CE57</f>
        <v>63919.642178709291</v>
      </c>
      <c r="CG57" s="9">
        <f t="shared" ref="CG57" si="1527">+CG56+CF57</f>
        <v>68756.793647435479</v>
      </c>
      <c r="CH57" s="9">
        <f t="shared" ref="CH57" si="1528">+CH56+CG57</f>
        <v>287584.12842199224</v>
      </c>
      <c r="CI57" s="9">
        <f t="shared" ref="CI57" si="1529">+CI56+CH57</f>
        <v>680015.6672923509</v>
      </c>
      <c r="CJ57" s="9">
        <f t="shared" ref="CJ57" si="1530">+CJ56+CI57</f>
        <v>944442.83630563505</v>
      </c>
      <c r="CK57" s="9">
        <f t="shared" ref="CK57" si="1531">+CK56+CJ57</f>
        <v>1118931.6379482637</v>
      </c>
      <c r="CL57" s="9">
        <f t="shared" ref="CL57" si="1532">+CL56+CK57</f>
        <v>1155462.5980376403</v>
      </c>
      <c r="CM57" s="9">
        <f t="shared" ref="CM57" si="1533">+CM56+CL57</f>
        <v>1435216.9114384006</v>
      </c>
      <c r="CN57" s="9">
        <f t="shared" ref="CN57" si="1534">+CN56+CM57</f>
        <v>1500000.0000000002</v>
      </c>
      <c r="CO57" s="9">
        <f t="shared" ref="CO57" si="1535">+CO56+CN57</f>
        <v>1500000.0000000002</v>
      </c>
      <c r="CP57" s="9">
        <f t="shared" ref="CP57" si="1536">+CP56+CO57</f>
        <v>1500000.0000000002</v>
      </c>
      <c r="CQ57" s="9">
        <f t="shared" ref="CQ57" si="1537">+CQ56+CP57</f>
        <v>1500000.0000000002</v>
      </c>
      <c r="CR57" s="9">
        <f t="shared" ref="CR57" si="1538">+CR56+CQ57</f>
        <v>1500000.0000000002</v>
      </c>
      <c r="CS57" s="9">
        <f t="shared" ref="CS57" si="1539">+CS56+CR57</f>
        <v>1500000.0000000002</v>
      </c>
      <c r="CT57" s="9">
        <f t="shared" ref="CT57" si="1540">+CT56+CS57</f>
        <v>1500000.0000000002</v>
      </c>
      <c r="CU57" s="9">
        <f t="shared" ref="CU57" si="1541">+CU56+CT57</f>
        <v>1500000.0000000002</v>
      </c>
      <c r="CV57" s="9">
        <f t="shared" ref="CV57" si="1542">+CV56+CU57</f>
        <v>1500000.0000000002</v>
      </c>
      <c r="CW57" s="9">
        <f t="shared" ref="CW57" si="1543">+CW56+CV57</f>
        <v>1500000.0000000002</v>
      </c>
      <c r="CX57" s="9">
        <f t="shared" ref="CX57" si="1544">+CX56+CW57</f>
        <v>1500000.0000000002</v>
      </c>
      <c r="CY57" s="9">
        <f t="shared" ref="CY57" si="1545">+CY56+CX57</f>
        <v>1500000.0000000002</v>
      </c>
      <c r="CZ57" s="9">
        <f t="shared" ref="CZ57" si="1546">+CZ56+CY57</f>
        <v>1500000.0000000002</v>
      </c>
      <c r="DA57" s="9">
        <f t="shared" ref="DA57" si="1547">+DA56+CZ57</f>
        <v>1500000.0000000002</v>
      </c>
      <c r="DB57" s="9">
        <f t="shared" ref="DB57" si="1548">+DB56+DA57</f>
        <v>1500000.0000000002</v>
      </c>
      <c r="DC57" s="9">
        <f t="shared" ref="DC57" si="1549">+DC56+DB57</f>
        <v>1500000.0000000002</v>
      </c>
      <c r="DD57" s="9">
        <f t="shared" ref="DD57" si="1550">+DD56+DC57</f>
        <v>1500000.0000000002</v>
      </c>
      <c r="DE57" s="9">
        <f t="shared" ref="DE57" si="1551">+DE56+DD57</f>
        <v>1500000.0000000002</v>
      </c>
      <c r="DF57" s="9">
        <f t="shared" ref="DF57" si="1552">+DF56+DE57</f>
        <v>1500000.0000000002</v>
      </c>
      <c r="DG57" s="9">
        <f t="shared" ref="DG57:DH57" si="1553">+DG56+DF57</f>
        <v>1500000.0000000002</v>
      </c>
      <c r="DH57" s="9">
        <f t="shared" si="1553"/>
        <v>1500000.0000000002</v>
      </c>
    </row>
    <row r="58" spans="2:112" x14ac:dyDescent="0.3">
      <c r="B58" t="s">
        <v>486</v>
      </c>
      <c r="C58" s="514">
        <f>+EOMONTH(C57,12)</f>
        <v>47634</v>
      </c>
      <c r="D58" t="s">
        <v>290</v>
      </c>
      <c r="F58" s="459">
        <f>+IFERROR(INDEX(Assumptions!$F$31:$F$42, MATCH(F53, Assumptions!$D$31:$D$42, 0))*$C$55, 0)</f>
        <v>0</v>
      </c>
      <c r="G58" s="9">
        <f>+IFERROR(INDEX(Assumptions!$F$31:$F$42, MATCH(G53, Assumptions!$D$31:$D$42, 0))*$C$55, 0)</f>
        <v>0</v>
      </c>
      <c r="H58" s="9">
        <f>+IFERROR(INDEX(Assumptions!$F$31:$F$42, MATCH(H53, Assumptions!$D$31:$D$42, 0))*$C$55, 0)</f>
        <v>0</v>
      </c>
      <c r="I58" s="9">
        <f>+IFERROR(INDEX(Assumptions!$F$31:$F$42, MATCH(I53, Assumptions!$D$31:$D$42, 0))*$C$55, 0)</f>
        <v>0</v>
      </c>
      <c r="J58" s="9">
        <f>+IFERROR(INDEX(Assumptions!$F$31:$F$42, MATCH(J53, Assumptions!$D$31:$D$42, 0))*$C$55, 0)</f>
        <v>0</v>
      </c>
      <c r="K58" s="9">
        <f>+IFERROR(INDEX(Assumptions!$F$31:$F$42, MATCH(K53, Assumptions!$D$31:$D$42, 0))*$C$55, 0)</f>
        <v>0</v>
      </c>
      <c r="L58" s="9">
        <f>+IFERROR(INDEX(Assumptions!$F$31:$F$42, MATCH(L53, Assumptions!$D$31:$D$42, 0))*$C$55, 0)</f>
        <v>0</v>
      </c>
      <c r="M58" s="9">
        <f>+IFERROR(INDEX(Assumptions!$F$31:$F$42, MATCH(M53, Assumptions!$D$31:$D$42, 0))*$C$55, 0)</f>
        <v>0</v>
      </c>
      <c r="N58" s="9">
        <f>+IFERROR(INDEX(Assumptions!$F$31:$F$42, MATCH(N53, Assumptions!$D$31:$D$42, 0))*$C$55, 0)</f>
        <v>0</v>
      </c>
      <c r="O58" s="9">
        <f>+IFERROR(INDEX(Assumptions!$F$31:$F$42, MATCH(O53, Assumptions!$D$31:$D$42, 0))*$C$55, 0)</f>
        <v>0</v>
      </c>
      <c r="P58" s="9">
        <f>+IFERROR(INDEX(Assumptions!$F$31:$F$42, MATCH(P53, Assumptions!$D$31:$D$42, 0))*$C$55, 0)</f>
        <v>0</v>
      </c>
      <c r="Q58" s="9">
        <f>+IFERROR(INDEX(Assumptions!$F$31:$F$42, MATCH(Q53, Assumptions!$D$31:$D$42, 0))*$C$55, 0)</f>
        <v>0</v>
      </c>
      <c r="R58" s="9">
        <f>+IFERROR(INDEX(Assumptions!$F$31:$F$42, MATCH(R53, Assumptions!$D$31:$D$42, 0))*$C$55, 0)</f>
        <v>0</v>
      </c>
      <c r="S58" s="9">
        <f>+IFERROR(INDEX(Assumptions!$F$31:$F$42, MATCH(S53, Assumptions!$D$31:$D$42, 0))*$C$55, 0)</f>
        <v>0</v>
      </c>
      <c r="T58" s="9">
        <f>+IFERROR(INDEX(Assumptions!$F$31:$F$42, MATCH(T53, Assumptions!$D$31:$D$42, 0))*$C$55, 0)</f>
        <v>0</v>
      </c>
      <c r="U58" s="9">
        <f>+IFERROR(INDEX(Assumptions!$F$31:$F$42, MATCH(U53, Assumptions!$D$31:$D$42, 0))*$C$55, 0)</f>
        <v>0</v>
      </c>
      <c r="V58" s="9">
        <f>+IFERROR(INDEX(Assumptions!$F$31:$F$42, MATCH(V53, Assumptions!$D$31:$D$42, 0))*$C$55, 0)</f>
        <v>0</v>
      </c>
      <c r="W58" s="9">
        <f>+IFERROR(INDEX(Assumptions!$F$31:$F$42, MATCH(W53, Assumptions!$D$31:$D$42, 0))*$C$55, 0)</f>
        <v>0</v>
      </c>
      <c r="X58" s="9">
        <f>+IFERROR(INDEX(Assumptions!$F$31:$F$42, MATCH(X53, Assumptions!$D$31:$D$42, 0))*$C$55, 0)</f>
        <v>0</v>
      </c>
      <c r="Y58" s="172">
        <f>+IFERROR(INDEX(Assumptions!$F$31:$F$42, MATCH(Y53, Assumptions!$D$31:$D$42, 0))*$C$55, 0)</f>
        <v>0</v>
      </c>
      <c r="Z58" s="9">
        <f>+IFERROR(INDEX(Assumptions!$F$31:$F$42, MATCH(Z53, Assumptions!$D$31:$D$42, 0))*$C$55, 0)</f>
        <v>0</v>
      </c>
      <c r="AA58" s="9">
        <f>+IFERROR(INDEX(Assumptions!$F$31:$F$42, MATCH(AA53, Assumptions!$D$31:$D$42, 0))*$C$55, 0)</f>
        <v>0</v>
      </c>
      <c r="AB58" s="9">
        <f>+IFERROR(INDEX(Assumptions!$F$31:$F$42, MATCH(AB53, Assumptions!$D$31:$D$42, 0))*$C$55, 0)</f>
        <v>0</v>
      </c>
      <c r="AC58" s="9">
        <f>+IFERROR(INDEX(Assumptions!$F$31:$F$42, MATCH(AC53, Assumptions!$D$31:$D$42, 0))*$C$55, 0)</f>
        <v>0</v>
      </c>
      <c r="AD58" s="9">
        <f>+IFERROR(INDEX(Assumptions!$F$31:$F$42, MATCH(AD53, Assumptions!$D$31:$D$42, 0))*$C$55, 0)</f>
        <v>0</v>
      </c>
      <c r="AE58" s="9">
        <f>+IFERROR(INDEX(Assumptions!$F$31:$F$42, MATCH(AE53, Assumptions!$D$31:$D$42, 0))*$C$55, 0)</f>
        <v>0</v>
      </c>
      <c r="AF58" s="9">
        <f>+IFERROR(INDEX(Assumptions!$F$31:$F$42, MATCH(AF53, Assumptions!$D$31:$D$42, 0))*$C$55, 0)</f>
        <v>0</v>
      </c>
      <c r="AG58" s="9">
        <f>+IFERROR(INDEX(Assumptions!$F$31:$F$42, MATCH(AG53, Assumptions!$D$31:$D$42, 0))*$C$55, 0)</f>
        <v>0</v>
      </c>
      <c r="AH58" s="9">
        <f>+IFERROR(INDEX(Assumptions!$F$31:$F$42, MATCH(AH53, Assumptions!$D$31:$D$42, 0))*$C$55, 0)</f>
        <v>0</v>
      </c>
      <c r="AI58" s="9">
        <f>+IFERROR(INDEX(Assumptions!$F$31:$F$42, MATCH(AI53, Assumptions!$D$31:$D$42, 0))*$C$55, 0)</f>
        <v>0</v>
      </c>
      <c r="AJ58" s="9">
        <f>+IFERROR(INDEX(Assumptions!$F$31:$F$42, MATCH(AJ53, Assumptions!$D$31:$D$42, 0))*$C$55, 0)</f>
        <v>0</v>
      </c>
      <c r="AK58" s="9">
        <f>+IFERROR(INDEX(Assumptions!$F$31:$F$42, MATCH(AK53, Assumptions!$D$31:$D$42, 0))*$C$55, 0)</f>
        <v>0</v>
      </c>
      <c r="AL58" s="9">
        <f>+IFERROR(INDEX(Assumptions!$F$31:$F$42, MATCH(AL53, Assumptions!$D$31:$D$42, 0))*$C$55, 0)</f>
        <v>0</v>
      </c>
      <c r="AM58" s="9">
        <f>+IFERROR(INDEX(Assumptions!$F$31:$F$42, MATCH(AM53, Assumptions!$D$31:$D$42, 0))*$C$55, 0)</f>
        <v>0</v>
      </c>
      <c r="AN58" s="9">
        <f>+IFERROR(INDEX(Assumptions!$F$31:$F$42, MATCH(AN53, Assumptions!$D$31:$D$42, 0))*$C$55, 0)</f>
        <v>0</v>
      </c>
      <c r="AO58" s="9">
        <f>+IFERROR(INDEX(Assumptions!$F$31:$F$42, MATCH(AO53, Assumptions!$D$31:$D$42, 0))*$C$55, 0)</f>
        <v>0</v>
      </c>
      <c r="AP58" s="9">
        <f>+IFERROR(INDEX(Assumptions!$F$31:$F$42, MATCH(AP53, Assumptions!$D$31:$D$42, 0))*$C$55, 0)</f>
        <v>0</v>
      </c>
      <c r="AQ58" s="9">
        <f>+IFERROR(INDEX(Assumptions!$F$31:$F$42, MATCH(AQ53, Assumptions!$D$31:$D$42, 0))*$C$55, 0)</f>
        <v>0</v>
      </c>
      <c r="AR58" s="9">
        <f>+IFERROR(INDEX(Assumptions!$F$31:$F$42, MATCH(AR53, Assumptions!$D$31:$D$42, 0))*$C$55, 0)</f>
        <v>0</v>
      </c>
      <c r="AS58" s="9">
        <f>+IFERROR(INDEX(Assumptions!$F$31:$F$42, MATCH(AS53, Assumptions!$D$31:$D$42, 0))*$C$55, 0)</f>
        <v>0</v>
      </c>
      <c r="AT58" s="9">
        <f>+IFERROR(INDEX(Assumptions!$F$31:$F$42, MATCH(AT53, Assumptions!$D$31:$D$42, 0))*$C$55, 0)</f>
        <v>0</v>
      </c>
      <c r="AU58" s="9">
        <f>+IFERROR(INDEX(Assumptions!$F$31:$F$42, MATCH(AU53, Assumptions!$D$31:$D$42, 0))*$C$55, 0)</f>
        <v>0</v>
      </c>
      <c r="AV58" s="9">
        <f>+IFERROR(INDEX(Assumptions!$F$31:$F$42, MATCH(AV53, Assumptions!$D$31:$D$42, 0))*$C$55, 0)</f>
        <v>0</v>
      </c>
      <c r="AW58" s="9">
        <f>+IFERROR(INDEX(Assumptions!$F$31:$F$42, MATCH(AW53, Assumptions!$D$31:$D$42, 0))*$C$55, 0)</f>
        <v>0</v>
      </c>
      <c r="AX58" s="9">
        <f>+IFERROR(INDEX(Assumptions!$F$31:$F$42, MATCH(AX53, Assumptions!$D$31:$D$42, 0))*$C$55, 0)</f>
        <v>0</v>
      </c>
      <c r="AY58" s="9">
        <f>+IFERROR(INDEX(Assumptions!$F$31:$F$42, MATCH(AY53, Assumptions!$D$31:$D$42, 0))*$C$55, 0)</f>
        <v>0</v>
      </c>
      <c r="AZ58" s="9">
        <f>+IFERROR(INDEX(Assumptions!$F$31:$F$42, MATCH(AZ53, Assumptions!$D$31:$D$42, 0))*$C$55, 0)</f>
        <v>0</v>
      </c>
      <c r="BA58" s="9">
        <f>+IFERROR(INDEX(Assumptions!$F$31:$F$42, MATCH(BA53, Assumptions!$D$31:$D$42, 0))*$C$55, 0)</f>
        <v>0</v>
      </c>
      <c r="BB58" s="9">
        <f>+IFERROR(INDEX(Assumptions!$F$31:$F$42, MATCH(BB53, Assumptions!$D$31:$D$42, 0))*$C$55, 0)</f>
        <v>0</v>
      </c>
      <c r="BC58" s="9">
        <f>+IFERROR(INDEX(Assumptions!$F$31:$F$42, MATCH(BC53, Assumptions!$D$31:$D$42, 0))*$C$55, 0)</f>
        <v>0</v>
      </c>
      <c r="BD58" s="9">
        <f>+IFERROR(INDEX(Assumptions!$F$31:$F$42, MATCH(BD53, Assumptions!$D$31:$D$42, 0))*$C$55, 0)</f>
        <v>0</v>
      </c>
      <c r="BE58" s="9">
        <f>+IFERROR(INDEX(Assumptions!$F$31:$F$42, MATCH(BE53, Assumptions!$D$31:$D$42, 0))*$C$55, 0)</f>
        <v>0</v>
      </c>
      <c r="BF58" s="9">
        <f>+IFERROR(INDEX(Assumptions!$F$31:$F$42, MATCH(BF53, Assumptions!$D$31:$D$42, 0))*$C$55, 0)</f>
        <v>0</v>
      </c>
      <c r="BG58" s="9">
        <f>+IFERROR(INDEX(Assumptions!$F$31:$F$42, MATCH(BG53, Assumptions!$D$31:$D$42, 0))*$C$55, 0)</f>
        <v>0</v>
      </c>
      <c r="BH58" s="9">
        <f>+IFERROR(INDEX(Assumptions!$F$31:$F$42, MATCH(BH53, Assumptions!$D$31:$D$42, 0))*$C$55, 0)</f>
        <v>0</v>
      </c>
      <c r="BI58" s="9">
        <f>+IFERROR(INDEX(Assumptions!$F$31:$F$42, MATCH(BI53, Assumptions!$D$31:$D$42, 0))*$C$55, 0)</f>
        <v>0</v>
      </c>
      <c r="BJ58" s="9">
        <f>+IFERROR(INDEX(Assumptions!$F$31:$F$42, MATCH(BJ53, Assumptions!$D$31:$D$42, 0))*$C$55, 0)</f>
        <v>0</v>
      </c>
      <c r="BK58" s="9">
        <f>+IFERROR(INDEX(Assumptions!$F$31:$F$42, MATCH(BK53, Assumptions!$D$31:$D$42, 0))*$C$55, 0)</f>
        <v>0</v>
      </c>
      <c r="BL58" s="9">
        <f>+IFERROR(INDEX(Assumptions!$F$31:$F$42, MATCH(BL53, Assumptions!$D$31:$D$42, 0))*$C$55, 0)</f>
        <v>0</v>
      </c>
      <c r="BM58" s="9">
        <f>+IFERROR(INDEX(Assumptions!$F$31:$F$42, MATCH(BM53, Assumptions!$D$31:$D$42, 0))*$C$55, 0)</f>
        <v>0</v>
      </c>
      <c r="BN58" s="9">
        <f>+IFERROR(INDEX(Assumptions!$F$31:$F$42, MATCH(BN53, Assumptions!$D$31:$D$42, 0))*$C$55, 0)</f>
        <v>0</v>
      </c>
      <c r="BO58" s="9">
        <f>+IFERROR(INDEX(Assumptions!$F$31:$F$42, MATCH(BO53, Assumptions!$D$31:$D$42, 0))*$C$55, 0)</f>
        <v>0</v>
      </c>
      <c r="BP58" s="9">
        <f>+IFERROR(INDEX(Assumptions!$F$31:$F$42, MATCH(BP53, Assumptions!$D$31:$D$42, 0))*$C$55, 0)</f>
        <v>0</v>
      </c>
      <c r="BQ58" s="9">
        <f>+IFERROR(INDEX(Assumptions!$F$31:$F$42, MATCH(BQ53, Assumptions!$D$31:$D$42, 0))*$C$55, 0)</f>
        <v>0</v>
      </c>
      <c r="BR58" s="9">
        <f>+IFERROR(INDEX(Assumptions!$F$31:$F$42, MATCH(BR53, Assumptions!$D$31:$D$42, 0))*$C$55, 0)</f>
        <v>0</v>
      </c>
      <c r="BS58" s="9">
        <f>+IFERROR(INDEX(Assumptions!$F$31:$F$42, MATCH(BS53, Assumptions!$D$31:$D$42, 0))*$C$55, 0)</f>
        <v>0</v>
      </c>
      <c r="BT58" s="9">
        <f>+IFERROR(INDEX(Assumptions!$F$31:$F$42, MATCH(BT53, Assumptions!$D$31:$D$42, 0))*$C$55, 0)</f>
        <v>0</v>
      </c>
      <c r="BU58" s="9">
        <f>+IFERROR(INDEX(Assumptions!$F$31:$F$42, MATCH(BU53, Assumptions!$D$31:$D$42, 0))*$C$55, 0)</f>
        <v>0</v>
      </c>
      <c r="BV58" s="9">
        <f>+IFERROR(INDEX(Assumptions!$F$31:$F$42, MATCH(BV53, Assumptions!$D$31:$D$42, 0))*$C$55, 0)</f>
        <v>0</v>
      </c>
      <c r="BW58" s="9">
        <f>+IFERROR(INDEX(Assumptions!$F$31:$F$42, MATCH(BW53, Assumptions!$D$31:$D$42, 0))*$C$55, 0)</f>
        <v>0</v>
      </c>
      <c r="BX58" s="9">
        <f>+IFERROR(INDEX(Assumptions!$F$31:$F$42, MATCH(BX53, Assumptions!$D$31:$D$42, 0))*$C$55, 0)</f>
        <v>0</v>
      </c>
      <c r="BY58" s="9">
        <f>+IFERROR(INDEX(Assumptions!$F$31:$F$42, MATCH(BY53, Assumptions!$D$31:$D$42, 0))*$C$55, 0)</f>
        <v>0</v>
      </c>
      <c r="BZ58" s="9">
        <f>+IFERROR(INDEX(Assumptions!$F$31:$F$42, MATCH(BZ53, Assumptions!$D$31:$D$42, 0))*$C$55, 0)</f>
        <v>0</v>
      </c>
      <c r="CA58" s="9">
        <f>+IFERROR(INDEX(Assumptions!$F$31:$F$42, MATCH(CA53, Assumptions!$D$31:$D$42, 0))*$C$55, 0)</f>
        <v>0</v>
      </c>
      <c r="CB58" s="9">
        <f>+IFERROR(INDEX(Assumptions!$F$31:$F$42, MATCH(CB53, Assumptions!$D$31:$D$42, 0))*$C$55, 0)</f>
        <v>0</v>
      </c>
      <c r="CC58" s="9">
        <f>+IFERROR(INDEX(Assumptions!$F$31:$F$42, MATCH(CC53, Assumptions!$D$31:$D$42, 0))*$C$55, 0)</f>
        <v>450000</v>
      </c>
      <c r="CD58" s="9">
        <f>+IFERROR(INDEX(Assumptions!$F$31:$F$42, MATCH(CD53, Assumptions!$D$31:$D$42, 0))*$C$55, 0)</f>
        <v>0</v>
      </c>
      <c r="CE58" s="9">
        <f>+IFERROR(INDEX(Assumptions!$F$31:$F$42, MATCH(CE53, Assumptions!$D$31:$D$42, 0))*$C$55, 0)</f>
        <v>0</v>
      </c>
      <c r="CF58" s="9">
        <f>+IFERROR(INDEX(Assumptions!$F$31:$F$42, MATCH(CF53, Assumptions!$D$31:$D$42, 0))*$C$55, 0)</f>
        <v>0</v>
      </c>
      <c r="CG58" s="9">
        <f>+IFERROR(INDEX(Assumptions!$F$31:$F$42, MATCH(CG53, Assumptions!$D$31:$D$42, 0))*$C$55, 0)</f>
        <v>900000</v>
      </c>
      <c r="CH58" s="9">
        <f>+IFERROR(INDEX(Assumptions!$F$31:$F$42, MATCH(CH53, Assumptions!$D$31:$D$42, 0))*$C$55, 0)</f>
        <v>1125000</v>
      </c>
      <c r="CI58" s="9">
        <f>+IFERROR(INDEX(Assumptions!$F$31:$F$42, MATCH(CI53, Assumptions!$D$31:$D$42, 0))*$C$55, 0)</f>
        <v>675000</v>
      </c>
      <c r="CJ58" s="9">
        <f>+IFERROR(INDEX(Assumptions!$F$31:$F$42, MATCH(CJ53, Assumptions!$D$31:$D$42, 0))*$C$55, 0)</f>
        <v>0</v>
      </c>
      <c r="CK58" s="9">
        <f>+IFERROR(INDEX(Assumptions!$F$31:$F$42, MATCH(CK53, Assumptions!$D$31:$D$42, 0))*$C$55, 0)</f>
        <v>675000</v>
      </c>
      <c r="CL58" s="9">
        <f>+IFERROR(INDEX(Assumptions!$F$31:$F$42, MATCH(CL53, Assumptions!$D$31:$D$42, 0))*$C$55, 0)</f>
        <v>0</v>
      </c>
      <c r="CM58" s="9">
        <f>+IFERROR(INDEX(Assumptions!$F$31:$F$42, MATCH(CM53, Assumptions!$D$31:$D$42, 0))*$C$55, 0)</f>
        <v>675000</v>
      </c>
      <c r="CN58" s="9">
        <f>+IFERROR(INDEX(Assumptions!$F$31:$F$42, MATCH(CN53, Assumptions!$D$31:$D$42, 0))*$C$55, 0)</f>
        <v>0</v>
      </c>
      <c r="CO58" s="9">
        <f>+IFERROR(INDEX(Assumptions!$F$31:$F$42, MATCH(CO53, Assumptions!$D$31:$D$42, 0))*$C$55, 0)</f>
        <v>0</v>
      </c>
      <c r="CP58" s="9">
        <f>+IFERROR(INDEX(Assumptions!$F$31:$F$42, MATCH(CP53, Assumptions!$D$31:$D$42, 0))*$C$55, 0)</f>
        <v>0</v>
      </c>
      <c r="CQ58" s="9">
        <f>+IFERROR(INDEX(Assumptions!$F$31:$F$42, MATCH(CQ53, Assumptions!$D$31:$D$42, 0))*$C$55, 0)</f>
        <v>0</v>
      </c>
      <c r="CR58" s="9">
        <f>+IFERROR(INDEX(Assumptions!$F$31:$F$42, MATCH(CR53, Assumptions!$D$31:$D$42, 0))*$C$55, 0)</f>
        <v>0</v>
      </c>
      <c r="CS58" s="9">
        <f>+IFERROR(INDEX(Assumptions!$F$31:$F$42, MATCH(CS53, Assumptions!$D$31:$D$42, 0))*$C$55, 0)</f>
        <v>0</v>
      </c>
      <c r="CT58" s="9">
        <f>+IFERROR(INDEX(Assumptions!$F$31:$F$42, MATCH(CT53, Assumptions!$D$31:$D$42, 0))*$C$55, 0)</f>
        <v>0</v>
      </c>
      <c r="CU58" s="9">
        <f>+IFERROR(INDEX(Assumptions!$F$31:$F$42, MATCH(CU53, Assumptions!$D$31:$D$42, 0))*$C$55, 0)</f>
        <v>0</v>
      </c>
      <c r="CV58" s="9">
        <f>+IFERROR(INDEX(Assumptions!$F$31:$F$42, MATCH(CV53, Assumptions!$D$31:$D$42, 0))*$C$55, 0)</f>
        <v>0</v>
      </c>
      <c r="CW58" s="9">
        <f>+IFERROR(INDEX(Assumptions!$F$31:$F$42, MATCH(CW53, Assumptions!$D$31:$D$42, 0))*$C$55, 0)</f>
        <v>0</v>
      </c>
      <c r="CX58" s="9">
        <f>+IFERROR(INDEX(Assumptions!$F$31:$F$42, MATCH(CX53, Assumptions!$D$31:$D$42, 0))*$C$55, 0)</f>
        <v>0</v>
      </c>
      <c r="CY58" s="9">
        <f>+IFERROR(INDEX(Assumptions!$F$31:$F$42, MATCH(CY53, Assumptions!$D$31:$D$42, 0))*$C$55, 0)</f>
        <v>0</v>
      </c>
      <c r="CZ58" s="9">
        <f>+IFERROR(INDEX(Assumptions!$F$31:$F$42, MATCH(CZ53, Assumptions!$D$31:$D$42, 0))*$C$55, 0)</f>
        <v>0</v>
      </c>
      <c r="DA58" s="9">
        <f>+IFERROR(INDEX(Assumptions!$F$31:$F$42, MATCH(DA53, Assumptions!$D$31:$D$42, 0))*$C$55, 0)</f>
        <v>0</v>
      </c>
      <c r="DB58" s="9">
        <f>+IFERROR(INDEX(Assumptions!$F$31:$F$42, MATCH(DB53, Assumptions!$D$31:$D$42, 0))*$C$55, 0)</f>
        <v>0</v>
      </c>
      <c r="DC58" s="9">
        <f>+IFERROR(INDEX(Assumptions!$F$31:$F$42, MATCH(DC53, Assumptions!$D$31:$D$42, 0))*$C$55, 0)</f>
        <v>0</v>
      </c>
      <c r="DD58" s="9">
        <f>+IFERROR(INDEX(Assumptions!$F$31:$F$42, MATCH(DD53, Assumptions!$D$31:$D$42, 0))*$C$55, 0)</f>
        <v>0</v>
      </c>
      <c r="DE58" s="9">
        <f>+IFERROR(INDEX(Assumptions!$F$31:$F$42, MATCH(DE53, Assumptions!$D$31:$D$42, 0))*$C$55, 0)</f>
        <v>0</v>
      </c>
      <c r="DF58" s="9">
        <f>+IFERROR(INDEX(Assumptions!$F$31:$F$42, MATCH(DF53, Assumptions!$D$31:$D$42, 0))*$C$55, 0)</f>
        <v>0</v>
      </c>
      <c r="DG58" s="9">
        <f>+IFERROR(INDEX(Assumptions!$F$31:$F$42, MATCH(DG53, Assumptions!$D$31:$D$42, 0))*$C$55, 0)</f>
        <v>0</v>
      </c>
      <c r="DH58" s="9">
        <f>+IFERROR(INDEX(Assumptions!$F$31:$F$42, MATCH(DH53, Assumptions!$D$31:$D$42, 0))*$C$55, 0)</f>
        <v>0</v>
      </c>
    </row>
    <row r="59" spans="2:112" x14ac:dyDescent="0.3">
      <c r="D59" t="s">
        <v>289</v>
      </c>
      <c r="F59" s="9">
        <f t="shared" ref="F59" si="1554">+F58+E59</f>
        <v>0</v>
      </c>
      <c r="G59" s="9">
        <f t="shared" ref="G59" si="1555">+G58+F59</f>
        <v>0</v>
      </c>
      <c r="H59" s="9">
        <f t="shared" ref="H59" si="1556">+H58+G59</f>
        <v>0</v>
      </c>
      <c r="I59" s="9">
        <f t="shared" ref="I59" si="1557">+I58+H59</f>
        <v>0</v>
      </c>
      <c r="J59" s="9">
        <f t="shared" ref="J59" si="1558">+J58+I59</f>
        <v>0</v>
      </c>
      <c r="K59" s="9">
        <f t="shared" ref="K59" si="1559">+K58+J59</f>
        <v>0</v>
      </c>
      <c r="L59" s="9">
        <f t="shared" ref="L59" si="1560">+L58+K59</f>
        <v>0</v>
      </c>
      <c r="M59" s="9">
        <f t="shared" ref="M59" si="1561">+M58+L59</f>
        <v>0</v>
      </c>
      <c r="N59" s="9">
        <f t="shared" ref="N59" si="1562">+N58+M59</f>
        <v>0</v>
      </c>
      <c r="O59" s="9">
        <f t="shared" ref="O59" si="1563">+O58+N59</f>
        <v>0</v>
      </c>
      <c r="P59" s="9">
        <f t="shared" ref="P59" si="1564">+P58+O59</f>
        <v>0</v>
      </c>
      <c r="Q59" s="9">
        <f t="shared" ref="Q59" si="1565">+Q58+P59</f>
        <v>0</v>
      </c>
      <c r="R59" s="9">
        <f t="shared" ref="R59" si="1566">+R58+Q59</f>
        <v>0</v>
      </c>
      <c r="S59" s="9">
        <f t="shared" ref="S59" si="1567">+S58+R59</f>
        <v>0</v>
      </c>
      <c r="T59" s="9">
        <f t="shared" ref="T59" si="1568">+T58+S59</f>
        <v>0</v>
      </c>
      <c r="U59" s="9">
        <f t="shared" ref="U59" si="1569">+U58+T59</f>
        <v>0</v>
      </c>
      <c r="V59" s="9">
        <f t="shared" ref="V59" si="1570">+V58+U59</f>
        <v>0</v>
      </c>
      <c r="W59" s="9">
        <f>+W58+V59</f>
        <v>0</v>
      </c>
      <c r="X59" s="9">
        <f t="shared" ref="X59" si="1571">+X58+W59</f>
        <v>0</v>
      </c>
      <c r="Y59" s="172">
        <f t="shared" ref="Y59" si="1572">+Y58+X59</f>
        <v>0</v>
      </c>
      <c r="Z59" s="9">
        <f t="shared" ref="Z59" si="1573">+Z58+Y59</f>
        <v>0</v>
      </c>
      <c r="AA59" s="9">
        <f t="shared" ref="AA59" si="1574">+AA58+Z59</f>
        <v>0</v>
      </c>
      <c r="AB59" s="9">
        <f t="shared" ref="AB59" si="1575">+AB58+AA59</f>
        <v>0</v>
      </c>
      <c r="AC59" s="9">
        <f t="shared" ref="AC59" si="1576">+AC58+AB59</f>
        <v>0</v>
      </c>
      <c r="AD59" s="9">
        <f t="shared" ref="AD59" si="1577">+AD58+AC59</f>
        <v>0</v>
      </c>
      <c r="AE59" s="9">
        <f t="shared" ref="AE59" si="1578">+AE58+AD59</f>
        <v>0</v>
      </c>
      <c r="AF59" s="9">
        <f t="shared" ref="AF59" si="1579">+AF58+AE59</f>
        <v>0</v>
      </c>
      <c r="AG59" s="9">
        <f t="shared" ref="AG59" si="1580">+AG58+AF59</f>
        <v>0</v>
      </c>
      <c r="AH59" s="9">
        <f t="shared" ref="AH59" si="1581">+AH58+AG59</f>
        <v>0</v>
      </c>
      <c r="AI59" s="9">
        <f t="shared" ref="AI59" si="1582">+AI58+AH59</f>
        <v>0</v>
      </c>
      <c r="AJ59" s="9">
        <f t="shared" ref="AJ59" si="1583">+AJ58+AI59</f>
        <v>0</v>
      </c>
      <c r="AK59" s="9">
        <f t="shared" ref="AK59" si="1584">+AK58+AJ59</f>
        <v>0</v>
      </c>
      <c r="AL59" s="9">
        <f t="shared" ref="AL59" si="1585">+AL58+AK59</f>
        <v>0</v>
      </c>
      <c r="AM59" s="9">
        <f t="shared" ref="AM59" si="1586">+AM58+AL59</f>
        <v>0</v>
      </c>
      <c r="AN59" s="9">
        <f t="shared" ref="AN59" si="1587">+AN58+AM59</f>
        <v>0</v>
      </c>
      <c r="AO59" s="9">
        <f t="shared" ref="AO59" si="1588">+AO58+AN59</f>
        <v>0</v>
      </c>
      <c r="AP59" s="9">
        <f t="shared" ref="AP59" si="1589">+AP58+AO59</f>
        <v>0</v>
      </c>
      <c r="AQ59" s="9">
        <f t="shared" ref="AQ59" si="1590">+AQ58+AP59</f>
        <v>0</v>
      </c>
      <c r="AR59" s="9">
        <f t="shared" ref="AR59" si="1591">+AR58+AQ59</f>
        <v>0</v>
      </c>
      <c r="AS59" s="9">
        <f t="shared" ref="AS59" si="1592">+AS58+AR59</f>
        <v>0</v>
      </c>
      <c r="AT59" s="9">
        <f t="shared" ref="AT59" si="1593">+AT58+AS59</f>
        <v>0</v>
      </c>
      <c r="AU59" s="9">
        <f t="shared" ref="AU59" si="1594">+AU58+AT59</f>
        <v>0</v>
      </c>
      <c r="AV59" s="9">
        <f t="shared" ref="AV59" si="1595">+AV58+AU59</f>
        <v>0</v>
      </c>
      <c r="AW59" s="9">
        <f t="shared" ref="AW59" si="1596">+AW58+AV59</f>
        <v>0</v>
      </c>
      <c r="AX59" s="9">
        <f t="shared" ref="AX59" si="1597">+AX58+AW59</f>
        <v>0</v>
      </c>
      <c r="AY59" s="9">
        <f t="shared" ref="AY59" si="1598">+AY58+AX59</f>
        <v>0</v>
      </c>
      <c r="AZ59" s="9">
        <f t="shared" ref="AZ59" si="1599">+AZ58+AY59</f>
        <v>0</v>
      </c>
      <c r="BA59" s="9">
        <f t="shared" ref="BA59" si="1600">+BA58+AZ59</f>
        <v>0</v>
      </c>
      <c r="BB59" s="9">
        <f t="shared" ref="BB59" si="1601">+BB58+BA59</f>
        <v>0</v>
      </c>
      <c r="BC59" s="9">
        <f t="shared" ref="BC59" si="1602">+BC58+BB59</f>
        <v>0</v>
      </c>
      <c r="BD59" s="9">
        <f t="shared" ref="BD59" si="1603">+BD58+BC59</f>
        <v>0</v>
      </c>
      <c r="BE59" s="9">
        <f t="shared" ref="BE59" si="1604">+BE58+BD59</f>
        <v>0</v>
      </c>
      <c r="BF59" s="9">
        <f t="shared" ref="BF59" si="1605">+BF58+BE59</f>
        <v>0</v>
      </c>
      <c r="BG59" s="9">
        <f t="shared" ref="BG59" si="1606">+BG58+BF59</f>
        <v>0</v>
      </c>
      <c r="BH59" s="9">
        <f t="shared" ref="BH59" si="1607">+BH58+BG59</f>
        <v>0</v>
      </c>
      <c r="BI59" s="9">
        <f t="shared" ref="BI59" si="1608">+BI58+BH59</f>
        <v>0</v>
      </c>
      <c r="BJ59" s="9">
        <f t="shared" ref="BJ59" si="1609">+BJ58+BI59</f>
        <v>0</v>
      </c>
      <c r="BK59" s="9">
        <f t="shared" ref="BK59" si="1610">+BK58+BJ59</f>
        <v>0</v>
      </c>
      <c r="BL59" s="9">
        <f t="shared" ref="BL59" si="1611">+BL58+BK59</f>
        <v>0</v>
      </c>
      <c r="BM59" s="9">
        <f t="shared" ref="BM59" si="1612">+BM58+BL59</f>
        <v>0</v>
      </c>
      <c r="BN59" s="9">
        <f t="shared" ref="BN59" si="1613">+BN58+BM59</f>
        <v>0</v>
      </c>
      <c r="BO59" s="9">
        <f t="shared" ref="BO59" si="1614">+BO58+BN59</f>
        <v>0</v>
      </c>
      <c r="BP59" s="9">
        <f t="shared" ref="BP59" si="1615">+BP58+BO59</f>
        <v>0</v>
      </c>
      <c r="BQ59" s="9">
        <f t="shared" ref="BQ59" si="1616">+BQ58+BP59</f>
        <v>0</v>
      </c>
      <c r="BR59" s="9">
        <f t="shared" ref="BR59" si="1617">+BR58+BQ59</f>
        <v>0</v>
      </c>
      <c r="BS59" s="9">
        <f t="shared" ref="BS59" si="1618">+BS58+BR59</f>
        <v>0</v>
      </c>
      <c r="BT59" s="9">
        <f t="shared" ref="BT59" si="1619">+BT58+BS59</f>
        <v>0</v>
      </c>
      <c r="BU59" s="9">
        <f t="shared" ref="BU59" si="1620">+BU58+BT59</f>
        <v>0</v>
      </c>
      <c r="BV59" s="9">
        <f t="shared" ref="BV59" si="1621">+BV58+BU59</f>
        <v>0</v>
      </c>
      <c r="BW59" s="9">
        <f t="shared" ref="BW59" si="1622">+BW58+BV59</f>
        <v>0</v>
      </c>
      <c r="BX59" s="9">
        <f t="shared" ref="BX59" si="1623">+BX58+BW59</f>
        <v>0</v>
      </c>
      <c r="BY59" s="9">
        <f t="shared" ref="BY59" si="1624">+BY58+BX59</f>
        <v>0</v>
      </c>
      <c r="BZ59" s="9">
        <f t="shared" ref="BZ59" si="1625">+BZ58+BY59</f>
        <v>0</v>
      </c>
      <c r="CA59" s="9">
        <f t="shared" ref="CA59" si="1626">+CA58+BZ59</f>
        <v>0</v>
      </c>
      <c r="CB59" s="9">
        <f t="shared" ref="CB59" si="1627">+CB58+CA59</f>
        <v>0</v>
      </c>
      <c r="CC59" s="9">
        <f t="shared" ref="CC59" si="1628">+CC58+CB59</f>
        <v>450000</v>
      </c>
      <c r="CD59" s="9">
        <f t="shared" ref="CD59" si="1629">+CD58+CC59</f>
        <v>450000</v>
      </c>
      <c r="CE59" s="9">
        <f t="shared" ref="CE59" si="1630">+CE58+CD59</f>
        <v>450000</v>
      </c>
      <c r="CF59" s="9">
        <f t="shared" ref="CF59" si="1631">+CF58+CE59</f>
        <v>450000</v>
      </c>
      <c r="CG59" s="9">
        <f t="shared" ref="CG59" si="1632">+CG58+CF59</f>
        <v>1350000</v>
      </c>
      <c r="CH59" s="9">
        <f t="shared" ref="CH59" si="1633">+CH58+CG59</f>
        <v>2475000</v>
      </c>
      <c r="CI59" s="9">
        <f t="shared" ref="CI59" si="1634">+CI58+CH59</f>
        <v>3150000</v>
      </c>
      <c r="CJ59" s="9">
        <f t="shared" ref="CJ59" si="1635">+CJ58+CI59</f>
        <v>3150000</v>
      </c>
      <c r="CK59" s="9">
        <f t="shared" ref="CK59" si="1636">+CK58+CJ59</f>
        <v>3825000</v>
      </c>
      <c r="CL59" s="9">
        <f t="shared" ref="CL59" si="1637">+CL58+CK59</f>
        <v>3825000</v>
      </c>
      <c r="CM59" s="9">
        <f t="shared" ref="CM59" si="1638">+CM58+CL59</f>
        <v>4500000</v>
      </c>
      <c r="CN59" s="9">
        <f t="shared" ref="CN59" si="1639">+CN58+CM59</f>
        <v>4500000</v>
      </c>
      <c r="CO59" s="9">
        <f t="shared" ref="CO59" si="1640">+CO58+CN59</f>
        <v>4500000</v>
      </c>
      <c r="CP59" s="9">
        <f t="shared" ref="CP59" si="1641">+CP58+CO59</f>
        <v>4500000</v>
      </c>
      <c r="CQ59" s="9">
        <f t="shared" ref="CQ59" si="1642">+CQ58+CP59</f>
        <v>4500000</v>
      </c>
      <c r="CR59" s="9">
        <f t="shared" ref="CR59" si="1643">+CR58+CQ59</f>
        <v>4500000</v>
      </c>
      <c r="CS59" s="9">
        <f t="shared" ref="CS59" si="1644">+CS58+CR59</f>
        <v>4500000</v>
      </c>
      <c r="CT59" s="9">
        <f t="shared" ref="CT59" si="1645">+CT58+CS59</f>
        <v>4500000</v>
      </c>
      <c r="CU59" s="9">
        <f t="shared" ref="CU59" si="1646">+CU58+CT59</f>
        <v>4500000</v>
      </c>
      <c r="CV59" s="9">
        <f t="shared" ref="CV59" si="1647">+CV58+CU59</f>
        <v>4500000</v>
      </c>
      <c r="CW59" s="9">
        <f t="shared" ref="CW59" si="1648">+CW58+CV59</f>
        <v>4500000</v>
      </c>
      <c r="CX59" s="9">
        <f t="shared" ref="CX59" si="1649">+CX58+CW59</f>
        <v>4500000</v>
      </c>
      <c r="CY59" s="9">
        <f t="shared" ref="CY59" si="1650">+CY58+CX59</f>
        <v>4500000</v>
      </c>
      <c r="CZ59" s="9">
        <f t="shared" ref="CZ59" si="1651">+CZ58+CY59</f>
        <v>4500000</v>
      </c>
      <c r="DA59" s="9">
        <f t="shared" ref="DA59" si="1652">+DA58+CZ59</f>
        <v>4500000</v>
      </c>
      <c r="DB59" s="9">
        <f t="shared" ref="DB59" si="1653">+DB58+DA59</f>
        <v>4500000</v>
      </c>
      <c r="DC59" s="9">
        <f t="shared" ref="DC59" si="1654">+DC58+DB59</f>
        <v>4500000</v>
      </c>
      <c r="DD59" s="9">
        <f t="shared" ref="DD59" si="1655">+DD58+DC59</f>
        <v>4500000</v>
      </c>
      <c r="DE59" s="9">
        <f t="shared" ref="DE59" si="1656">+DE58+DD59</f>
        <v>4500000</v>
      </c>
      <c r="DF59" s="9">
        <f t="shared" ref="DF59" si="1657">+DF58+DE59</f>
        <v>4500000</v>
      </c>
      <c r="DG59" s="9">
        <f t="shared" ref="DG59:DH59" si="1658">+DG58+DF59</f>
        <v>4500000</v>
      </c>
      <c r="DH59" s="9">
        <f t="shared" si="1658"/>
        <v>4500000</v>
      </c>
    </row>
    <row r="60" spans="2:112" x14ac:dyDescent="0.3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72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</row>
    <row r="61" spans="2:112" x14ac:dyDescent="0.3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72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</row>
    <row r="62" spans="2:112" x14ac:dyDescent="0.3">
      <c r="F62" s="513">
        <f>+IF(F$3&lt;$C$66,0,IF(AND(F$3&gt;=$C$66,E62&lt;12, $C$67&gt;=F$3),E62+1,0))</f>
        <v>0</v>
      </c>
      <c r="G62" s="513">
        <f t="shared" ref="G62:BR62" si="1659">+IF(G$3&lt;$C$66,0,IF(AND(G$3&gt;=$C$66,F62&lt;12, $C$67&gt;=G$3),F62+1,0))</f>
        <v>0</v>
      </c>
      <c r="H62" s="513">
        <f t="shared" si="1659"/>
        <v>0</v>
      </c>
      <c r="I62" s="513">
        <f t="shared" si="1659"/>
        <v>0</v>
      </c>
      <c r="J62" s="513">
        <f t="shared" si="1659"/>
        <v>0</v>
      </c>
      <c r="K62" s="513">
        <f t="shared" si="1659"/>
        <v>0</v>
      </c>
      <c r="L62" s="513">
        <f t="shared" si="1659"/>
        <v>0</v>
      </c>
      <c r="M62" s="513">
        <f t="shared" si="1659"/>
        <v>0</v>
      </c>
      <c r="N62" s="513">
        <f t="shared" si="1659"/>
        <v>0</v>
      </c>
      <c r="O62" s="513">
        <f t="shared" si="1659"/>
        <v>0</v>
      </c>
      <c r="P62" s="513">
        <f t="shared" si="1659"/>
        <v>0</v>
      </c>
      <c r="Q62" s="513">
        <f t="shared" si="1659"/>
        <v>0</v>
      </c>
      <c r="R62" s="513">
        <f t="shared" si="1659"/>
        <v>0</v>
      </c>
      <c r="S62" s="513">
        <f t="shared" si="1659"/>
        <v>0</v>
      </c>
      <c r="T62" s="513">
        <f t="shared" si="1659"/>
        <v>0</v>
      </c>
      <c r="U62" s="513">
        <f t="shared" si="1659"/>
        <v>0</v>
      </c>
      <c r="V62" s="82">
        <f t="shared" si="1659"/>
        <v>0</v>
      </c>
      <c r="W62" s="82">
        <f t="shared" si="1659"/>
        <v>0</v>
      </c>
      <c r="X62" s="82">
        <f t="shared" si="1659"/>
        <v>0</v>
      </c>
      <c r="Y62" s="252">
        <f t="shared" si="1659"/>
        <v>0</v>
      </c>
      <c r="Z62" s="513">
        <f t="shared" si="1659"/>
        <v>0</v>
      </c>
      <c r="AA62" s="513">
        <f t="shared" si="1659"/>
        <v>0</v>
      </c>
      <c r="AB62" s="513">
        <f t="shared" si="1659"/>
        <v>0</v>
      </c>
      <c r="AC62" s="513">
        <f t="shared" si="1659"/>
        <v>0</v>
      </c>
      <c r="AD62" s="513">
        <f t="shared" si="1659"/>
        <v>0</v>
      </c>
      <c r="AE62" s="513">
        <f t="shared" si="1659"/>
        <v>0</v>
      </c>
      <c r="AF62" s="513">
        <f t="shared" si="1659"/>
        <v>0</v>
      </c>
      <c r="AG62" s="513">
        <f t="shared" si="1659"/>
        <v>0</v>
      </c>
      <c r="AH62" s="513">
        <f t="shared" si="1659"/>
        <v>0</v>
      </c>
      <c r="AI62" s="513">
        <f t="shared" si="1659"/>
        <v>0</v>
      </c>
      <c r="AJ62" s="513">
        <f t="shared" si="1659"/>
        <v>0</v>
      </c>
      <c r="AK62" s="513">
        <f t="shared" si="1659"/>
        <v>0</v>
      </c>
      <c r="AL62" s="513">
        <f t="shared" si="1659"/>
        <v>0</v>
      </c>
      <c r="AM62" s="513">
        <f t="shared" si="1659"/>
        <v>0</v>
      </c>
      <c r="AN62" s="513">
        <f t="shared" si="1659"/>
        <v>0</v>
      </c>
      <c r="AO62" s="513">
        <f t="shared" si="1659"/>
        <v>0</v>
      </c>
      <c r="AP62" s="513">
        <f t="shared" si="1659"/>
        <v>0</v>
      </c>
      <c r="AQ62" s="513">
        <f t="shared" si="1659"/>
        <v>0</v>
      </c>
      <c r="AR62" s="513">
        <f t="shared" si="1659"/>
        <v>0</v>
      </c>
      <c r="AS62" s="513">
        <f t="shared" si="1659"/>
        <v>0</v>
      </c>
      <c r="AT62" s="513">
        <f t="shared" si="1659"/>
        <v>0</v>
      </c>
      <c r="AU62" s="513">
        <f t="shared" si="1659"/>
        <v>0</v>
      </c>
      <c r="AV62" s="513">
        <f t="shared" si="1659"/>
        <v>0</v>
      </c>
      <c r="AW62" s="513">
        <f t="shared" si="1659"/>
        <v>0</v>
      </c>
      <c r="AX62" s="513">
        <f t="shared" si="1659"/>
        <v>0</v>
      </c>
      <c r="AY62" s="513">
        <f t="shared" si="1659"/>
        <v>0</v>
      </c>
      <c r="AZ62" s="513">
        <f t="shared" si="1659"/>
        <v>0</v>
      </c>
      <c r="BA62" s="513">
        <f t="shared" si="1659"/>
        <v>0</v>
      </c>
      <c r="BB62" s="513">
        <f t="shared" si="1659"/>
        <v>0</v>
      </c>
      <c r="BC62" s="513">
        <f t="shared" si="1659"/>
        <v>0</v>
      </c>
      <c r="BD62" s="513">
        <f t="shared" si="1659"/>
        <v>0</v>
      </c>
      <c r="BE62" s="513">
        <f t="shared" si="1659"/>
        <v>0</v>
      </c>
      <c r="BF62" s="513">
        <f t="shared" si="1659"/>
        <v>0</v>
      </c>
      <c r="BG62" s="513">
        <f t="shared" si="1659"/>
        <v>0</v>
      </c>
      <c r="BH62" s="513">
        <f t="shared" si="1659"/>
        <v>0</v>
      </c>
      <c r="BI62" s="513">
        <f t="shared" si="1659"/>
        <v>0</v>
      </c>
      <c r="BJ62" s="513">
        <f t="shared" si="1659"/>
        <v>0</v>
      </c>
      <c r="BK62" s="513">
        <f t="shared" si="1659"/>
        <v>0</v>
      </c>
      <c r="BL62" s="513">
        <f t="shared" si="1659"/>
        <v>0</v>
      </c>
      <c r="BM62" s="513">
        <f t="shared" si="1659"/>
        <v>0</v>
      </c>
      <c r="BN62" s="513">
        <f t="shared" si="1659"/>
        <v>0</v>
      </c>
      <c r="BO62" s="513">
        <f t="shared" si="1659"/>
        <v>0</v>
      </c>
      <c r="BP62" s="513">
        <f t="shared" si="1659"/>
        <v>0</v>
      </c>
      <c r="BQ62" s="513">
        <f t="shared" si="1659"/>
        <v>0</v>
      </c>
      <c r="BR62" s="513">
        <f t="shared" si="1659"/>
        <v>0</v>
      </c>
      <c r="BS62" s="513">
        <f t="shared" ref="BS62:CV62" si="1660">+IF(BS$3&lt;$C$66,0,IF(AND(BS$3&gt;=$C$66,BR62&lt;12, $C$67&gt;=BS$3),BR62+1,0))</f>
        <v>0</v>
      </c>
      <c r="BT62" s="513">
        <f t="shared" si="1660"/>
        <v>0</v>
      </c>
      <c r="BU62" s="513">
        <f t="shared" si="1660"/>
        <v>0</v>
      </c>
      <c r="BV62" s="513">
        <f t="shared" si="1660"/>
        <v>0</v>
      </c>
      <c r="BW62" s="513">
        <f t="shared" si="1660"/>
        <v>0</v>
      </c>
      <c r="BX62" s="513">
        <f t="shared" si="1660"/>
        <v>0</v>
      </c>
      <c r="BY62" s="513">
        <f t="shared" si="1660"/>
        <v>0</v>
      </c>
      <c r="BZ62" s="513">
        <f t="shared" si="1660"/>
        <v>0</v>
      </c>
      <c r="CA62" s="513">
        <f t="shared" si="1660"/>
        <v>0</v>
      </c>
      <c r="CB62" s="513">
        <f t="shared" si="1660"/>
        <v>0</v>
      </c>
      <c r="CC62" s="513">
        <f t="shared" si="1660"/>
        <v>0</v>
      </c>
      <c r="CD62" s="513">
        <f t="shared" si="1660"/>
        <v>0</v>
      </c>
      <c r="CE62" s="513">
        <f t="shared" si="1660"/>
        <v>0</v>
      </c>
      <c r="CF62" s="513">
        <f t="shared" si="1660"/>
        <v>0</v>
      </c>
      <c r="CG62" s="513">
        <f t="shared" si="1660"/>
        <v>0</v>
      </c>
      <c r="CH62" s="513">
        <f t="shared" si="1660"/>
        <v>0</v>
      </c>
      <c r="CI62" s="513">
        <f t="shared" si="1660"/>
        <v>0</v>
      </c>
      <c r="CJ62" s="513">
        <f t="shared" si="1660"/>
        <v>0</v>
      </c>
      <c r="CK62" s="513">
        <f t="shared" si="1660"/>
        <v>1</v>
      </c>
      <c r="CL62" s="513">
        <f t="shared" si="1660"/>
        <v>2</v>
      </c>
      <c r="CM62" s="513">
        <f t="shared" si="1660"/>
        <v>3</v>
      </c>
      <c r="CN62" s="513">
        <f t="shared" si="1660"/>
        <v>4</v>
      </c>
      <c r="CO62" s="513">
        <f t="shared" si="1660"/>
        <v>5</v>
      </c>
      <c r="CP62" s="513">
        <f t="shared" si="1660"/>
        <v>6</v>
      </c>
      <c r="CQ62" s="513">
        <f t="shared" si="1660"/>
        <v>7</v>
      </c>
      <c r="CR62" s="513">
        <f t="shared" si="1660"/>
        <v>8</v>
      </c>
      <c r="CS62" s="513">
        <f t="shared" si="1660"/>
        <v>9</v>
      </c>
      <c r="CT62" s="513">
        <f t="shared" si="1660"/>
        <v>10</v>
      </c>
      <c r="CU62" s="513">
        <f t="shared" si="1660"/>
        <v>11</v>
      </c>
      <c r="CV62" s="513">
        <f t="shared" si="1660"/>
        <v>12</v>
      </c>
      <c r="CW62" s="513">
        <f t="shared" ref="CW62:DG62" si="1661">+IF(CW$3&lt;$C$66,0,IF(AND(CW$3&gt;=$C$66,CV62&lt;12, $C$67&gt;=CW$3),CV62+1,0))</f>
        <v>0</v>
      </c>
      <c r="CX62" s="513">
        <f t="shared" si="1661"/>
        <v>0</v>
      </c>
      <c r="CY62" s="513">
        <f t="shared" si="1661"/>
        <v>0</v>
      </c>
      <c r="CZ62" s="513">
        <f t="shared" si="1661"/>
        <v>0</v>
      </c>
      <c r="DA62" s="513">
        <f t="shared" si="1661"/>
        <v>0</v>
      </c>
      <c r="DB62" s="513">
        <f t="shared" si="1661"/>
        <v>0</v>
      </c>
      <c r="DC62" s="513">
        <f t="shared" si="1661"/>
        <v>0</v>
      </c>
      <c r="DD62" s="513">
        <f t="shared" si="1661"/>
        <v>0</v>
      </c>
      <c r="DE62" s="513">
        <f t="shared" si="1661"/>
        <v>0</v>
      </c>
      <c r="DF62" s="513">
        <f t="shared" si="1661"/>
        <v>0</v>
      </c>
      <c r="DG62" s="513">
        <f t="shared" si="1661"/>
        <v>0</v>
      </c>
      <c r="DH62" s="513">
        <f t="shared" ref="DH62" si="1662">+IF(DH$3&lt;$C$66,0,IF(AND(DH$3&gt;=$C$66,DG62&lt;12, $C$67&gt;=DH$3),DG62+1,0))</f>
        <v>0</v>
      </c>
    </row>
    <row r="63" spans="2:112" x14ac:dyDescent="0.3">
      <c r="B63" t="s">
        <v>487</v>
      </c>
      <c r="D63" t="s">
        <v>244</v>
      </c>
      <c r="E63" s="459"/>
      <c r="F63" s="459">
        <f>+IFERROR(INDEX(Assumptions!$F$5:$F$16, MATCH(F62, Assumptions!$D$5:$D$16, 0))*$C$64, 0)</f>
        <v>0</v>
      </c>
      <c r="G63" s="459">
        <f>+IFERROR(INDEX(Assumptions!$F$5:$F$16, MATCH(G62, Assumptions!$D$5:$D$16, 0))*$C$64, 0)</f>
        <v>0</v>
      </c>
      <c r="H63" s="459">
        <f>+IFERROR(INDEX(Assumptions!$F$5:$F$16, MATCH(H62, Assumptions!$D$5:$D$16, 0))*$C$64, 0)</f>
        <v>0</v>
      </c>
      <c r="I63" s="459">
        <f>+IFERROR(INDEX(Assumptions!$F$5:$F$16, MATCH(I62, Assumptions!$D$5:$D$16, 0))*$C$64, 0)</f>
        <v>0</v>
      </c>
      <c r="J63" s="459">
        <f>+IFERROR(INDEX(Assumptions!$F$5:$F$16, MATCH(J62, Assumptions!$D$5:$D$16, 0))*$C$64, 0)</f>
        <v>0</v>
      </c>
      <c r="K63" s="459">
        <f>+IFERROR(INDEX(Assumptions!$F$5:$F$16, MATCH(K62, Assumptions!$D$5:$D$16, 0))*$C$64, 0)</f>
        <v>0</v>
      </c>
      <c r="L63" s="459">
        <f>+IFERROR(INDEX(Assumptions!$F$5:$F$16, MATCH(L62, Assumptions!$D$5:$D$16, 0))*$C$64, 0)</f>
        <v>0</v>
      </c>
      <c r="M63" s="459">
        <f>+IFERROR(INDEX(Assumptions!$F$5:$F$16, MATCH(M62, Assumptions!$D$5:$D$16, 0))*$C$64, 0)</f>
        <v>0</v>
      </c>
      <c r="N63" s="459">
        <f>+IFERROR(INDEX(Assumptions!$F$5:$F$16, MATCH(N62, Assumptions!$D$5:$D$16, 0))*$C$64, 0)</f>
        <v>0</v>
      </c>
      <c r="O63" s="459">
        <f>+IFERROR(INDEX(Assumptions!$F$5:$F$16, MATCH(O62, Assumptions!$D$5:$D$16, 0))*$C$64, 0)</f>
        <v>0</v>
      </c>
      <c r="P63" s="459">
        <f>+IFERROR(INDEX(Assumptions!$F$5:$F$16, MATCH(P62, Assumptions!$D$5:$D$16, 0))*$C$64, 0)</f>
        <v>0</v>
      </c>
      <c r="Q63" s="511">
        <f>+IFERROR(INDEX(Assumptions!$F$5:$F$16, MATCH(Q62, Assumptions!$D$5:$D$16, 0))*$C$64, 0)</f>
        <v>0</v>
      </c>
      <c r="R63" s="459">
        <f>+IFERROR(INDEX(Assumptions!$F$5:$F$16, MATCH(R62, Assumptions!$D$5:$D$16, 0))*$C$64, 0)</f>
        <v>0</v>
      </c>
      <c r="S63" s="459">
        <f>+IFERROR(INDEX(Assumptions!$F$5:$F$16, MATCH(S62, Assumptions!$D$5:$D$16, 0))*$C$64, 0)</f>
        <v>0</v>
      </c>
      <c r="T63" s="459">
        <f>+IFERROR(INDEX(Assumptions!$F$5:$F$16, MATCH(T62, Assumptions!$D$5:$D$16, 0))*$C$64, 0)</f>
        <v>0</v>
      </c>
      <c r="U63" s="459">
        <f>+IFERROR(INDEX(Assumptions!$F$5:$F$16, MATCH(U62, Assumptions!$D$5:$D$16, 0))*$C$64, 0)</f>
        <v>0</v>
      </c>
      <c r="V63" s="535">
        <f>+IFERROR(INDEX(Assumptions!$F$5:$F$16, MATCH(V62, Assumptions!$D$5:$D$16, 0))*$C$64, 0)</f>
        <v>0</v>
      </c>
      <c r="W63" s="147">
        <f>+IFERROR(INDEX(Assumptions!$F$5:$F$16, MATCH(W62, Assumptions!$D$5:$D$16, 0))*$C$64, 0)</f>
        <v>0</v>
      </c>
      <c r="X63" s="147">
        <f>+IFERROR(INDEX(Assumptions!$F$5:$F$16, MATCH(X62, Assumptions!$D$5:$D$16, 0))*$C$64, 0)</f>
        <v>0</v>
      </c>
      <c r="Y63" s="347">
        <f>+IFERROR(INDEX(Assumptions!$F$5:$F$16, MATCH(Y62, Assumptions!$D$5:$D$16, 0))*$C$64, 0)</f>
        <v>0</v>
      </c>
      <c r="Z63" s="280">
        <f>+IFERROR(INDEX(Assumptions!$F$5:$F$16, MATCH(Z62, Assumptions!$D$5:$D$16, 0))*$C$64, 0)</f>
        <v>0</v>
      </c>
      <c r="AA63" s="280">
        <f>+IFERROR(INDEX(Assumptions!$F$5:$F$16, MATCH(AA62, Assumptions!$D$5:$D$16, 0))*$C$64, 0)</f>
        <v>0</v>
      </c>
      <c r="AB63" s="280">
        <f>+IFERROR(INDEX(Assumptions!$F$5:$F$16, MATCH(AB62, Assumptions!$D$5:$D$16, 0))*$C$64, 0)</f>
        <v>0</v>
      </c>
      <c r="AC63" s="280">
        <f>+IFERROR(INDEX(Assumptions!$F$5:$F$16, MATCH(AC62, Assumptions!$D$5:$D$16, 0))*$C$64, 0)</f>
        <v>0</v>
      </c>
      <c r="AD63" s="280">
        <f>+IFERROR(INDEX(Assumptions!$F$5:$F$16, MATCH(AD62, Assumptions!$D$5:$D$16, 0))*$C$64, 0)</f>
        <v>0</v>
      </c>
      <c r="AE63" s="280">
        <f>+IFERROR(INDEX(Assumptions!$F$5:$F$16, MATCH(AE62, Assumptions!$D$5:$D$16, 0))*$C$64, 0)</f>
        <v>0</v>
      </c>
      <c r="AF63" s="280">
        <f>+IFERROR(INDEX(Assumptions!$F$5:$F$16, MATCH(AF62, Assumptions!$D$5:$D$16, 0))*$C$64, 0)</f>
        <v>0</v>
      </c>
      <c r="AG63" s="280">
        <f>+IFERROR(INDEX(Assumptions!$F$5:$F$16, MATCH(AG62, Assumptions!$D$5:$D$16, 0))*$C$64, 0)</f>
        <v>0</v>
      </c>
      <c r="AH63" s="280">
        <f>+IFERROR(INDEX(Assumptions!$F$5:$F$16, MATCH(AH62, Assumptions!$D$5:$D$16, 0))*$C$64, 0)</f>
        <v>0</v>
      </c>
      <c r="AI63" s="280">
        <f>+IFERROR(INDEX(Assumptions!$F$5:$F$16, MATCH(AI62, Assumptions!$D$5:$D$16, 0))*$C$64, 0)</f>
        <v>0</v>
      </c>
      <c r="AJ63" s="280">
        <f>+IFERROR(INDEX(Assumptions!$F$5:$F$16, MATCH(AJ62, Assumptions!$D$5:$D$16, 0))*$C$64, 0)</f>
        <v>0</v>
      </c>
      <c r="AK63" s="280">
        <f>+IFERROR(INDEX(Assumptions!$F$5:$F$16, MATCH(AK62, Assumptions!$D$5:$D$16, 0))*$C$64, 0)</f>
        <v>0</v>
      </c>
      <c r="AL63" s="280">
        <f>+IFERROR(INDEX(Assumptions!$F$5:$F$16, MATCH(AL62, Assumptions!$D$5:$D$16, 0))*$C$64, 0)</f>
        <v>0</v>
      </c>
      <c r="AM63" s="280">
        <f>+IFERROR(INDEX(Assumptions!$F$5:$F$16, MATCH(AM62, Assumptions!$D$5:$D$16, 0))*$C$64, 0)</f>
        <v>0</v>
      </c>
      <c r="AN63" s="280">
        <f>+IFERROR(INDEX(Assumptions!$F$5:$F$16, MATCH(AN62, Assumptions!$D$5:$D$16, 0))*$C$64, 0)</f>
        <v>0</v>
      </c>
      <c r="AO63" s="280">
        <f>+IFERROR(INDEX(Assumptions!$F$5:$F$16, MATCH(AO62, Assumptions!$D$5:$D$16, 0))*$C$64, 0)</f>
        <v>0</v>
      </c>
      <c r="AP63" s="280">
        <f>+IFERROR(INDEX(Assumptions!$F$5:$F$16, MATCH(AP62, Assumptions!$D$5:$D$16, 0))*$C$64, 0)</f>
        <v>0</v>
      </c>
      <c r="AQ63" s="280">
        <f>+IFERROR(INDEX(Assumptions!$F$5:$F$16, MATCH(AQ62, Assumptions!$D$5:$D$16, 0))*$C$64, 0)</f>
        <v>0</v>
      </c>
      <c r="AR63" s="280">
        <f>+IFERROR(INDEX(Assumptions!$F$5:$F$16, MATCH(AR62, Assumptions!$D$5:$D$16, 0))*$C$64, 0)</f>
        <v>0</v>
      </c>
      <c r="AS63" s="280">
        <f>+IFERROR(INDEX(Assumptions!$F$5:$F$16, MATCH(AS62, Assumptions!$D$5:$D$16, 0))*$C$64, 0)</f>
        <v>0</v>
      </c>
      <c r="AT63" s="280">
        <f>+IFERROR(INDEX(Assumptions!$F$5:$F$16, MATCH(AT62, Assumptions!$D$5:$D$16, 0))*$C$64, 0)</f>
        <v>0</v>
      </c>
      <c r="AU63" s="280">
        <f>+IFERROR(INDEX(Assumptions!$F$5:$F$16, MATCH(AU62, Assumptions!$D$5:$D$16, 0))*$C$64, 0)</f>
        <v>0</v>
      </c>
      <c r="AV63" s="280">
        <f>+IFERROR(INDEX(Assumptions!$F$5:$F$16, MATCH(AV62, Assumptions!$D$5:$D$16, 0))*$C$64, 0)</f>
        <v>0</v>
      </c>
      <c r="AW63" s="280">
        <f>+IFERROR(INDEX(Assumptions!$F$5:$F$16, MATCH(AW62, Assumptions!$D$5:$D$16, 0))*$C$64, 0)</f>
        <v>0</v>
      </c>
      <c r="AX63" s="280">
        <f>+IFERROR(INDEX(Assumptions!$F$5:$F$16, MATCH(AX62, Assumptions!$D$5:$D$16, 0))*$C$64, 0)</f>
        <v>0</v>
      </c>
      <c r="AY63" s="280">
        <f>+IFERROR(INDEX(Assumptions!$F$5:$F$16, MATCH(AY62, Assumptions!$D$5:$D$16, 0))*$C$64, 0)</f>
        <v>0</v>
      </c>
      <c r="AZ63" s="280">
        <f>+IFERROR(INDEX(Assumptions!$F$5:$F$16, MATCH(AZ62, Assumptions!$D$5:$D$16, 0))*$C$64, 0)</f>
        <v>0</v>
      </c>
      <c r="BA63" s="280">
        <f>+IFERROR(INDEX(Assumptions!$F$5:$F$16, MATCH(BA62, Assumptions!$D$5:$D$16, 0))*$C$64, 0)</f>
        <v>0</v>
      </c>
      <c r="BB63" s="280">
        <f>+IFERROR(INDEX(Assumptions!$F$5:$F$16, MATCH(BB62, Assumptions!$D$5:$D$16, 0))*$C$64, 0)</f>
        <v>0</v>
      </c>
      <c r="BC63" s="280">
        <f>+IFERROR(INDEX(Assumptions!$F$5:$F$16, MATCH(BC62, Assumptions!$D$5:$D$16, 0))*$C$64, 0)</f>
        <v>0</v>
      </c>
      <c r="BD63" s="280">
        <f>+IFERROR(INDEX(Assumptions!$F$5:$F$16, MATCH(BD62, Assumptions!$D$5:$D$16, 0))*$C$64, 0)</f>
        <v>0</v>
      </c>
      <c r="BE63" s="280">
        <f>+IFERROR(INDEX(Assumptions!$F$5:$F$16, MATCH(BE62, Assumptions!$D$5:$D$16, 0))*$C$64, 0)</f>
        <v>0</v>
      </c>
      <c r="BF63" s="280">
        <f>+IFERROR(INDEX(Assumptions!$F$5:$F$16, MATCH(BF62, Assumptions!$D$5:$D$16, 0))*$C$64, 0)</f>
        <v>0</v>
      </c>
      <c r="BG63" s="280">
        <f>+IFERROR(INDEX(Assumptions!$F$5:$F$16, MATCH(BG62, Assumptions!$D$5:$D$16, 0))*$C$64, 0)</f>
        <v>0</v>
      </c>
      <c r="BH63" s="280">
        <f>+IFERROR(INDEX(Assumptions!$F$5:$F$16, MATCH(BH62, Assumptions!$D$5:$D$16, 0))*$C$64, 0)</f>
        <v>0</v>
      </c>
      <c r="BI63" s="280">
        <f>+IFERROR(INDEX(Assumptions!$F$5:$F$16, MATCH(BI62, Assumptions!$D$5:$D$16, 0))*$C$64, 0)</f>
        <v>0</v>
      </c>
      <c r="BJ63" s="280">
        <f>+IFERROR(INDEX(Assumptions!$F$5:$F$16, MATCH(BJ62, Assumptions!$D$5:$D$16, 0))*$C$64, 0)</f>
        <v>0</v>
      </c>
      <c r="BK63" s="280">
        <f>+IFERROR(INDEX(Assumptions!$F$5:$F$16, MATCH(BK62, Assumptions!$D$5:$D$16, 0))*$C$64, 0)</f>
        <v>0</v>
      </c>
      <c r="BL63" s="280">
        <f>+IFERROR(INDEX(Assumptions!$F$5:$F$16, MATCH(BL62, Assumptions!$D$5:$D$16, 0))*$C$64, 0)</f>
        <v>0</v>
      </c>
      <c r="BM63" s="280">
        <f>+IFERROR(INDEX(Assumptions!$F$5:$F$16, MATCH(BM62, Assumptions!$D$5:$D$16, 0))*$C$64, 0)</f>
        <v>0</v>
      </c>
      <c r="BN63" s="280">
        <f>+IFERROR(INDEX(Assumptions!$F$5:$F$16, MATCH(BN62, Assumptions!$D$5:$D$16, 0))*$C$64, 0)</f>
        <v>0</v>
      </c>
      <c r="BO63" s="280">
        <f>+IFERROR(INDEX(Assumptions!$F$5:$F$16, MATCH(BO62, Assumptions!$D$5:$D$16, 0))*$C$64, 0)</f>
        <v>0</v>
      </c>
      <c r="BP63" s="280">
        <f>+IFERROR(INDEX(Assumptions!$F$5:$F$16, MATCH(BP62, Assumptions!$D$5:$D$16, 0))*$C$64, 0)</f>
        <v>0</v>
      </c>
      <c r="BQ63" s="280">
        <f>+IFERROR(INDEX(Assumptions!$F$5:$F$16, MATCH(BQ62, Assumptions!$D$5:$D$16, 0))*$C$64, 0)</f>
        <v>0</v>
      </c>
      <c r="BR63" s="280">
        <f>+IFERROR(INDEX(Assumptions!$F$5:$F$16, MATCH(BR62, Assumptions!$D$5:$D$16, 0))*$C$64, 0)</f>
        <v>0</v>
      </c>
      <c r="BS63" s="280">
        <f>+IFERROR(INDEX(Assumptions!$F$5:$F$16, MATCH(BS62, Assumptions!$D$5:$D$16, 0))*$C$64, 0)</f>
        <v>0</v>
      </c>
      <c r="BT63" s="280">
        <f>+IFERROR(INDEX(Assumptions!$F$5:$F$16, MATCH(BT62, Assumptions!$D$5:$D$16, 0))*$C$64, 0)</f>
        <v>0</v>
      </c>
      <c r="BU63" s="280">
        <f>+IFERROR(INDEX(Assumptions!$F$5:$F$16, MATCH(BU62, Assumptions!$D$5:$D$16, 0))*$C$64, 0)</f>
        <v>0</v>
      </c>
      <c r="BV63" s="280">
        <f>+IFERROR(INDEX(Assumptions!$F$5:$F$16, MATCH(BV62, Assumptions!$D$5:$D$16, 0))*$C$64, 0)</f>
        <v>0</v>
      </c>
      <c r="BW63" s="280">
        <f>+IFERROR(INDEX(Assumptions!$F$5:$F$16, MATCH(BW62, Assumptions!$D$5:$D$16, 0))*$C$64, 0)</f>
        <v>0</v>
      </c>
      <c r="BX63" s="280">
        <f>+IFERROR(INDEX(Assumptions!$F$5:$F$16, MATCH(BX62, Assumptions!$D$5:$D$16, 0))*$C$64, 0)</f>
        <v>0</v>
      </c>
      <c r="BY63" s="280">
        <f>+IFERROR(INDEX(Assumptions!$F$5:$F$16, MATCH(BY62, Assumptions!$D$5:$D$16, 0))*$C$64, 0)</f>
        <v>0</v>
      </c>
      <c r="BZ63" s="280">
        <f>+IFERROR(INDEX(Assumptions!$F$5:$F$16, MATCH(BZ62, Assumptions!$D$5:$D$16, 0))*$C$64, 0)</f>
        <v>0</v>
      </c>
      <c r="CA63" s="280">
        <f>+IFERROR(INDEX(Assumptions!$F$5:$F$16, MATCH(CA62, Assumptions!$D$5:$D$16, 0))*$C$64, 0)</f>
        <v>0</v>
      </c>
      <c r="CB63" s="280">
        <f>+IFERROR(INDEX(Assumptions!$F$5:$F$16, MATCH(CB62, Assumptions!$D$5:$D$16, 0))*$C$64, 0)</f>
        <v>0</v>
      </c>
      <c r="CC63" s="280">
        <f>+IFERROR(INDEX(Assumptions!$F$5:$F$16, MATCH(CC62, Assumptions!$D$5:$D$16, 0))*$C$64, 0)</f>
        <v>0</v>
      </c>
      <c r="CD63" s="280">
        <f>+IFERROR(INDEX(Assumptions!$F$5:$F$16, MATCH(CD62, Assumptions!$D$5:$D$16, 0))*$C$64, 0)</f>
        <v>0</v>
      </c>
      <c r="CE63" s="280">
        <f>+IFERROR(INDEX(Assumptions!$F$5:$F$16, MATCH(CE62, Assumptions!$D$5:$D$16, 0))*$C$64, 0)</f>
        <v>0</v>
      </c>
      <c r="CF63" s="280">
        <f>+IFERROR(INDEX(Assumptions!$F$5:$F$16, MATCH(CF62, Assumptions!$D$5:$D$16, 0))*$C$64, 0)</f>
        <v>0</v>
      </c>
      <c r="CG63" s="280">
        <f>+IFERROR(INDEX(Assumptions!$F$5:$F$16, MATCH(CG62, Assumptions!$D$5:$D$16, 0))*$C$64, 0)</f>
        <v>0</v>
      </c>
      <c r="CH63" s="280">
        <f>+IFERROR(INDEX(Assumptions!$F$5:$F$16, MATCH(CH62, Assumptions!$D$5:$D$16, 0))*$C$64, 0)</f>
        <v>0</v>
      </c>
      <c r="CI63" s="280">
        <f>+IFERROR(INDEX(Assumptions!$F$5:$F$16, MATCH(CI62, Assumptions!$D$5:$D$16, 0))*$C$64, 0)</f>
        <v>0</v>
      </c>
      <c r="CJ63" s="280">
        <f>+IFERROR(INDEX(Assumptions!$F$5:$F$16, MATCH(CJ62, Assumptions!$D$5:$D$16, 0))*$C$64, 0)</f>
        <v>0</v>
      </c>
      <c r="CK63" s="280">
        <f>+IFERROR(INDEX(Assumptions!$F$5:$F$16, MATCH(CK62, Assumptions!$D$5:$D$16, 0))*$C$64, 0)</f>
        <v>0</v>
      </c>
      <c r="CL63" s="280">
        <f>+IFERROR(INDEX(Assumptions!$F$5:$F$16, MATCH(CL62, Assumptions!$D$5:$D$16, 0))*$C$64, 0)</f>
        <v>29532.16853474456</v>
      </c>
      <c r="CM63" s="280">
        <f>+IFERROR(INDEX(Assumptions!$F$5:$F$16, MATCH(CM62, Assumptions!$D$5:$D$16, 0))*$C$64, 0)</f>
        <v>4223.8475302783572</v>
      </c>
      <c r="CN63" s="280">
        <f>+IFERROR(INDEX(Assumptions!$F$5:$F$16, MATCH(CN62, Assumptions!$D$5:$D$16, 0))*$C$64, 0)</f>
        <v>175048.14838542743</v>
      </c>
      <c r="CO63" s="280">
        <f>+IFERROR(INDEX(Assumptions!$F$5:$F$16, MATCH(CO62, Assumptions!$D$5:$D$16, 0))*$C$64, 0)</f>
        <v>15801.361464505526</v>
      </c>
      <c r="CP63" s="280">
        <f>+IFERROR(INDEX(Assumptions!$F$5:$F$16, MATCH(CP62, Assumptions!$D$5:$D$16, 0))*$C$64, 0)</f>
        <v>714835.96026355214</v>
      </c>
      <c r="CQ63" s="280">
        <f>+IFERROR(INDEX(Assumptions!$F$5:$F$16, MATCH(CQ62, Assumptions!$D$5:$D$16, 0))*$C$64, 0)</f>
        <v>1281943.0269765051</v>
      </c>
      <c r="CR63" s="280">
        <f>+IFERROR(INDEX(Assumptions!$F$5:$F$16, MATCH(CR62, Assumptions!$D$5:$D$16, 0))*$C$64, 0)</f>
        <v>863795.41877672798</v>
      </c>
      <c r="CS63" s="280">
        <f>+IFERROR(INDEX(Assumptions!$F$5:$F$16, MATCH(CS62, Assumptions!$D$5:$D$16, 0))*$C$64, 0)</f>
        <v>569996.75203258696</v>
      </c>
      <c r="CT63" s="280">
        <f>+IFERROR(INDEX(Assumptions!$F$5:$F$16, MATCH(CT62, Assumptions!$D$5:$D$16, 0))*$C$64, 0)</f>
        <v>119334.46962529681</v>
      </c>
      <c r="CU63" s="280">
        <f>+IFERROR(INDEX(Assumptions!$F$5:$F$16, MATCH(CU62, Assumptions!$D$5:$D$16, 0))*$C$64, 0)</f>
        <v>913864.09044248343</v>
      </c>
      <c r="CV63" s="280">
        <f>+IFERROR(INDEX(Assumptions!$F$5:$F$16, MATCH(CV62, Assumptions!$D$5:$D$16, 0))*$C$64, 0)</f>
        <v>211624.7559678918</v>
      </c>
      <c r="CW63" s="280">
        <f>+IFERROR(INDEX(Assumptions!$F$5:$F$16, MATCH(CW62, Assumptions!$D$5:$D$16, 0))*$C$64, 0)</f>
        <v>0</v>
      </c>
      <c r="CX63" s="280">
        <f>+IFERROR(INDEX(Assumptions!$F$5:$F$16, MATCH(CX62, Assumptions!$D$5:$D$16, 0))*$C$64, 0)</f>
        <v>0</v>
      </c>
      <c r="CY63" s="280">
        <f>+IFERROR(INDEX(Assumptions!$F$5:$F$16, MATCH(CY62, Assumptions!$D$5:$D$16, 0))*$C$64, 0)</f>
        <v>0</v>
      </c>
      <c r="CZ63" s="280">
        <f>+IFERROR(INDEX(Assumptions!$F$5:$F$16, MATCH(CZ62, Assumptions!$D$5:$D$16, 0))*$C$64, 0)</f>
        <v>0</v>
      </c>
      <c r="DA63" s="280">
        <f>+IFERROR(INDEX(Assumptions!$F$5:$F$16, MATCH(DA62, Assumptions!$D$5:$D$16, 0))*$C$64, 0)</f>
        <v>0</v>
      </c>
      <c r="DB63" s="280">
        <f>+IFERROR(INDEX(Assumptions!$F$5:$F$16, MATCH(DB62, Assumptions!$D$5:$D$16, 0))*$C$64, 0)</f>
        <v>0</v>
      </c>
      <c r="DC63" s="280">
        <f>+IFERROR(INDEX(Assumptions!$F$5:$F$16, MATCH(DC62, Assumptions!$D$5:$D$16, 0))*$C$64, 0)</f>
        <v>0</v>
      </c>
      <c r="DD63" s="280">
        <f>+IFERROR(INDEX(Assumptions!$F$5:$F$16, MATCH(DD62, Assumptions!$D$5:$D$16, 0))*$C$64, 0)</f>
        <v>0</v>
      </c>
      <c r="DE63" s="280">
        <f>+IFERROR(INDEX(Assumptions!$F$5:$F$16, MATCH(DE62, Assumptions!$D$5:$D$16, 0))*$C$64, 0)</f>
        <v>0</v>
      </c>
      <c r="DF63" s="280">
        <f>+IFERROR(INDEX(Assumptions!$F$5:$F$16, MATCH(DF62, Assumptions!$D$5:$D$16, 0))*$C$64, 0)</f>
        <v>0</v>
      </c>
      <c r="DG63" s="280">
        <f>+IFERROR(INDEX(Assumptions!$F$5:$F$16, MATCH(DG62, Assumptions!$D$5:$D$16, 0))*$C$64, 0)</f>
        <v>0</v>
      </c>
      <c r="DH63" s="280">
        <f>+IFERROR(INDEX(Assumptions!$F$5:$F$16, MATCH(DH62, Assumptions!$D$5:$D$16, 0))*$C$64, 0)</f>
        <v>0</v>
      </c>
    </row>
    <row r="64" spans="2:112" x14ac:dyDescent="0.3">
      <c r="B64" t="s">
        <v>242</v>
      </c>
      <c r="C64" s="208">
        <v>4900000</v>
      </c>
      <c r="D64" t="s">
        <v>294</v>
      </c>
      <c r="E64" s="459"/>
      <c r="F64" s="459">
        <f t="shared" ref="F64" si="1663">+F63+E64</f>
        <v>0</v>
      </c>
      <c r="G64" s="459">
        <f t="shared" ref="G64" si="1664">+G63+F64</f>
        <v>0</v>
      </c>
      <c r="H64" s="459">
        <f t="shared" ref="H64" si="1665">+H63+G64</f>
        <v>0</v>
      </c>
      <c r="I64" s="459">
        <f t="shared" ref="I64" si="1666">+I63+H64</f>
        <v>0</v>
      </c>
      <c r="J64" s="459">
        <f t="shared" ref="J64" si="1667">+J63+I64</f>
        <v>0</v>
      </c>
      <c r="K64" s="459">
        <f t="shared" ref="K64" si="1668">+K63+J64</f>
        <v>0</v>
      </c>
      <c r="L64" s="459">
        <f t="shared" ref="L64" si="1669">+L63+K64</f>
        <v>0</v>
      </c>
      <c r="M64" s="459">
        <f t="shared" ref="M64" si="1670">+M63+L64</f>
        <v>0</v>
      </c>
      <c r="N64" s="459">
        <f t="shared" ref="N64" si="1671">+N63+M64</f>
        <v>0</v>
      </c>
      <c r="O64" s="459">
        <f t="shared" ref="O64" si="1672">+O63+N64</f>
        <v>0</v>
      </c>
      <c r="P64" s="459">
        <f t="shared" ref="P64" si="1673">+P63+O64</f>
        <v>0</v>
      </c>
      <c r="Q64" s="459">
        <f t="shared" ref="Q64" si="1674">+Q63+P64</f>
        <v>0</v>
      </c>
      <c r="R64" s="459">
        <f t="shared" ref="R64" si="1675">+R63+Q64</f>
        <v>0</v>
      </c>
      <c r="S64" s="459">
        <f t="shared" ref="S64" si="1676">+S63+R64</f>
        <v>0</v>
      </c>
      <c r="T64" s="459">
        <f t="shared" ref="T64" si="1677">+T63+S64</f>
        <v>0</v>
      </c>
      <c r="U64" s="459">
        <f t="shared" ref="U64" si="1678">+U63+T64</f>
        <v>0</v>
      </c>
      <c r="V64" s="535">
        <f t="shared" ref="V64" si="1679">+V63+U64</f>
        <v>0</v>
      </c>
      <c r="W64" s="147">
        <f t="shared" ref="W64" si="1680">+W63+V64</f>
        <v>0</v>
      </c>
      <c r="X64" s="147">
        <f t="shared" ref="X64" si="1681">+X63+W64</f>
        <v>0</v>
      </c>
      <c r="Y64" s="347">
        <f t="shared" ref="Y64" si="1682">+Y63+X64</f>
        <v>0</v>
      </c>
      <c r="Z64" s="280">
        <f t="shared" ref="Z64" si="1683">+Z63+Y64</f>
        <v>0</v>
      </c>
      <c r="AA64" s="280">
        <f t="shared" ref="AA64" si="1684">+AA63+Z64</f>
        <v>0</v>
      </c>
      <c r="AB64" s="280">
        <f t="shared" ref="AB64" si="1685">+AB63+AA64</f>
        <v>0</v>
      </c>
      <c r="AC64" s="280">
        <f t="shared" ref="AC64" si="1686">+AC63+AB64</f>
        <v>0</v>
      </c>
      <c r="AD64" s="280">
        <f t="shared" ref="AD64" si="1687">+AD63+AC64</f>
        <v>0</v>
      </c>
      <c r="AE64" s="280">
        <f t="shared" ref="AE64" si="1688">+AE63+AD64</f>
        <v>0</v>
      </c>
      <c r="AF64" s="280">
        <f t="shared" ref="AF64" si="1689">+AF63+AE64</f>
        <v>0</v>
      </c>
      <c r="AG64" s="280">
        <f t="shared" ref="AG64" si="1690">+AG63+AF64</f>
        <v>0</v>
      </c>
      <c r="AH64" s="280">
        <f t="shared" ref="AH64" si="1691">+AH63+AG64</f>
        <v>0</v>
      </c>
      <c r="AI64" s="280">
        <f t="shared" ref="AI64" si="1692">+AI63+AH64</f>
        <v>0</v>
      </c>
      <c r="AJ64" s="280">
        <f t="shared" ref="AJ64" si="1693">+AJ63+AI64</f>
        <v>0</v>
      </c>
      <c r="AK64" s="280">
        <f t="shared" ref="AK64" si="1694">+AK63+AJ64</f>
        <v>0</v>
      </c>
      <c r="AL64" s="280">
        <f t="shared" ref="AL64" si="1695">+AL63+AK64</f>
        <v>0</v>
      </c>
      <c r="AM64" s="280">
        <f t="shared" ref="AM64" si="1696">+AM63+AL64</f>
        <v>0</v>
      </c>
      <c r="AN64" s="280">
        <f t="shared" ref="AN64" si="1697">+AN63+AM64</f>
        <v>0</v>
      </c>
      <c r="AO64" s="280">
        <f t="shared" ref="AO64" si="1698">+AO63+AN64</f>
        <v>0</v>
      </c>
      <c r="AP64" s="280">
        <f t="shared" ref="AP64" si="1699">+AP63+AO64</f>
        <v>0</v>
      </c>
      <c r="AQ64" s="280">
        <f t="shared" ref="AQ64" si="1700">+AQ63+AP64</f>
        <v>0</v>
      </c>
      <c r="AR64" s="280">
        <f t="shared" ref="AR64" si="1701">+AR63+AQ64</f>
        <v>0</v>
      </c>
      <c r="AS64" s="280">
        <f t="shared" ref="AS64" si="1702">+AS63+AR64</f>
        <v>0</v>
      </c>
      <c r="AT64" s="280">
        <f t="shared" ref="AT64" si="1703">+AT63+AS64</f>
        <v>0</v>
      </c>
      <c r="AU64" s="280">
        <f t="shared" ref="AU64" si="1704">+AU63+AT64</f>
        <v>0</v>
      </c>
      <c r="AV64" s="280">
        <f t="shared" ref="AV64" si="1705">+AV63+AU64</f>
        <v>0</v>
      </c>
      <c r="AW64" s="280">
        <f t="shared" ref="AW64" si="1706">+AW63+AV64</f>
        <v>0</v>
      </c>
      <c r="AX64" s="280">
        <f t="shared" ref="AX64" si="1707">+AX63+AW64</f>
        <v>0</v>
      </c>
      <c r="AY64" s="280">
        <f t="shared" ref="AY64" si="1708">+AY63+AX64</f>
        <v>0</v>
      </c>
      <c r="AZ64" s="280">
        <f t="shared" ref="AZ64" si="1709">+AZ63+AY64</f>
        <v>0</v>
      </c>
      <c r="BA64" s="280">
        <f t="shared" ref="BA64" si="1710">+BA63+AZ64</f>
        <v>0</v>
      </c>
      <c r="BB64" s="280">
        <f t="shared" ref="BB64" si="1711">+BB63+BA64</f>
        <v>0</v>
      </c>
      <c r="BC64" s="280">
        <f t="shared" ref="BC64" si="1712">+BC63+BB64</f>
        <v>0</v>
      </c>
      <c r="BD64" s="280">
        <f t="shared" ref="BD64" si="1713">+BD63+BC64</f>
        <v>0</v>
      </c>
      <c r="BE64" s="280">
        <f t="shared" ref="BE64" si="1714">+BE63+BD64</f>
        <v>0</v>
      </c>
      <c r="BF64" s="280">
        <f t="shared" ref="BF64" si="1715">+BF63+BE64</f>
        <v>0</v>
      </c>
      <c r="BG64" s="280">
        <f t="shared" ref="BG64" si="1716">+BG63+BF64</f>
        <v>0</v>
      </c>
      <c r="BH64" s="280">
        <f t="shared" ref="BH64" si="1717">+BH63+BG64</f>
        <v>0</v>
      </c>
      <c r="BI64" s="280">
        <f t="shared" ref="BI64" si="1718">+BI63+BH64</f>
        <v>0</v>
      </c>
      <c r="BJ64" s="280">
        <f t="shared" ref="BJ64" si="1719">+BJ63+BI64</f>
        <v>0</v>
      </c>
      <c r="BK64" s="280">
        <f t="shared" ref="BK64" si="1720">+BK63+BJ64</f>
        <v>0</v>
      </c>
      <c r="BL64" s="280">
        <f t="shared" ref="BL64" si="1721">+BL63+BK64</f>
        <v>0</v>
      </c>
      <c r="BM64" s="280">
        <f t="shared" ref="BM64" si="1722">+BM63+BL64</f>
        <v>0</v>
      </c>
      <c r="BN64" s="280">
        <f t="shared" ref="BN64" si="1723">+BN63+BM64</f>
        <v>0</v>
      </c>
      <c r="BO64" s="280">
        <f t="shared" ref="BO64" si="1724">+BO63+BN64</f>
        <v>0</v>
      </c>
      <c r="BP64" s="280">
        <f t="shared" ref="BP64" si="1725">+BP63+BO64</f>
        <v>0</v>
      </c>
      <c r="BQ64" s="280">
        <f t="shared" ref="BQ64" si="1726">+BQ63+BP64</f>
        <v>0</v>
      </c>
      <c r="BR64" s="280">
        <f t="shared" ref="BR64" si="1727">+BR63+BQ64</f>
        <v>0</v>
      </c>
      <c r="BS64" s="280">
        <f t="shared" ref="BS64" si="1728">+BS63+BR64</f>
        <v>0</v>
      </c>
      <c r="BT64" s="280">
        <f t="shared" ref="BT64" si="1729">+BT63+BS64</f>
        <v>0</v>
      </c>
      <c r="BU64" s="280">
        <f t="shared" ref="BU64" si="1730">+BU63+BT64</f>
        <v>0</v>
      </c>
      <c r="BV64" s="280">
        <f t="shared" ref="BV64" si="1731">+BV63+BU64</f>
        <v>0</v>
      </c>
      <c r="BW64" s="280">
        <f t="shared" ref="BW64" si="1732">+BW63+BV64</f>
        <v>0</v>
      </c>
      <c r="BX64" s="280">
        <f t="shared" ref="BX64" si="1733">+BX63+BW64</f>
        <v>0</v>
      </c>
      <c r="BY64" s="280">
        <f t="shared" ref="BY64" si="1734">+BY63+BX64</f>
        <v>0</v>
      </c>
      <c r="BZ64" s="280">
        <f t="shared" ref="BZ64" si="1735">+BZ63+BY64</f>
        <v>0</v>
      </c>
      <c r="CA64" s="280">
        <f t="shared" ref="CA64" si="1736">+CA63+BZ64</f>
        <v>0</v>
      </c>
      <c r="CB64" s="280">
        <f t="shared" ref="CB64" si="1737">+CB63+CA64</f>
        <v>0</v>
      </c>
      <c r="CC64" s="280">
        <f t="shared" ref="CC64" si="1738">+CC63+CB64</f>
        <v>0</v>
      </c>
      <c r="CD64" s="280">
        <f t="shared" ref="CD64" si="1739">+CD63+CC64</f>
        <v>0</v>
      </c>
      <c r="CE64" s="280">
        <f t="shared" ref="CE64" si="1740">+CE63+CD64</f>
        <v>0</v>
      </c>
      <c r="CF64" s="280">
        <f t="shared" ref="CF64" si="1741">+CF63+CE64</f>
        <v>0</v>
      </c>
      <c r="CG64" s="280">
        <f t="shared" ref="CG64" si="1742">+CG63+CF64</f>
        <v>0</v>
      </c>
      <c r="CH64" s="280">
        <f t="shared" ref="CH64" si="1743">+CH63+CG64</f>
        <v>0</v>
      </c>
      <c r="CI64" s="280">
        <f t="shared" ref="CI64" si="1744">+CI63+CH64</f>
        <v>0</v>
      </c>
      <c r="CJ64" s="280">
        <f t="shared" ref="CJ64" si="1745">+CJ63+CI64</f>
        <v>0</v>
      </c>
      <c r="CK64" s="280">
        <f t="shared" ref="CK64" si="1746">+CK63+CJ64</f>
        <v>0</v>
      </c>
      <c r="CL64" s="280">
        <f t="shared" ref="CL64" si="1747">+CL63+CK64</f>
        <v>29532.16853474456</v>
      </c>
      <c r="CM64" s="280">
        <f t="shared" ref="CM64" si="1748">+CM63+CL64</f>
        <v>33756.016065022915</v>
      </c>
      <c r="CN64" s="280">
        <f t="shared" ref="CN64" si="1749">+CN63+CM64</f>
        <v>208804.16445045033</v>
      </c>
      <c r="CO64" s="280">
        <f t="shared" ref="CO64" si="1750">+CO63+CN64</f>
        <v>224605.52591495586</v>
      </c>
      <c r="CP64" s="280">
        <f t="shared" ref="CP64" si="1751">+CP63+CO64</f>
        <v>939441.48617850803</v>
      </c>
      <c r="CQ64" s="280">
        <f t="shared" ref="CQ64" si="1752">+CQ63+CP64</f>
        <v>2221384.5131550133</v>
      </c>
      <c r="CR64" s="280">
        <f t="shared" ref="CR64" si="1753">+CR63+CQ64</f>
        <v>3085179.9319317415</v>
      </c>
      <c r="CS64" s="280">
        <f t="shared" ref="CS64" si="1754">+CS63+CR64</f>
        <v>3655176.6839643284</v>
      </c>
      <c r="CT64" s="280">
        <f t="shared" ref="CT64" si="1755">+CT63+CS64</f>
        <v>3774511.1535896254</v>
      </c>
      <c r="CU64" s="280">
        <f t="shared" ref="CU64" si="1756">+CU63+CT64</f>
        <v>4688375.2440321092</v>
      </c>
      <c r="CV64" s="280">
        <f t="shared" ref="CV64" si="1757">+CV63+CU64</f>
        <v>4900000.0000000009</v>
      </c>
      <c r="CW64" s="280">
        <f t="shared" ref="CW64" si="1758">+CW63+CV64</f>
        <v>4900000.0000000009</v>
      </c>
      <c r="CX64" s="280">
        <f t="shared" ref="CX64" si="1759">+CX63+CW64</f>
        <v>4900000.0000000009</v>
      </c>
      <c r="CY64" s="280">
        <f t="shared" ref="CY64" si="1760">+CY63+CX64</f>
        <v>4900000.0000000009</v>
      </c>
      <c r="CZ64" s="280">
        <f t="shared" ref="CZ64" si="1761">+CZ63+CY64</f>
        <v>4900000.0000000009</v>
      </c>
      <c r="DA64" s="280">
        <f t="shared" ref="DA64" si="1762">+DA63+CZ64</f>
        <v>4900000.0000000009</v>
      </c>
      <c r="DB64" s="280">
        <f t="shared" ref="DB64" si="1763">+DB63+DA64</f>
        <v>4900000.0000000009</v>
      </c>
      <c r="DC64" s="280">
        <f t="shared" ref="DC64" si="1764">+DC63+DB64</f>
        <v>4900000.0000000009</v>
      </c>
      <c r="DD64" s="280">
        <f t="shared" ref="DD64" si="1765">+DD63+DC64</f>
        <v>4900000.0000000009</v>
      </c>
      <c r="DE64" s="280">
        <f t="shared" ref="DE64" si="1766">+DE63+DD64</f>
        <v>4900000.0000000009</v>
      </c>
      <c r="DF64" s="280">
        <f t="shared" ref="DF64" si="1767">+DF63+DE64</f>
        <v>4900000.0000000009</v>
      </c>
      <c r="DG64" s="280">
        <f t="shared" ref="DG64:DH64" si="1768">+DG63+DF64</f>
        <v>4900000.0000000009</v>
      </c>
      <c r="DH64" s="280">
        <f t="shared" si="1768"/>
        <v>4900000.0000000009</v>
      </c>
    </row>
    <row r="65" spans="2:112" x14ac:dyDescent="0.3">
      <c r="B65" t="s">
        <v>245</v>
      </c>
      <c r="C65" s="208">
        <v>1800000</v>
      </c>
      <c r="D65" t="s">
        <v>243</v>
      </c>
      <c r="E65" s="460"/>
      <c r="F65" s="459">
        <f>+IFERROR(INDEX(Assumptions!$E$18:$E$29, MATCH(F62, Assumptions!$D$18:$D$29, 0))*$C$65, 0)</f>
        <v>0</v>
      </c>
      <c r="G65" s="459">
        <f>+IFERROR(INDEX(Assumptions!$E$18:$E$29, MATCH(G62, Assumptions!$D$18:$D$29, 0))*$C$65, 0)</f>
        <v>0</v>
      </c>
      <c r="H65" s="459">
        <f>+IFERROR(INDEX(Assumptions!$E$18:$E$29, MATCH(H62, Assumptions!$D$18:$D$29, 0))*$C$65, 0)</f>
        <v>0</v>
      </c>
      <c r="I65" s="459">
        <f>+IFERROR(INDEX(Assumptions!$E$18:$E$29, MATCH(I62, Assumptions!$D$18:$D$29, 0))*$C$65, 0)</f>
        <v>0</v>
      </c>
      <c r="J65" s="459">
        <f>+IFERROR(INDEX(Assumptions!$E$18:$E$29, MATCH(J62, Assumptions!$D$18:$D$29, 0))*$C$65, 0)</f>
        <v>0</v>
      </c>
      <c r="K65" s="459">
        <f>+IFERROR(INDEX(Assumptions!$E$18:$E$29, MATCH(K62, Assumptions!$D$18:$D$29, 0))*$C$65, 0)</f>
        <v>0</v>
      </c>
      <c r="L65" s="459">
        <f>+IFERROR(INDEX(Assumptions!$E$18:$E$29, MATCH(L62, Assumptions!$D$18:$D$29, 0))*$C$65, 0)</f>
        <v>0</v>
      </c>
      <c r="M65" s="459">
        <f>+IFERROR(INDEX(Assumptions!$E$18:$E$29, MATCH(M62, Assumptions!$D$18:$D$29, 0))*$C$65, 0)</f>
        <v>0</v>
      </c>
      <c r="N65" s="459">
        <f>+IFERROR(INDEX(Assumptions!$E$18:$E$29, MATCH(N62, Assumptions!$D$18:$D$29, 0))*$C$65, 0)</f>
        <v>0</v>
      </c>
      <c r="O65" s="459">
        <f>+IFERROR(INDEX(Assumptions!$E$18:$E$29, MATCH(O62, Assumptions!$D$18:$D$29, 0))*$C$65, 0)</f>
        <v>0</v>
      </c>
      <c r="P65" s="459">
        <f>+IFERROR(INDEX(Assumptions!$E$18:$E$29, MATCH(P62, Assumptions!$D$18:$D$29, 0))*$C$65, 0)</f>
        <v>0</v>
      </c>
      <c r="Q65" s="459">
        <f>+IFERROR(INDEX(Assumptions!$E$18:$E$29, MATCH(Q62, Assumptions!$D$18:$D$29, 0))*$C$65, 0)</f>
        <v>0</v>
      </c>
      <c r="R65" s="459">
        <f>+IFERROR(INDEX(Assumptions!$E$18:$E$29, MATCH(R62, Assumptions!$D$18:$D$29, 0))*$C$65, 0)</f>
        <v>0</v>
      </c>
      <c r="S65" s="459">
        <f>+IFERROR(INDEX(Assumptions!$E$18:$E$29, MATCH(S62, Assumptions!$D$18:$D$29, 0))*$C$65, 0)</f>
        <v>0</v>
      </c>
      <c r="T65" s="459">
        <f>+IFERROR(INDEX(Assumptions!$E$18:$E$29, MATCH(T62, Assumptions!$D$18:$D$29, 0))*$C$65, 0)</f>
        <v>0</v>
      </c>
      <c r="U65" s="459">
        <f>+IFERROR(INDEX(Assumptions!$E$18:$E$29, MATCH(U62, Assumptions!$D$18:$D$29, 0))*$C$65, 0)</f>
        <v>0</v>
      </c>
      <c r="V65" s="459">
        <f>+IFERROR(INDEX(Assumptions!$E$18:$E$29, MATCH(V62, Assumptions!$D$18:$D$29, 0))*$C$65, 0)</f>
        <v>0</v>
      </c>
      <c r="W65" s="535">
        <f>+IFERROR(INDEX(Assumptions!$E$18:$E$29, MATCH(W62, Assumptions!$D$18:$D$29, 0))*$C$65, 0)</f>
        <v>0</v>
      </c>
      <c r="X65" s="535">
        <f>+IFERROR(INDEX(Assumptions!$E$18:$E$29, MATCH(X62, Assumptions!$D$18:$D$29, 0))*$C$65, 0)</f>
        <v>0</v>
      </c>
      <c r="Y65" s="502">
        <f>+IFERROR(INDEX(Assumptions!$E$18:$E$29, MATCH(Y62, Assumptions!$D$18:$D$29, 0))*$C$65, 0)</f>
        <v>0</v>
      </c>
      <c r="Z65" s="459">
        <f>+IFERROR(INDEX(Assumptions!$E$18:$E$29, MATCH(Z62, Assumptions!$D$18:$D$29, 0))*$C$65, 0)</f>
        <v>0</v>
      </c>
      <c r="AA65" s="459">
        <f>+IFERROR(INDEX(Assumptions!$E$18:$E$29, MATCH(AA62, Assumptions!$D$18:$D$29, 0))*$C$65, 0)</f>
        <v>0</v>
      </c>
      <c r="AB65" s="459">
        <f>+IFERROR(INDEX(Assumptions!$E$18:$E$29, MATCH(AB62, Assumptions!$D$18:$D$29, 0))*$C$65, 0)</f>
        <v>0</v>
      </c>
      <c r="AC65" s="459">
        <f>+IFERROR(INDEX(Assumptions!$E$18:$E$29, MATCH(AC62, Assumptions!$D$18:$D$29, 0))*$C$65, 0)</f>
        <v>0</v>
      </c>
      <c r="AD65" s="459">
        <f>+IFERROR(INDEX(Assumptions!$E$18:$E$29, MATCH(AD62, Assumptions!$D$18:$D$29, 0))*$C$65, 0)</f>
        <v>0</v>
      </c>
      <c r="AE65" s="459">
        <f>+IFERROR(INDEX(Assumptions!$E$18:$E$29, MATCH(AE62, Assumptions!$D$18:$D$29, 0))*$C$65, 0)</f>
        <v>0</v>
      </c>
      <c r="AF65" s="459">
        <f>+IFERROR(INDEX(Assumptions!$E$18:$E$29, MATCH(AF62, Assumptions!$D$18:$D$29, 0))*$C$65, 0)</f>
        <v>0</v>
      </c>
      <c r="AG65" s="459">
        <f>+IFERROR(INDEX(Assumptions!$E$18:$E$29, MATCH(AG62, Assumptions!$D$18:$D$29, 0))*$C$65, 0)</f>
        <v>0</v>
      </c>
      <c r="AH65" s="459">
        <f>+IFERROR(INDEX(Assumptions!$E$18:$E$29, MATCH(AH62, Assumptions!$D$18:$D$29, 0))*$C$65, 0)</f>
        <v>0</v>
      </c>
      <c r="AI65" s="459">
        <f>+IFERROR(INDEX(Assumptions!$E$18:$E$29, MATCH(AI62, Assumptions!$D$18:$D$29, 0))*$C$65, 0)</f>
        <v>0</v>
      </c>
      <c r="AJ65" s="459">
        <f>+IFERROR(INDEX(Assumptions!$E$18:$E$29, MATCH(AJ62, Assumptions!$D$18:$D$29, 0))*$C$65, 0)</f>
        <v>0</v>
      </c>
      <c r="AK65" s="459">
        <f>+IFERROR(INDEX(Assumptions!$E$18:$E$29, MATCH(AK62, Assumptions!$D$18:$D$29, 0))*$C$65, 0)</f>
        <v>0</v>
      </c>
      <c r="AL65" s="459">
        <f>+IFERROR(INDEX(Assumptions!$E$18:$E$29, MATCH(AL62, Assumptions!$D$18:$D$29, 0))*$C$65, 0)</f>
        <v>0</v>
      </c>
      <c r="AM65" s="459">
        <f>+IFERROR(INDEX(Assumptions!$E$18:$E$29, MATCH(AM62, Assumptions!$D$18:$D$29, 0))*$C$65, 0)</f>
        <v>0</v>
      </c>
      <c r="AN65" s="459">
        <f>+IFERROR(INDEX(Assumptions!$E$18:$E$29, MATCH(AN62, Assumptions!$D$18:$D$29, 0))*$C$65, 0)</f>
        <v>0</v>
      </c>
      <c r="AO65" s="459">
        <f>+IFERROR(INDEX(Assumptions!$E$18:$E$29, MATCH(AO62, Assumptions!$D$18:$D$29, 0))*$C$65, 0)</f>
        <v>0</v>
      </c>
      <c r="AP65" s="459">
        <f>+IFERROR(INDEX(Assumptions!$E$18:$E$29, MATCH(AP62, Assumptions!$D$18:$D$29, 0))*$C$65, 0)</f>
        <v>0</v>
      </c>
      <c r="AQ65" s="459">
        <f>+IFERROR(INDEX(Assumptions!$E$18:$E$29, MATCH(AQ62, Assumptions!$D$18:$D$29, 0))*$C$65, 0)</f>
        <v>0</v>
      </c>
      <c r="AR65" s="459">
        <f>+IFERROR(INDEX(Assumptions!$E$18:$E$29, MATCH(AR62, Assumptions!$D$18:$D$29, 0))*$C$65, 0)</f>
        <v>0</v>
      </c>
      <c r="AS65" s="459">
        <f>+IFERROR(INDEX(Assumptions!$E$18:$E$29, MATCH(AS62, Assumptions!$D$18:$D$29, 0))*$C$65, 0)</f>
        <v>0</v>
      </c>
      <c r="AT65" s="459">
        <f>+IFERROR(INDEX(Assumptions!$E$18:$E$29, MATCH(AT62, Assumptions!$D$18:$D$29, 0))*$C$65, 0)</f>
        <v>0</v>
      </c>
      <c r="AU65" s="459">
        <f>+IFERROR(INDEX(Assumptions!$E$18:$E$29, MATCH(AU62, Assumptions!$D$18:$D$29, 0))*$C$65, 0)</f>
        <v>0</v>
      </c>
      <c r="AV65" s="459">
        <f>+IFERROR(INDEX(Assumptions!$E$18:$E$29, MATCH(AV62, Assumptions!$D$18:$D$29, 0))*$C$65, 0)</f>
        <v>0</v>
      </c>
      <c r="AW65" s="459">
        <f>+IFERROR(INDEX(Assumptions!$E$18:$E$29, MATCH(AW62, Assumptions!$D$18:$D$29, 0))*$C$65, 0)</f>
        <v>0</v>
      </c>
      <c r="AX65" s="459">
        <f>+IFERROR(INDEX(Assumptions!$E$18:$E$29, MATCH(AX62, Assumptions!$D$18:$D$29, 0))*$C$65, 0)</f>
        <v>0</v>
      </c>
      <c r="AY65" s="459">
        <f>+IFERROR(INDEX(Assumptions!$E$18:$E$29, MATCH(AY62, Assumptions!$D$18:$D$29, 0))*$C$65, 0)</f>
        <v>0</v>
      </c>
      <c r="AZ65" s="459">
        <f>+IFERROR(INDEX(Assumptions!$E$18:$E$29, MATCH(AZ62, Assumptions!$D$18:$D$29, 0))*$C$65, 0)</f>
        <v>0</v>
      </c>
      <c r="BA65" s="459">
        <f>+IFERROR(INDEX(Assumptions!$E$18:$E$29, MATCH(BA62, Assumptions!$D$18:$D$29, 0))*$C$65, 0)</f>
        <v>0</v>
      </c>
      <c r="BB65" s="459">
        <f>+IFERROR(INDEX(Assumptions!$E$18:$E$29, MATCH(BB62, Assumptions!$D$18:$D$29, 0))*$C$65, 0)</f>
        <v>0</v>
      </c>
      <c r="BC65" s="459">
        <f>+IFERROR(INDEX(Assumptions!$E$18:$E$29, MATCH(BC62, Assumptions!$D$18:$D$29, 0))*$C$65, 0)</f>
        <v>0</v>
      </c>
      <c r="BD65" s="459">
        <f>+IFERROR(INDEX(Assumptions!$E$18:$E$29, MATCH(BD62, Assumptions!$D$18:$D$29, 0))*$C$65, 0)</f>
        <v>0</v>
      </c>
      <c r="BE65" s="459">
        <f>+IFERROR(INDEX(Assumptions!$E$18:$E$29, MATCH(BE62, Assumptions!$D$18:$D$29, 0))*$C$65, 0)</f>
        <v>0</v>
      </c>
      <c r="BF65" s="459">
        <f>+IFERROR(INDEX(Assumptions!$E$18:$E$29, MATCH(BF62, Assumptions!$D$18:$D$29, 0))*$C$65, 0)</f>
        <v>0</v>
      </c>
      <c r="BG65" s="459">
        <f>+IFERROR(INDEX(Assumptions!$E$18:$E$29, MATCH(BG62, Assumptions!$D$18:$D$29, 0))*$C$65, 0)</f>
        <v>0</v>
      </c>
      <c r="BH65" s="459">
        <f>+IFERROR(INDEX(Assumptions!$E$18:$E$29, MATCH(BH62, Assumptions!$D$18:$D$29, 0))*$C$65, 0)</f>
        <v>0</v>
      </c>
      <c r="BI65" s="459">
        <f>+IFERROR(INDEX(Assumptions!$E$18:$E$29, MATCH(BI62, Assumptions!$D$18:$D$29, 0))*$C$65, 0)</f>
        <v>0</v>
      </c>
      <c r="BJ65" s="459">
        <f>+IFERROR(INDEX(Assumptions!$E$18:$E$29, MATCH(BJ62, Assumptions!$D$18:$D$29, 0))*$C$65, 0)</f>
        <v>0</v>
      </c>
      <c r="BK65" s="459">
        <f>+IFERROR(INDEX(Assumptions!$E$18:$E$29, MATCH(BK62, Assumptions!$D$18:$D$29, 0))*$C$65, 0)</f>
        <v>0</v>
      </c>
      <c r="BL65" s="459">
        <f>+IFERROR(INDEX(Assumptions!$E$18:$E$29, MATCH(BL62, Assumptions!$D$18:$D$29, 0))*$C$65, 0)</f>
        <v>0</v>
      </c>
      <c r="BM65" s="459">
        <f>+IFERROR(INDEX(Assumptions!$E$18:$E$29, MATCH(BM62, Assumptions!$D$18:$D$29, 0))*$C$65, 0)</f>
        <v>0</v>
      </c>
      <c r="BN65" s="459">
        <f>+IFERROR(INDEX(Assumptions!$E$18:$E$29, MATCH(BN62, Assumptions!$D$18:$D$29, 0))*$C$65, 0)</f>
        <v>0</v>
      </c>
      <c r="BO65" s="459">
        <f>+IFERROR(INDEX(Assumptions!$E$18:$E$29, MATCH(BO62, Assumptions!$D$18:$D$29, 0))*$C$65, 0)</f>
        <v>0</v>
      </c>
      <c r="BP65" s="459">
        <f>+IFERROR(INDEX(Assumptions!$E$18:$E$29, MATCH(BP62, Assumptions!$D$18:$D$29, 0))*$C$65, 0)</f>
        <v>0</v>
      </c>
      <c r="BQ65" s="459">
        <f>+IFERROR(INDEX(Assumptions!$E$18:$E$29, MATCH(BQ62, Assumptions!$D$18:$D$29, 0))*$C$65, 0)</f>
        <v>0</v>
      </c>
      <c r="BR65" s="459">
        <f>+IFERROR(INDEX(Assumptions!$E$18:$E$29, MATCH(BR62, Assumptions!$D$18:$D$29, 0))*$C$65, 0)</f>
        <v>0</v>
      </c>
      <c r="BS65" s="459">
        <f>+IFERROR(INDEX(Assumptions!$E$18:$E$29, MATCH(BS62, Assumptions!$D$18:$D$29, 0))*$C$65, 0)</f>
        <v>0</v>
      </c>
      <c r="BT65" s="459">
        <f>+IFERROR(INDEX(Assumptions!$E$18:$E$29, MATCH(BT62, Assumptions!$D$18:$D$29, 0))*$C$65, 0)</f>
        <v>0</v>
      </c>
      <c r="BU65" s="459">
        <f>+IFERROR(INDEX(Assumptions!$E$18:$E$29, MATCH(BU62, Assumptions!$D$18:$D$29, 0))*$C$65, 0)</f>
        <v>0</v>
      </c>
      <c r="BV65" s="459">
        <f>+IFERROR(INDEX(Assumptions!$E$18:$E$29, MATCH(BV62, Assumptions!$D$18:$D$29, 0))*$C$65, 0)</f>
        <v>0</v>
      </c>
      <c r="BW65" s="459">
        <f>+IFERROR(INDEX(Assumptions!$E$18:$E$29, MATCH(BW62, Assumptions!$D$18:$D$29, 0))*$C$65, 0)</f>
        <v>0</v>
      </c>
      <c r="BX65" s="459">
        <f>+IFERROR(INDEX(Assumptions!$E$18:$E$29, MATCH(BX62, Assumptions!$D$18:$D$29, 0))*$C$65, 0)</f>
        <v>0</v>
      </c>
      <c r="BY65" s="459">
        <f>+IFERROR(INDEX(Assumptions!$E$18:$E$29, MATCH(BY62, Assumptions!$D$18:$D$29, 0))*$C$65, 0)</f>
        <v>0</v>
      </c>
      <c r="BZ65" s="459">
        <f>+IFERROR(INDEX(Assumptions!$E$18:$E$29, MATCH(BZ62, Assumptions!$D$18:$D$29, 0))*$C$65, 0)</f>
        <v>0</v>
      </c>
      <c r="CA65" s="459">
        <f>+IFERROR(INDEX(Assumptions!$E$18:$E$29, MATCH(CA62, Assumptions!$D$18:$D$29, 0))*$C$65, 0)</f>
        <v>0</v>
      </c>
      <c r="CB65" s="459">
        <f>+IFERROR(INDEX(Assumptions!$E$18:$E$29, MATCH(CB62, Assumptions!$D$18:$D$29, 0))*$C$65, 0)</f>
        <v>0</v>
      </c>
      <c r="CC65" s="459">
        <f>+IFERROR(INDEX(Assumptions!$E$18:$E$29, MATCH(CC62, Assumptions!$D$18:$D$29, 0))*$C$65, 0)</f>
        <v>0</v>
      </c>
      <c r="CD65" s="459">
        <f>+IFERROR(INDEX(Assumptions!$E$18:$E$29, MATCH(CD62, Assumptions!$D$18:$D$29, 0))*$C$65, 0)</f>
        <v>0</v>
      </c>
      <c r="CE65" s="459">
        <f>+IFERROR(INDEX(Assumptions!$E$18:$E$29, MATCH(CE62, Assumptions!$D$18:$D$29, 0))*$C$65, 0)</f>
        <v>0</v>
      </c>
      <c r="CF65" s="459">
        <f>+IFERROR(INDEX(Assumptions!$E$18:$E$29, MATCH(CF62, Assumptions!$D$18:$D$29, 0))*$C$65, 0)</f>
        <v>0</v>
      </c>
      <c r="CG65" s="459">
        <f>+IFERROR(INDEX(Assumptions!$E$18:$E$29, MATCH(CG62, Assumptions!$D$18:$D$29, 0))*$C$65, 0)</f>
        <v>0</v>
      </c>
      <c r="CH65" s="459">
        <f>+IFERROR(INDEX(Assumptions!$E$18:$E$29, MATCH(CH62, Assumptions!$D$18:$D$29, 0))*$C$65, 0)</f>
        <v>0</v>
      </c>
      <c r="CI65" s="459">
        <f>+IFERROR(INDEX(Assumptions!$E$18:$E$29, MATCH(CI62, Assumptions!$D$18:$D$29, 0))*$C$65, 0)</f>
        <v>0</v>
      </c>
      <c r="CJ65" s="459">
        <f>+IFERROR(INDEX(Assumptions!$E$18:$E$29, MATCH(CJ62, Assumptions!$D$18:$D$29, 0))*$C$65, 0)</f>
        <v>0</v>
      </c>
      <c r="CK65" s="459">
        <f>+IFERROR(INDEX(Assumptions!$E$18:$E$29, MATCH(CK62, Assumptions!$D$18:$D$29, 0))*$C$65, 0)</f>
        <v>0</v>
      </c>
      <c r="CL65" s="459">
        <f>+IFERROR(INDEX(Assumptions!$E$18:$E$29, MATCH(CL62, Assumptions!$D$18:$D$29, 0))*$C$65, 0)</f>
        <v>10848.551706640859</v>
      </c>
      <c r="CM65" s="459">
        <f>+IFERROR(INDEX(Assumptions!$E$18:$E$29, MATCH(CM62, Assumptions!$D$18:$D$29, 0))*$C$65, 0)</f>
        <v>1551.6174601022535</v>
      </c>
      <c r="CN65" s="459">
        <f>+IFERROR(INDEX(Assumptions!$E$18:$E$29, MATCH(CN62, Assumptions!$D$18:$D$29, 0))*$C$65, 0)</f>
        <v>64303.401447708035</v>
      </c>
      <c r="CO65" s="459">
        <f>+IFERROR(INDEX(Assumptions!$E$18:$E$29, MATCH(CO62, Assumptions!$D$18:$D$29, 0))*$C$65, 0)</f>
        <v>5804.5817624714173</v>
      </c>
      <c r="CP65" s="459">
        <f>+IFERROR(INDEX(Assumptions!$E$18:$E$29, MATCH(CP62, Assumptions!$D$18:$D$29, 0))*$C$65, 0)</f>
        <v>262592.8017294681</v>
      </c>
      <c r="CQ65" s="459">
        <f>+IFERROR(INDEX(Assumptions!$E$18:$E$29, MATCH(CQ62, Assumptions!$D$18:$D$29, 0))*$C$65, 0)</f>
        <v>470917.84664443042</v>
      </c>
      <c r="CR65" s="459">
        <f>+IFERROR(INDEX(Assumptions!$E$18:$E$29, MATCH(CR62, Assumptions!$D$18:$D$29, 0))*$C$65, 0)</f>
        <v>317312.60281594092</v>
      </c>
      <c r="CS65" s="459">
        <f>+IFERROR(INDEX(Assumptions!$E$18:$E$29, MATCH(CS62, Assumptions!$D$18:$D$29, 0))*$C$65, 0)</f>
        <v>209386.56197115438</v>
      </c>
      <c r="CT65" s="459">
        <f>+IFERROR(INDEX(Assumptions!$E$18:$E$29, MATCH(CT62, Assumptions!$D$18:$D$29, 0))*$C$65, 0)</f>
        <v>43837.152107251888</v>
      </c>
      <c r="CU65" s="459">
        <f>+IFERROR(INDEX(Assumptions!$E$18:$E$29, MATCH(CU62, Assumptions!$D$18:$D$29, 0))*$C$65, 0)</f>
        <v>335705.17608091229</v>
      </c>
      <c r="CV65" s="459">
        <f>+IFERROR(INDEX(Assumptions!$E$18:$E$29, MATCH(CV62, Assumptions!$D$18:$D$29, 0))*$C$65, 0)</f>
        <v>77739.706273919437</v>
      </c>
      <c r="CW65" s="459">
        <f>+IFERROR(INDEX(Assumptions!$E$18:$E$29, MATCH(CW62, Assumptions!$D$18:$D$29, 0))*$C$65, 0)</f>
        <v>0</v>
      </c>
      <c r="CX65" s="459">
        <f>+IFERROR(INDEX(Assumptions!$E$18:$E$29, MATCH(CX62, Assumptions!$D$18:$D$29, 0))*$C$65, 0)</f>
        <v>0</v>
      </c>
      <c r="CY65" s="459">
        <f>+IFERROR(INDEX(Assumptions!$E$18:$E$29, MATCH(CY62, Assumptions!$D$18:$D$29, 0))*$C$65, 0)</f>
        <v>0</v>
      </c>
      <c r="CZ65" s="459">
        <f>+IFERROR(INDEX(Assumptions!$E$18:$E$29, MATCH(CZ62, Assumptions!$D$18:$D$29, 0))*$C$65, 0)</f>
        <v>0</v>
      </c>
      <c r="DA65" s="459">
        <f>+IFERROR(INDEX(Assumptions!$E$18:$E$29, MATCH(DA62, Assumptions!$D$18:$D$29, 0))*$C$65, 0)</f>
        <v>0</v>
      </c>
      <c r="DB65" s="459">
        <f>+IFERROR(INDEX(Assumptions!$E$18:$E$29, MATCH(DB62, Assumptions!$D$18:$D$29, 0))*$C$65, 0)</f>
        <v>0</v>
      </c>
      <c r="DC65" s="459">
        <f>+IFERROR(INDEX(Assumptions!$E$18:$E$29, MATCH(DC62, Assumptions!$D$18:$D$29, 0))*$C$65, 0)</f>
        <v>0</v>
      </c>
      <c r="DD65" s="459">
        <f>+IFERROR(INDEX(Assumptions!$E$18:$E$29, MATCH(DD62, Assumptions!$D$18:$D$29, 0))*$C$65, 0)</f>
        <v>0</v>
      </c>
      <c r="DE65" s="459">
        <f>+IFERROR(INDEX(Assumptions!$E$18:$E$29, MATCH(DE62, Assumptions!$D$18:$D$29, 0))*$C$65, 0)</f>
        <v>0</v>
      </c>
      <c r="DF65" s="459">
        <f>+IFERROR(INDEX(Assumptions!$E$18:$E$29, MATCH(DF62, Assumptions!$D$18:$D$29, 0))*$C$65, 0)</f>
        <v>0</v>
      </c>
      <c r="DG65" s="459">
        <f>+IFERROR(INDEX(Assumptions!$E$18:$E$29, MATCH(DG62, Assumptions!$D$18:$D$29, 0))*$C$65, 0)</f>
        <v>0</v>
      </c>
      <c r="DH65" s="459">
        <f>+IFERROR(INDEX(Assumptions!$E$18:$E$29, MATCH(DH62, Assumptions!$D$18:$D$29, 0))*$C$65, 0)</f>
        <v>0</v>
      </c>
    </row>
    <row r="66" spans="2:112" x14ac:dyDescent="0.3">
      <c r="B66" t="s">
        <v>468</v>
      </c>
      <c r="C66" s="512">
        <v>47514</v>
      </c>
      <c r="D66" t="s">
        <v>255</v>
      </c>
      <c r="F66" s="9">
        <f t="shared" ref="F66" si="1769">+F65+E66</f>
        <v>0</v>
      </c>
      <c r="G66" s="9">
        <f t="shared" ref="G66" si="1770">+G65+F66</f>
        <v>0</v>
      </c>
      <c r="H66" s="9">
        <f t="shared" ref="H66" si="1771">+H65+G66</f>
        <v>0</v>
      </c>
      <c r="I66" s="9">
        <f t="shared" ref="I66" si="1772">+I65+H66</f>
        <v>0</v>
      </c>
      <c r="J66" s="9">
        <f t="shared" ref="J66" si="1773">+J65+I66</f>
        <v>0</v>
      </c>
      <c r="K66" s="9">
        <f t="shared" ref="K66" si="1774">+K65+J66</f>
        <v>0</v>
      </c>
      <c r="L66" s="9">
        <f t="shared" ref="L66" si="1775">+L65+K66</f>
        <v>0</v>
      </c>
      <c r="M66" s="9">
        <f t="shared" ref="M66" si="1776">+M65+L66</f>
        <v>0</v>
      </c>
      <c r="N66" s="9">
        <f t="shared" ref="N66" si="1777">+N65+M66</f>
        <v>0</v>
      </c>
      <c r="O66" s="9">
        <f t="shared" ref="O66" si="1778">+O65+N66</f>
        <v>0</v>
      </c>
      <c r="P66" s="9">
        <f t="shared" ref="P66" si="1779">+P65+O66</f>
        <v>0</v>
      </c>
      <c r="Q66" s="9">
        <f t="shared" ref="Q66" si="1780">+Q65+P66</f>
        <v>0</v>
      </c>
      <c r="R66" s="9">
        <f t="shared" ref="R66" si="1781">+R65+Q66</f>
        <v>0</v>
      </c>
      <c r="S66" s="9">
        <f t="shared" ref="S66" si="1782">+S65+R66</f>
        <v>0</v>
      </c>
      <c r="T66" s="9">
        <f t="shared" ref="T66" si="1783">+T65+S66</f>
        <v>0</v>
      </c>
      <c r="U66" s="9">
        <f t="shared" ref="U66" si="1784">+U65+T66</f>
        <v>0</v>
      </c>
      <c r="V66" s="9">
        <f t="shared" ref="V66" si="1785">+V65+U66</f>
        <v>0</v>
      </c>
      <c r="W66" s="9">
        <f t="shared" ref="W66" si="1786">+W65+V66</f>
        <v>0</v>
      </c>
      <c r="X66" s="9">
        <f t="shared" ref="X66" si="1787">+X65+W66</f>
        <v>0</v>
      </c>
      <c r="Y66" s="172">
        <f t="shared" ref="Y66" si="1788">+Y65+X66</f>
        <v>0</v>
      </c>
      <c r="Z66" s="9">
        <f t="shared" ref="Z66" si="1789">+Z65+Y66</f>
        <v>0</v>
      </c>
      <c r="AA66" s="9">
        <f t="shared" ref="AA66" si="1790">+AA65+Z66</f>
        <v>0</v>
      </c>
      <c r="AB66" s="9">
        <f t="shared" ref="AB66" si="1791">+AB65+AA66</f>
        <v>0</v>
      </c>
      <c r="AC66" s="9">
        <f t="shared" ref="AC66" si="1792">+AC65+AB66</f>
        <v>0</v>
      </c>
      <c r="AD66" s="9">
        <f t="shared" ref="AD66" si="1793">+AD65+AC66</f>
        <v>0</v>
      </c>
      <c r="AE66" s="9">
        <f t="shared" ref="AE66" si="1794">+AE65+AD66</f>
        <v>0</v>
      </c>
      <c r="AF66" s="9">
        <f t="shared" ref="AF66" si="1795">+AF65+AE66</f>
        <v>0</v>
      </c>
      <c r="AG66" s="9">
        <f t="shared" ref="AG66" si="1796">+AG65+AF66</f>
        <v>0</v>
      </c>
      <c r="AH66" s="9">
        <f t="shared" ref="AH66" si="1797">+AH65+AG66</f>
        <v>0</v>
      </c>
      <c r="AI66" s="9">
        <f t="shared" ref="AI66" si="1798">+AI65+AH66</f>
        <v>0</v>
      </c>
      <c r="AJ66" s="9">
        <f t="shared" ref="AJ66" si="1799">+AJ65+AI66</f>
        <v>0</v>
      </c>
      <c r="AK66" s="9">
        <f t="shared" ref="AK66" si="1800">+AK65+AJ66</f>
        <v>0</v>
      </c>
      <c r="AL66" s="9">
        <f t="shared" ref="AL66" si="1801">+AL65+AK66</f>
        <v>0</v>
      </c>
      <c r="AM66" s="9">
        <f t="shared" ref="AM66" si="1802">+AM65+AL66</f>
        <v>0</v>
      </c>
      <c r="AN66" s="9">
        <f t="shared" ref="AN66" si="1803">+AN65+AM66</f>
        <v>0</v>
      </c>
      <c r="AO66" s="9">
        <f t="shared" ref="AO66" si="1804">+AO65+AN66</f>
        <v>0</v>
      </c>
      <c r="AP66" s="9">
        <f t="shared" ref="AP66" si="1805">+AP65+AO66</f>
        <v>0</v>
      </c>
      <c r="AQ66" s="9">
        <f t="shared" ref="AQ66" si="1806">+AQ65+AP66</f>
        <v>0</v>
      </c>
      <c r="AR66" s="9">
        <f t="shared" ref="AR66" si="1807">+AR65+AQ66</f>
        <v>0</v>
      </c>
      <c r="AS66" s="9">
        <f t="shared" ref="AS66" si="1808">+AS65+AR66</f>
        <v>0</v>
      </c>
      <c r="AT66" s="9">
        <f t="shared" ref="AT66" si="1809">+AT65+AS66</f>
        <v>0</v>
      </c>
      <c r="AU66" s="9">
        <f t="shared" ref="AU66" si="1810">+AU65+AT66</f>
        <v>0</v>
      </c>
      <c r="AV66" s="9">
        <f t="shared" ref="AV66" si="1811">+AV65+AU66</f>
        <v>0</v>
      </c>
      <c r="AW66" s="9">
        <f t="shared" ref="AW66" si="1812">+AW65+AV66</f>
        <v>0</v>
      </c>
      <c r="AX66" s="9">
        <f t="shared" ref="AX66" si="1813">+AX65+AW66</f>
        <v>0</v>
      </c>
      <c r="AY66" s="9">
        <f t="shared" ref="AY66" si="1814">+AY65+AX66</f>
        <v>0</v>
      </c>
      <c r="AZ66" s="9">
        <f t="shared" ref="AZ66" si="1815">+AZ65+AY66</f>
        <v>0</v>
      </c>
      <c r="BA66" s="9">
        <f t="shared" ref="BA66" si="1816">+BA65+AZ66</f>
        <v>0</v>
      </c>
      <c r="BB66" s="9">
        <f t="shared" ref="BB66" si="1817">+BB65+BA66</f>
        <v>0</v>
      </c>
      <c r="BC66" s="9">
        <f t="shared" ref="BC66" si="1818">+BC65+BB66</f>
        <v>0</v>
      </c>
      <c r="BD66" s="9">
        <f t="shared" ref="BD66" si="1819">+BD65+BC66</f>
        <v>0</v>
      </c>
      <c r="BE66" s="9">
        <f t="shared" ref="BE66" si="1820">+BE65+BD66</f>
        <v>0</v>
      </c>
      <c r="BF66" s="9">
        <f t="shared" ref="BF66" si="1821">+BF65+BE66</f>
        <v>0</v>
      </c>
      <c r="BG66" s="9">
        <f t="shared" ref="BG66" si="1822">+BG65+BF66</f>
        <v>0</v>
      </c>
      <c r="BH66" s="9">
        <f t="shared" ref="BH66" si="1823">+BH65+BG66</f>
        <v>0</v>
      </c>
      <c r="BI66" s="9">
        <f t="shared" ref="BI66" si="1824">+BI65+BH66</f>
        <v>0</v>
      </c>
      <c r="BJ66" s="9">
        <f t="shared" ref="BJ66" si="1825">+BJ65+BI66</f>
        <v>0</v>
      </c>
      <c r="BK66" s="9">
        <f t="shared" ref="BK66" si="1826">+BK65+BJ66</f>
        <v>0</v>
      </c>
      <c r="BL66" s="9">
        <f t="shared" ref="BL66" si="1827">+BL65+BK66</f>
        <v>0</v>
      </c>
      <c r="BM66" s="9">
        <f t="shared" ref="BM66" si="1828">+BM65+BL66</f>
        <v>0</v>
      </c>
      <c r="BN66" s="9">
        <f t="shared" ref="BN66" si="1829">+BN65+BM66</f>
        <v>0</v>
      </c>
      <c r="BO66" s="9">
        <f t="shared" ref="BO66" si="1830">+BO65+BN66</f>
        <v>0</v>
      </c>
      <c r="BP66" s="9">
        <f t="shared" ref="BP66" si="1831">+BP65+BO66</f>
        <v>0</v>
      </c>
      <c r="BQ66" s="9">
        <f t="shared" ref="BQ66" si="1832">+BQ65+BP66</f>
        <v>0</v>
      </c>
      <c r="BR66" s="9">
        <f t="shared" ref="BR66" si="1833">+BR65+BQ66</f>
        <v>0</v>
      </c>
      <c r="BS66" s="9">
        <f t="shared" ref="BS66" si="1834">+BS65+BR66</f>
        <v>0</v>
      </c>
      <c r="BT66" s="9">
        <f t="shared" ref="BT66" si="1835">+BT65+BS66</f>
        <v>0</v>
      </c>
      <c r="BU66" s="9">
        <f t="shared" ref="BU66" si="1836">+BU65+BT66</f>
        <v>0</v>
      </c>
      <c r="BV66" s="9">
        <f t="shared" ref="BV66" si="1837">+BV65+BU66</f>
        <v>0</v>
      </c>
      <c r="BW66" s="9">
        <f t="shared" ref="BW66" si="1838">+BW65+BV66</f>
        <v>0</v>
      </c>
      <c r="BX66" s="9">
        <f t="shared" ref="BX66" si="1839">+BX65+BW66</f>
        <v>0</v>
      </c>
      <c r="BY66" s="9">
        <f t="shared" ref="BY66" si="1840">+BY65+BX66</f>
        <v>0</v>
      </c>
      <c r="BZ66" s="9">
        <f t="shared" ref="BZ66" si="1841">+BZ65+BY66</f>
        <v>0</v>
      </c>
      <c r="CA66" s="9">
        <f t="shared" ref="CA66" si="1842">+CA65+BZ66</f>
        <v>0</v>
      </c>
      <c r="CB66" s="9">
        <f t="shared" ref="CB66" si="1843">+CB65+CA66</f>
        <v>0</v>
      </c>
      <c r="CC66" s="9">
        <f t="shared" ref="CC66" si="1844">+CC65+CB66</f>
        <v>0</v>
      </c>
      <c r="CD66" s="9">
        <f t="shared" ref="CD66" si="1845">+CD65+CC66</f>
        <v>0</v>
      </c>
      <c r="CE66" s="9">
        <f t="shared" ref="CE66" si="1846">+CE65+CD66</f>
        <v>0</v>
      </c>
      <c r="CF66" s="9">
        <f t="shared" ref="CF66" si="1847">+CF65+CE66</f>
        <v>0</v>
      </c>
      <c r="CG66" s="9">
        <f t="shared" ref="CG66" si="1848">+CG65+CF66</f>
        <v>0</v>
      </c>
      <c r="CH66" s="9">
        <f t="shared" ref="CH66" si="1849">+CH65+CG66</f>
        <v>0</v>
      </c>
      <c r="CI66" s="9">
        <f t="shared" ref="CI66" si="1850">+CI65+CH66</f>
        <v>0</v>
      </c>
      <c r="CJ66" s="9">
        <f t="shared" ref="CJ66" si="1851">+CJ65+CI66</f>
        <v>0</v>
      </c>
      <c r="CK66" s="9">
        <f t="shared" ref="CK66" si="1852">+CK65+CJ66</f>
        <v>0</v>
      </c>
      <c r="CL66" s="9">
        <f t="shared" ref="CL66" si="1853">+CL65+CK66</f>
        <v>10848.551706640859</v>
      </c>
      <c r="CM66" s="9">
        <f t="shared" ref="CM66" si="1854">+CM65+CL66</f>
        <v>12400.169166743113</v>
      </c>
      <c r="CN66" s="9">
        <f t="shared" ref="CN66" si="1855">+CN65+CM66</f>
        <v>76703.57061445115</v>
      </c>
      <c r="CO66" s="9">
        <f t="shared" ref="CO66" si="1856">+CO65+CN66</f>
        <v>82508.152376922561</v>
      </c>
      <c r="CP66" s="9">
        <f t="shared" ref="CP66" si="1857">+CP65+CO66</f>
        <v>345100.95410639065</v>
      </c>
      <c r="CQ66" s="9">
        <f t="shared" ref="CQ66" si="1858">+CQ65+CP66</f>
        <v>816018.80075082113</v>
      </c>
      <c r="CR66" s="9">
        <f t="shared" ref="CR66" si="1859">+CR65+CQ66</f>
        <v>1133331.4035667621</v>
      </c>
      <c r="CS66" s="9">
        <f t="shared" ref="CS66" si="1860">+CS65+CR66</f>
        <v>1342717.9655379164</v>
      </c>
      <c r="CT66" s="9">
        <f t="shared" ref="CT66" si="1861">+CT65+CS66</f>
        <v>1386555.1176451682</v>
      </c>
      <c r="CU66" s="9">
        <f t="shared" ref="CU66" si="1862">+CU65+CT66</f>
        <v>1722260.2937260806</v>
      </c>
      <c r="CV66" s="9">
        <f t="shared" ref="CV66" si="1863">+CV65+CU66</f>
        <v>1800000</v>
      </c>
      <c r="CW66" s="9">
        <f t="shared" ref="CW66" si="1864">+CW65+CV66</f>
        <v>1800000</v>
      </c>
      <c r="CX66" s="9">
        <f t="shared" ref="CX66" si="1865">+CX65+CW66</f>
        <v>1800000</v>
      </c>
      <c r="CY66" s="9">
        <f t="shared" ref="CY66" si="1866">+CY65+CX66</f>
        <v>1800000</v>
      </c>
      <c r="CZ66" s="9">
        <f t="shared" ref="CZ66" si="1867">+CZ65+CY66</f>
        <v>1800000</v>
      </c>
      <c r="DA66" s="9">
        <f t="shared" ref="DA66" si="1868">+DA65+CZ66</f>
        <v>1800000</v>
      </c>
      <c r="DB66" s="9">
        <f t="shared" ref="DB66" si="1869">+DB65+DA66</f>
        <v>1800000</v>
      </c>
      <c r="DC66" s="9">
        <f t="shared" ref="DC66" si="1870">+DC65+DB66</f>
        <v>1800000</v>
      </c>
      <c r="DD66" s="9">
        <f t="shared" ref="DD66" si="1871">+DD65+DC66</f>
        <v>1800000</v>
      </c>
      <c r="DE66" s="9">
        <f t="shared" ref="DE66" si="1872">+DE65+DD66</f>
        <v>1800000</v>
      </c>
      <c r="DF66" s="9">
        <f t="shared" ref="DF66" si="1873">+DF65+DE66</f>
        <v>1800000</v>
      </c>
      <c r="DG66" s="9">
        <f t="shared" ref="DG66:DH66" si="1874">+DG65+DF66</f>
        <v>1800000</v>
      </c>
      <c r="DH66" s="9">
        <f t="shared" si="1874"/>
        <v>1800000</v>
      </c>
    </row>
    <row r="67" spans="2:112" x14ac:dyDescent="0.3">
      <c r="B67" t="s">
        <v>486</v>
      </c>
      <c r="C67" s="514">
        <f>+EOMONTH(C66,12)</f>
        <v>47879</v>
      </c>
      <c r="D67" t="s">
        <v>290</v>
      </c>
      <c r="F67" s="459">
        <f>+IFERROR(INDEX(Assumptions!$F$31:$F$42, MATCH(F62, Assumptions!$D$31:$D$42, 0))*$C$64, 0)</f>
        <v>0</v>
      </c>
      <c r="G67" s="9">
        <f>+IFERROR(INDEX(Assumptions!$F$31:$F$42, MATCH(G62, Assumptions!$D$31:$D$42, 0))*$C$64, 0)</f>
        <v>0</v>
      </c>
      <c r="H67" s="9">
        <f>+IFERROR(INDEX(Assumptions!$F$31:$F$42, MATCH(H62, Assumptions!$D$31:$D$42, 0))*$C$64, 0)</f>
        <v>0</v>
      </c>
      <c r="I67" s="9">
        <f>+IFERROR(INDEX(Assumptions!$F$31:$F$42, MATCH(I62, Assumptions!$D$31:$D$42, 0))*$C$64, 0)</f>
        <v>0</v>
      </c>
      <c r="J67" s="9">
        <f>+IFERROR(INDEX(Assumptions!$F$31:$F$42, MATCH(J62, Assumptions!$D$31:$D$42, 0))*$C$64, 0)</f>
        <v>0</v>
      </c>
      <c r="K67" s="9">
        <f>+IFERROR(INDEX(Assumptions!$F$31:$F$42, MATCH(K62, Assumptions!$D$31:$D$42, 0))*$C$64, 0)</f>
        <v>0</v>
      </c>
      <c r="L67" s="9">
        <f>+IFERROR(INDEX(Assumptions!$F$31:$F$42, MATCH(L62, Assumptions!$D$31:$D$42, 0))*$C$64, 0)</f>
        <v>0</v>
      </c>
      <c r="M67" s="9">
        <f>+IFERROR(INDEX(Assumptions!$F$31:$F$42, MATCH(M62, Assumptions!$D$31:$D$42, 0))*$C$64, 0)</f>
        <v>0</v>
      </c>
      <c r="N67" s="9">
        <f>+IFERROR(INDEX(Assumptions!$F$31:$F$42, MATCH(N62, Assumptions!$D$31:$D$42, 0))*$C$64, 0)</f>
        <v>0</v>
      </c>
      <c r="O67" s="9">
        <f>+IFERROR(INDEX(Assumptions!$F$31:$F$42, MATCH(O62, Assumptions!$D$31:$D$42, 0))*$C$64, 0)</f>
        <v>0</v>
      </c>
      <c r="P67" s="9">
        <f>+IFERROR(INDEX(Assumptions!$F$31:$F$42, MATCH(P62, Assumptions!$D$31:$D$42, 0))*$C$64, 0)</f>
        <v>0</v>
      </c>
      <c r="Q67" s="9">
        <f>+IFERROR(INDEX(Assumptions!$F$31:$F$42, MATCH(Q62, Assumptions!$D$31:$D$42, 0))*$C$64, 0)</f>
        <v>0</v>
      </c>
      <c r="R67" s="9">
        <f>+IFERROR(INDEX(Assumptions!$F$31:$F$42, MATCH(R62, Assumptions!$D$31:$D$42, 0))*$C$64, 0)</f>
        <v>0</v>
      </c>
      <c r="S67" s="9">
        <f>+IFERROR(INDEX(Assumptions!$F$31:$F$42, MATCH(S62, Assumptions!$D$31:$D$42, 0))*$C$64, 0)</f>
        <v>0</v>
      </c>
      <c r="T67" s="9">
        <f>+IFERROR(INDEX(Assumptions!$F$31:$F$42, MATCH(T62, Assumptions!$D$31:$D$42, 0))*$C$64, 0)</f>
        <v>0</v>
      </c>
      <c r="U67" s="9">
        <f>+IFERROR(INDEX(Assumptions!$F$31:$F$42, MATCH(U62, Assumptions!$D$31:$D$42, 0))*$C$64, 0)</f>
        <v>0</v>
      </c>
      <c r="V67" s="9">
        <f>+IFERROR(INDEX(Assumptions!$F$31:$F$42, MATCH(V62, Assumptions!$D$31:$D$42, 0))*$C$64, 0)</f>
        <v>0</v>
      </c>
      <c r="W67" s="9">
        <f>+IFERROR(INDEX(Assumptions!$F$31:$F$42, MATCH(W62, Assumptions!$D$31:$D$42, 0))*$C$64, 0)</f>
        <v>0</v>
      </c>
      <c r="X67" s="9">
        <f>+IFERROR(INDEX(Assumptions!$F$31:$F$42, MATCH(X62, Assumptions!$D$31:$D$42, 0))*$C$64, 0)</f>
        <v>0</v>
      </c>
      <c r="Y67" s="172">
        <f>+IFERROR(INDEX(Assumptions!$F$31:$F$42, MATCH(Y62, Assumptions!$D$31:$D$42, 0))*$C$64, 0)</f>
        <v>0</v>
      </c>
      <c r="Z67" s="9">
        <f>+IFERROR(INDEX(Assumptions!$F$31:$F$42, MATCH(Z62, Assumptions!$D$31:$D$42, 0))*$C$64, 0)</f>
        <v>0</v>
      </c>
      <c r="AA67" s="9">
        <f>+IFERROR(INDEX(Assumptions!$F$31:$F$42, MATCH(AA62, Assumptions!$D$31:$D$42, 0))*$C$64, 0)</f>
        <v>0</v>
      </c>
      <c r="AB67" s="9">
        <f>+IFERROR(INDEX(Assumptions!$F$31:$F$42, MATCH(AB62, Assumptions!$D$31:$D$42, 0))*$C$64, 0)</f>
        <v>0</v>
      </c>
      <c r="AC67" s="9">
        <f>+IFERROR(INDEX(Assumptions!$F$31:$F$42, MATCH(AC62, Assumptions!$D$31:$D$42, 0))*$C$64, 0)</f>
        <v>0</v>
      </c>
      <c r="AD67" s="9">
        <f>+IFERROR(INDEX(Assumptions!$F$31:$F$42, MATCH(AD62, Assumptions!$D$31:$D$42, 0))*$C$64, 0)</f>
        <v>0</v>
      </c>
      <c r="AE67" s="9">
        <f>+IFERROR(INDEX(Assumptions!$F$31:$F$42, MATCH(AE62, Assumptions!$D$31:$D$42, 0))*$C$64, 0)</f>
        <v>0</v>
      </c>
      <c r="AF67" s="9">
        <f>+IFERROR(INDEX(Assumptions!$F$31:$F$42, MATCH(AF62, Assumptions!$D$31:$D$42, 0))*$C$64, 0)</f>
        <v>0</v>
      </c>
      <c r="AG67" s="9">
        <f>+IFERROR(INDEX(Assumptions!$F$31:$F$42, MATCH(AG62, Assumptions!$D$31:$D$42, 0))*$C$64, 0)</f>
        <v>0</v>
      </c>
      <c r="AH67" s="9">
        <f>+IFERROR(INDEX(Assumptions!$F$31:$F$42, MATCH(AH62, Assumptions!$D$31:$D$42, 0))*$C$64, 0)</f>
        <v>0</v>
      </c>
      <c r="AI67" s="9">
        <f>+IFERROR(INDEX(Assumptions!$F$31:$F$42, MATCH(AI62, Assumptions!$D$31:$D$42, 0))*$C$64, 0)</f>
        <v>0</v>
      </c>
      <c r="AJ67" s="9">
        <f>+IFERROR(INDEX(Assumptions!$F$31:$F$42, MATCH(AJ62, Assumptions!$D$31:$D$42, 0))*$C$64, 0)</f>
        <v>0</v>
      </c>
      <c r="AK67" s="9">
        <f>+IFERROR(INDEX(Assumptions!$F$31:$F$42, MATCH(AK62, Assumptions!$D$31:$D$42, 0))*$C$64, 0)</f>
        <v>0</v>
      </c>
      <c r="AL67" s="9">
        <f>+IFERROR(INDEX(Assumptions!$F$31:$F$42, MATCH(AL62, Assumptions!$D$31:$D$42, 0))*$C$64, 0)</f>
        <v>0</v>
      </c>
      <c r="AM67" s="9">
        <f>+IFERROR(INDEX(Assumptions!$F$31:$F$42, MATCH(AM62, Assumptions!$D$31:$D$42, 0))*$C$64, 0)</f>
        <v>0</v>
      </c>
      <c r="AN67" s="9">
        <f>+IFERROR(INDEX(Assumptions!$F$31:$F$42, MATCH(AN62, Assumptions!$D$31:$D$42, 0))*$C$64, 0)</f>
        <v>0</v>
      </c>
      <c r="AO67" s="9">
        <f>+IFERROR(INDEX(Assumptions!$F$31:$F$42, MATCH(AO62, Assumptions!$D$31:$D$42, 0))*$C$64, 0)</f>
        <v>0</v>
      </c>
      <c r="AP67" s="9">
        <f>+IFERROR(INDEX(Assumptions!$F$31:$F$42, MATCH(AP62, Assumptions!$D$31:$D$42, 0))*$C$64, 0)</f>
        <v>0</v>
      </c>
      <c r="AQ67" s="9">
        <f>+IFERROR(INDEX(Assumptions!$F$31:$F$42, MATCH(AQ62, Assumptions!$D$31:$D$42, 0))*$C$64, 0)</f>
        <v>0</v>
      </c>
      <c r="AR67" s="9">
        <f>+IFERROR(INDEX(Assumptions!$F$31:$F$42, MATCH(AR62, Assumptions!$D$31:$D$42, 0))*$C$64, 0)</f>
        <v>0</v>
      </c>
      <c r="AS67" s="9">
        <f>+IFERROR(INDEX(Assumptions!$F$31:$F$42, MATCH(AS62, Assumptions!$D$31:$D$42, 0))*$C$64, 0)</f>
        <v>0</v>
      </c>
      <c r="AT67" s="9">
        <f>+IFERROR(INDEX(Assumptions!$F$31:$F$42, MATCH(AT62, Assumptions!$D$31:$D$42, 0))*$C$64, 0)</f>
        <v>0</v>
      </c>
      <c r="AU67" s="9">
        <f>+IFERROR(INDEX(Assumptions!$F$31:$F$42, MATCH(AU62, Assumptions!$D$31:$D$42, 0))*$C$64, 0)</f>
        <v>0</v>
      </c>
      <c r="AV67" s="9">
        <f>+IFERROR(INDEX(Assumptions!$F$31:$F$42, MATCH(AV62, Assumptions!$D$31:$D$42, 0))*$C$64, 0)</f>
        <v>0</v>
      </c>
      <c r="AW67" s="9">
        <f>+IFERROR(INDEX(Assumptions!$F$31:$F$42, MATCH(AW62, Assumptions!$D$31:$D$42, 0))*$C$64, 0)</f>
        <v>0</v>
      </c>
      <c r="AX67" s="9">
        <f>+IFERROR(INDEX(Assumptions!$F$31:$F$42, MATCH(AX62, Assumptions!$D$31:$D$42, 0))*$C$64, 0)</f>
        <v>0</v>
      </c>
      <c r="AY67" s="9">
        <f>+IFERROR(INDEX(Assumptions!$F$31:$F$42, MATCH(AY62, Assumptions!$D$31:$D$42, 0))*$C$64, 0)</f>
        <v>0</v>
      </c>
      <c r="AZ67" s="9">
        <f>+IFERROR(INDEX(Assumptions!$F$31:$F$42, MATCH(AZ62, Assumptions!$D$31:$D$42, 0))*$C$64, 0)</f>
        <v>0</v>
      </c>
      <c r="BA67" s="9">
        <f>+IFERROR(INDEX(Assumptions!$F$31:$F$42, MATCH(BA62, Assumptions!$D$31:$D$42, 0))*$C$64, 0)</f>
        <v>0</v>
      </c>
      <c r="BB67" s="9">
        <f>+IFERROR(INDEX(Assumptions!$F$31:$F$42, MATCH(BB62, Assumptions!$D$31:$D$42, 0))*$C$64, 0)</f>
        <v>0</v>
      </c>
      <c r="BC67" s="9">
        <f>+IFERROR(INDEX(Assumptions!$F$31:$F$42, MATCH(BC62, Assumptions!$D$31:$D$42, 0))*$C$64, 0)</f>
        <v>0</v>
      </c>
      <c r="BD67" s="9">
        <f>+IFERROR(INDEX(Assumptions!$F$31:$F$42, MATCH(BD62, Assumptions!$D$31:$D$42, 0))*$C$64, 0)</f>
        <v>0</v>
      </c>
      <c r="BE67" s="9">
        <f>+IFERROR(INDEX(Assumptions!$F$31:$F$42, MATCH(BE62, Assumptions!$D$31:$D$42, 0))*$C$64, 0)</f>
        <v>0</v>
      </c>
      <c r="BF67" s="9">
        <f>+IFERROR(INDEX(Assumptions!$F$31:$F$42, MATCH(BF62, Assumptions!$D$31:$D$42, 0))*$C$64, 0)</f>
        <v>0</v>
      </c>
      <c r="BG67" s="9">
        <f>+IFERROR(INDEX(Assumptions!$F$31:$F$42, MATCH(BG62, Assumptions!$D$31:$D$42, 0))*$C$64, 0)</f>
        <v>0</v>
      </c>
      <c r="BH67" s="9">
        <f>+IFERROR(INDEX(Assumptions!$F$31:$F$42, MATCH(BH62, Assumptions!$D$31:$D$42, 0))*$C$64, 0)</f>
        <v>0</v>
      </c>
      <c r="BI67" s="9">
        <f>+IFERROR(INDEX(Assumptions!$F$31:$F$42, MATCH(BI62, Assumptions!$D$31:$D$42, 0))*$C$64, 0)</f>
        <v>0</v>
      </c>
      <c r="BJ67" s="9">
        <f>+IFERROR(INDEX(Assumptions!$F$31:$F$42, MATCH(BJ62, Assumptions!$D$31:$D$42, 0))*$C$64, 0)</f>
        <v>0</v>
      </c>
      <c r="BK67" s="9">
        <f>+IFERROR(INDEX(Assumptions!$F$31:$F$42, MATCH(BK62, Assumptions!$D$31:$D$42, 0))*$C$64, 0)</f>
        <v>0</v>
      </c>
      <c r="BL67" s="9">
        <f>+IFERROR(INDEX(Assumptions!$F$31:$F$42, MATCH(BL62, Assumptions!$D$31:$D$42, 0))*$C$64, 0)</f>
        <v>0</v>
      </c>
      <c r="BM67" s="9">
        <f>+IFERROR(INDEX(Assumptions!$F$31:$F$42, MATCH(BM62, Assumptions!$D$31:$D$42, 0))*$C$64, 0)</f>
        <v>0</v>
      </c>
      <c r="BN67" s="9">
        <f>+IFERROR(INDEX(Assumptions!$F$31:$F$42, MATCH(BN62, Assumptions!$D$31:$D$42, 0))*$C$64, 0)</f>
        <v>0</v>
      </c>
      <c r="BO67" s="9">
        <f>+IFERROR(INDEX(Assumptions!$F$31:$F$42, MATCH(BO62, Assumptions!$D$31:$D$42, 0))*$C$64, 0)</f>
        <v>0</v>
      </c>
      <c r="BP67" s="9">
        <f>+IFERROR(INDEX(Assumptions!$F$31:$F$42, MATCH(BP62, Assumptions!$D$31:$D$42, 0))*$C$64, 0)</f>
        <v>0</v>
      </c>
      <c r="BQ67" s="9">
        <f>+IFERROR(INDEX(Assumptions!$F$31:$F$42, MATCH(BQ62, Assumptions!$D$31:$D$42, 0))*$C$64, 0)</f>
        <v>0</v>
      </c>
      <c r="BR67" s="9">
        <f>+IFERROR(INDEX(Assumptions!$F$31:$F$42, MATCH(BR62, Assumptions!$D$31:$D$42, 0))*$C$64, 0)</f>
        <v>0</v>
      </c>
      <c r="BS67" s="9">
        <f>+IFERROR(INDEX(Assumptions!$F$31:$F$42, MATCH(BS62, Assumptions!$D$31:$D$42, 0))*$C$64, 0)</f>
        <v>0</v>
      </c>
      <c r="BT67" s="9">
        <f>+IFERROR(INDEX(Assumptions!$F$31:$F$42, MATCH(BT62, Assumptions!$D$31:$D$42, 0))*$C$64, 0)</f>
        <v>0</v>
      </c>
      <c r="BU67" s="9">
        <f>+IFERROR(INDEX(Assumptions!$F$31:$F$42, MATCH(BU62, Assumptions!$D$31:$D$42, 0))*$C$64, 0)</f>
        <v>0</v>
      </c>
      <c r="BV67" s="9">
        <f>+IFERROR(INDEX(Assumptions!$F$31:$F$42, MATCH(BV62, Assumptions!$D$31:$D$42, 0))*$C$64, 0)</f>
        <v>0</v>
      </c>
      <c r="BW67" s="9">
        <f>+IFERROR(INDEX(Assumptions!$F$31:$F$42, MATCH(BW62, Assumptions!$D$31:$D$42, 0))*$C$64, 0)</f>
        <v>0</v>
      </c>
      <c r="BX67" s="9">
        <f>+IFERROR(INDEX(Assumptions!$F$31:$F$42, MATCH(BX62, Assumptions!$D$31:$D$42, 0))*$C$64, 0)</f>
        <v>0</v>
      </c>
      <c r="BY67" s="9">
        <f>+IFERROR(INDEX(Assumptions!$F$31:$F$42, MATCH(BY62, Assumptions!$D$31:$D$42, 0))*$C$64, 0)</f>
        <v>0</v>
      </c>
      <c r="BZ67" s="9">
        <f>+IFERROR(INDEX(Assumptions!$F$31:$F$42, MATCH(BZ62, Assumptions!$D$31:$D$42, 0))*$C$64, 0)</f>
        <v>0</v>
      </c>
      <c r="CA67" s="9">
        <f>+IFERROR(INDEX(Assumptions!$F$31:$F$42, MATCH(CA62, Assumptions!$D$31:$D$42, 0))*$C$64, 0)</f>
        <v>0</v>
      </c>
      <c r="CB67" s="9">
        <f>+IFERROR(INDEX(Assumptions!$F$31:$F$42, MATCH(CB62, Assumptions!$D$31:$D$42, 0))*$C$64, 0)</f>
        <v>0</v>
      </c>
      <c r="CC67" s="9">
        <f>+IFERROR(INDEX(Assumptions!$F$31:$F$42, MATCH(CC62, Assumptions!$D$31:$D$42, 0))*$C$64, 0)</f>
        <v>0</v>
      </c>
      <c r="CD67" s="9">
        <f>+IFERROR(INDEX(Assumptions!$F$31:$F$42, MATCH(CD62, Assumptions!$D$31:$D$42, 0))*$C$64, 0)</f>
        <v>0</v>
      </c>
      <c r="CE67" s="9">
        <f>+IFERROR(INDEX(Assumptions!$F$31:$F$42, MATCH(CE62, Assumptions!$D$31:$D$42, 0))*$C$64, 0)</f>
        <v>0</v>
      </c>
      <c r="CF67" s="9">
        <f>+IFERROR(INDEX(Assumptions!$F$31:$F$42, MATCH(CF62, Assumptions!$D$31:$D$42, 0))*$C$64, 0)</f>
        <v>0</v>
      </c>
      <c r="CG67" s="9">
        <f>+IFERROR(INDEX(Assumptions!$F$31:$F$42, MATCH(CG62, Assumptions!$D$31:$D$42, 0))*$C$64, 0)</f>
        <v>0</v>
      </c>
      <c r="CH67" s="9">
        <f>+IFERROR(INDEX(Assumptions!$F$31:$F$42, MATCH(CH62, Assumptions!$D$31:$D$42, 0))*$C$64, 0)</f>
        <v>0</v>
      </c>
      <c r="CI67" s="9">
        <f>+IFERROR(INDEX(Assumptions!$F$31:$F$42, MATCH(CI62, Assumptions!$D$31:$D$42, 0))*$C$64, 0)</f>
        <v>0</v>
      </c>
      <c r="CJ67" s="9">
        <f>+IFERROR(INDEX(Assumptions!$F$31:$F$42, MATCH(CJ62, Assumptions!$D$31:$D$42, 0))*$C$64, 0)</f>
        <v>0</v>
      </c>
      <c r="CK67" s="9">
        <f>+IFERROR(INDEX(Assumptions!$F$31:$F$42, MATCH(CK62, Assumptions!$D$31:$D$42, 0))*$C$64, 0)</f>
        <v>490000</v>
      </c>
      <c r="CL67" s="9">
        <f>+IFERROR(INDEX(Assumptions!$F$31:$F$42, MATCH(CL62, Assumptions!$D$31:$D$42, 0))*$C$64, 0)</f>
        <v>0</v>
      </c>
      <c r="CM67" s="9">
        <f>+IFERROR(INDEX(Assumptions!$F$31:$F$42, MATCH(CM62, Assumptions!$D$31:$D$42, 0))*$C$64, 0)</f>
        <v>0</v>
      </c>
      <c r="CN67" s="9">
        <f>+IFERROR(INDEX(Assumptions!$F$31:$F$42, MATCH(CN62, Assumptions!$D$31:$D$42, 0))*$C$64, 0)</f>
        <v>0</v>
      </c>
      <c r="CO67" s="9">
        <f>+IFERROR(INDEX(Assumptions!$F$31:$F$42, MATCH(CO62, Assumptions!$D$31:$D$42, 0))*$C$64, 0)</f>
        <v>980000</v>
      </c>
      <c r="CP67" s="9">
        <f>+IFERROR(INDEX(Assumptions!$F$31:$F$42, MATCH(CP62, Assumptions!$D$31:$D$42, 0))*$C$64, 0)</f>
        <v>1225000</v>
      </c>
      <c r="CQ67" s="9">
        <f>+IFERROR(INDEX(Assumptions!$F$31:$F$42, MATCH(CQ62, Assumptions!$D$31:$D$42, 0))*$C$64, 0)</f>
        <v>735000</v>
      </c>
      <c r="CR67" s="9">
        <f>+IFERROR(INDEX(Assumptions!$F$31:$F$42, MATCH(CR62, Assumptions!$D$31:$D$42, 0))*$C$64, 0)</f>
        <v>0</v>
      </c>
      <c r="CS67" s="9">
        <f>+IFERROR(INDEX(Assumptions!$F$31:$F$42, MATCH(CS62, Assumptions!$D$31:$D$42, 0))*$C$64, 0)</f>
        <v>735000</v>
      </c>
      <c r="CT67" s="9">
        <f>+IFERROR(INDEX(Assumptions!$F$31:$F$42, MATCH(CT62, Assumptions!$D$31:$D$42, 0))*$C$64, 0)</f>
        <v>0</v>
      </c>
      <c r="CU67" s="9">
        <f>+IFERROR(INDEX(Assumptions!$F$31:$F$42, MATCH(CU62, Assumptions!$D$31:$D$42, 0))*$C$64, 0)</f>
        <v>735000</v>
      </c>
      <c r="CV67" s="9">
        <f>+IFERROR(INDEX(Assumptions!$F$31:$F$42, MATCH(CV62, Assumptions!$D$31:$D$42, 0))*$C$64, 0)</f>
        <v>0</v>
      </c>
      <c r="CW67" s="9">
        <f>+IFERROR(INDEX(Assumptions!$F$31:$F$42, MATCH(CW62, Assumptions!$D$31:$D$42, 0))*$C$64, 0)</f>
        <v>0</v>
      </c>
      <c r="CX67" s="9">
        <f>+IFERROR(INDEX(Assumptions!$F$31:$F$42, MATCH(CX62, Assumptions!$D$31:$D$42, 0))*$C$64, 0)</f>
        <v>0</v>
      </c>
      <c r="CY67" s="9">
        <f>+IFERROR(INDEX(Assumptions!$F$31:$F$42, MATCH(CY62, Assumptions!$D$31:$D$42, 0))*$C$64, 0)</f>
        <v>0</v>
      </c>
      <c r="CZ67" s="9">
        <f>+IFERROR(INDEX(Assumptions!$F$31:$F$42, MATCH(CZ62, Assumptions!$D$31:$D$42, 0))*$C$64, 0)</f>
        <v>0</v>
      </c>
      <c r="DA67" s="9">
        <f>+IFERROR(INDEX(Assumptions!$F$31:$F$42, MATCH(DA62, Assumptions!$D$31:$D$42, 0))*$C$64, 0)</f>
        <v>0</v>
      </c>
      <c r="DB67" s="9">
        <f>+IFERROR(INDEX(Assumptions!$F$31:$F$42, MATCH(DB62, Assumptions!$D$31:$D$42, 0))*$C$64, 0)</f>
        <v>0</v>
      </c>
      <c r="DC67" s="9">
        <f>+IFERROR(INDEX(Assumptions!$F$31:$F$42, MATCH(DC62, Assumptions!$D$31:$D$42, 0))*$C$64, 0)</f>
        <v>0</v>
      </c>
      <c r="DD67" s="9">
        <f>+IFERROR(INDEX(Assumptions!$F$31:$F$42, MATCH(DD62, Assumptions!$D$31:$D$42, 0))*$C$64, 0)</f>
        <v>0</v>
      </c>
      <c r="DE67" s="9">
        <f>+IFERROR(INDEX(Assumptions!$F$31:$F$42, MATCH(DE62, Assumptions!$D$31:$D$42, 0))*$C$64, 0)</f>
        <v>0</v>
      </c>
      <c r="DF67" s="9">
        <f>+IFERROR(INDEX(Assumptions!$F$31:$F$42, MATCH(DF62, Assumptions!$D$31:$D$42, 0))*$C$64, 0)</f>
        <v>0</v>
      </c>
      <c r="DG67" s="9">
        <f>+IFERROR(INDEX(Assumptions!$F$31:$F$42, MATCH(DG62, Assumptions!$D$31:$D$42, 0))*$C$64, 0)</f>
        <v>0</v>
      </c>
      <c r="DH67" s="9">
        <f>+IFERROR(INDEX(Assumptions!$F$31:$F$42, MATCH(DH62, Assumptions!$D$31:$D$42, 0))*$C$64, 0)</f>
        <v>0</v>
      </c>
    </row>
    <row r="68" spans="2:112" x14ac:dyDescent="0.3">
      <c r="D68" t="s">
        <v>289</v>
      </c>
      <c r="F68" s="9">
        <f t="shared" ref="F68" si="1875">+F67+E68</f>
        <v>0</v>
      </c>
      <c r="G68" s="9">
        <f t="shared" ref="G68" si="1876">+G67+F68</f>
        <v>0</v>
      </c>
      <c r="H68" s="9">
        <f t="shared" ref="H68" si="1877">+H67+G68</f>
        <v>0</v>
      </c>
      <c r="I68" s="9">
        <f t="shared" ref="I68" si="1878">+I67+H68</f>
        <v>0</v>
      </c>
      <c r="J68" s="9">
        <f t="shared" ref="J68" si="1879">+J67+I68</f>
        <v>0</v>
      </c>
      <c r="K68" s="9">
        <f t="shared" ref="K68" si="1880">+K67+J68</f>
        <v>0</v>
      </c>
      <c r="L68" s="9">
        <f t="shared" ref="L68" si="1881">+L67+K68</f>
        <v>0</v>
      </c>
      <c r="M68" s="9">
        <f t="shared" ref="M68" si="1882">+M67+L68</f>
        <v>0</v>
      </c>
      <c r="N68" s="9">
        <f t="shared" ref="N68" si="1883">+N67+M68</f>
        <v>0</v>
      </c>
      <c r="O68" s="9">
        <f t="shared" ref="O68" si="1884">+O67+N68</f>
        <v>0</v>
      </c>
      <c r="P68" s="9">
        <f t="shared" ref="P68" si="1885">+P67+O68</f>
        <v>0</v>
      </c>
      <c r="Q68" s="9">
        <f t="shared" ref="Q68" si="1886">+Q67+P68</f>
        <v>0</v>
      </c>
      <c r="R68" s="9">
        <f t="shared" ref="R68" si="1887">+R67+Q68</f>
        <v>0</v>
      </c>
      <c r="S68" s="9">
        <f t="shared" ref="S68" si="1888">+S67+R68</f>
        <v>0</v>
      </c>
      <c r="T68" s="9">
        <f t="shared" ref="T68" si="1889">+T67+S68</f>
        <v>0</v>
      </c>
      <c r="U68" s="9">
        <f t="shared" ref="U68" si="1890">+U67+T68</f>
        <v>0</v>
      </c>
      <c r="V68" s="9">
        <f t="shared" ref="V68" si="1891">+V67+U68</f>
        <v>0</v>
      </c>
      <c r="W68" s="9">
        <f t="shared" ref="W68" si="1892">+W67+V68</f>
        <v>0</v>
      </c>
      <c r="X68" s="9">
        <f t="shared" ref="X68" si="1893">+X67+W68</f>
        <v>0</v>
      </c>
      <c r="Y68" s="172">
        <f t="shared" ref="Y68" si="1894">+Y67+X68</f>
        <v>0</v>
      </c>
      <c r="Z68" s="9">
        <f t="shared" ref="Z68" si="1895">+Z67+Y68</f>
        <v>0</v>
      </c>
      <c r="AA68" s="9">
        <f t="shared" ref="AA68" si="1896">+AA67+Z68</f>
        <v>0</v>
      </c>
      <c r="AB68" s="9">
        <f t="shared" ref="AB68" si="1897">+AB67+AA68</f>
        <v>0</v>
      </c>
      <c r="AC68" s="9">
        <f t="shared" ref="AC68" si="1898">+AC67+AB68</f>
        <v>0</v>
      </c>
      <c r="AD68" s="9">
        <f t="shared" ref="AD68" si="1899">+AD67+AC68</f>
        <v>0</v>
      </c>
      <c r="AE68" s="9">
        <f t="shared" ref="AE68" si="1900">+AE67+AD68</f>
        <v>0</v>
      </c>
      <c r="AF68" s="9">
        <f t="shared" ref="AF68" si="1901">+AF67+AE68</f>
        <v>0</v>
      </c>
      <c r="AG68" s="9">
        <f t="shared" ref="AG68" si="1902">+AG67+AF68</f>
        <v>0</v>
      </c>
      <c r="AH68" s="9">
        <f t="shared" ref="AH68" si="1903">+AH67+AG68</f>
        <v>0</v>
      </c>
      <c r="AI68" s="9">
        <f t="shared" ref="AI68" si="1904">+AI67+AH68</f>
        <v>0</v>
      </c>
      <c r="AJ68" s="9">
        <f t="shared" ref="AJ68" si="1905">+AJ67+AI68</f>
        <v>0</v>
      </c>
      <c r="AK68" s="9">
        <f t="shared" ref="AK68" si="1906">+AK67+AJ68</f>
        <v>0</v>
      </c>
      <c r="AL68" s="9">
        <f t="shared" ref="AL68" si="1907">+AL67+AK68</f>
        <v>0</v>
      </c>
      <c r="AM68" s="9">
        <f t="shared" ref="AM68" si="1908">+AM67+AL68</f>
        <v>0</v>
      </c>
      <c r="AN68" s="9">
        <f t="shared" ref="AN68" si="1909">+AN67+AM68</f>
        <v>0</v>
      </c>
      <c r="AO68" s="9">
        <f t="shared" ref="AO68" si="1910">+AO67+AN68</f>
        <v>0</v>
      </c>
      <c r="AP68" s="9">
        <f t="shared" ref="AP68" si="1911">+AP67+AO68</f>
        <v>0</v>
      </c>
      <c r="AQ68" s="9">
        <f t="shared" ref="AQ68" si="1912">+AQ67+AP68</f>
        <v>0</v>
      </c>
      <c r="AR68" s="9">
        <f t="shared" ref="AR68" si="1913">+AR67+AQ68</f>
        <v>0</v>
      </c>
      <c r="AS68" s="9">
        <f t="shared" ref="AS68" si="1914">+AS67+AR68</f>
        <v>0</v>
      </c>
      <c r="AT68" s="9">
        <f t="shared" ref="AT68" si="1915">+AT67+AS68</f>
        <v>0</v>
      </c>
      <c r="AU68" s="9">
        <f t="shared" ref="AU68" si="1916">+AU67+AT68</f>
        <v>0</v>
      </c>
      <c r="AV68" s="9">
        <f t="shared" ref="AV68" si="1917">+AV67+AU68</f>
        <v>0</v>
      </c>
      <c r="AW68" s="9">
        <f t="shared" ref="AW68" si="1918">+AW67+AV68</f>
        <v>0</v>
      </c>
      <c r="AX68" s="9">
        <f t="shared" ref="AX68" si="1919">+AX67+AW68</f>
        <v>0</v>
      </c>
      <c r="AY68" s="9">
        <f t="shared" ref="AY68" si="1920">+AY67+AX68</f>
        <v>0</v>
      </c>
      <c r="AZ68" s="9">
        <f t="shared" ref="AZ68" si="1921">+AZ67+AY68</f>
        <v>0</v>
      </c>
      <c r="BA68" s="9">
        <f t="shared" ref="BA68" si="1922">+BA67+AZ68</f>
        <v>0</v>
      </c>
      <c r="BB68" s="9">
        <f t="shared" ref="BB68" si="1923">+BB67+BA68</f>
        <v>0</v>
      </c>
      <c r="BC68" s="9">
        <f t="shared" ref="BC68" si="1924">+BC67+BB68</f>
        <v>0</v>
      </c>
      <c r="BD68" s="9">
        <f t="shared" ref="BD68" si="1925">+BD67+BC68</f>
        <v>0</v>
      </c>
      <c r="BE68" s="9">
        <f t="shared" ref="BE68" si="1926">+BE67+BD68</f>
        <v>0</v>
      </c>
      <c r="BF68" s="9">
        <f t="shared" ref="BF68" si="1927">+BF67+BE68</f>
        <v>0</v>
      </c>
      <c r="BG68" s="9">
        <f t="shared" ref="BG68" si="1928">+BG67+BF68</f>
        <v>0</v>
      </c>
      <c r="BH68" s="9">
        <f t="shared" ref="BH68" si="1929">+BH67+BG68</f>
        <v>0</v>
      </c>
      <c r="BI68" s="9">
        <f t="shared" ref="BI68" si="1930">+BI67+BH68</f>
        <v>0</v>
      </c>
      <c r="BJ68" s="9">
        <f t="shared" ref="BJ68" si="1931">+BJ67+BI68</f>
        <v>0</v>
      </c>
      <c r="BK68" s="9">
        <f t="shared" ref="BK68" si="1932">+BK67+BJ68</f>
        <v>0</v>
      </c>
      <c r="BL68" s="9">
        <f t="shared" ref="BL68" si="1933">+BL67+BK68</f>
        <v>0</v>
      </c>
      <c r="BM68" s="9">
        <f t="shared" ref="BM68" si="1934">+BM67+BL68</f>
        <v>0</v>
      </c>
      <c r="BN68" s="9">
        <f t="shared" ref="BN68" si="1935">+BN67+BM68</f>
        <v>0</v>
      </c>
      <c r="BO68" s="9">
        <f t="shared" ref="BO68" si="1936">+BO67+BN68</f>
        <v>0</v>
      </c>
      <c r="BP68" s="9">
        <f t="shared" ref="BP68" si="1937">+BP67+BO68</f>
        <v>0</v>
      </c>
      <c r="BQ68" s="9">
        <f t="shared" ref="BQ68" si="1938">+BQ67+BP68</f>
        <v>0</v>
      </c>
      <c r="BR68" s="9">
        <f t="shared" ref="BR68" si="1939">+BR67+BQ68</f>
        <v>0</v>
      </c>
      <c r="BS68" s="9">
        <f t="shared" ref="BS68" si="1940">+BS67+BR68</f>
        <v>0</v>
      </c>
      <c r="BT68" s="9">
        <f t="shared" ref="BT68" si="1941">+BT67+BS68</f>
        <v>0</v>
      </c>
      <c r="BU68" s="9">
        <f t="shared" ref="BU68" si="1942">+BU67+BT68</f>
        <v>0</v>
      </c>
      <c r="BV68" s="9">
        <f t="shared" ref="BV68" si="1943">+BV67+BU68</f>
        <v>0</v>
      </c>
      <c r="BW68" s="9">
        <f t="shared" ref="BW68" si="1944">+BW67+BV68</f>
        <v>0</v>
      </c>
      <c r="BX68" s="9">
        <f t="shared" ref="BX68" si="1945">+BX67+BW68</f>
        <v>0</v>
      </c>
      <c r="BY68" s="9">
        <f t="shared" ref="BY68" si="1946">+BY67+BX68</f>
        <v>0</v>
      </c>
      <c r="BZ68" s="9">
        <f t="shared" ref="BZ68" si="1947">+BZ67+BY68</f>
        <v>0</v>
      </c>
      <c r="CA68" s="9">
        <f t="shared" ref="CA68" si="1948">+CA67+BZ68</f>
        <v>0</v>
      </c>
      <c r="CB68" s="9">
        <f t="shared" ref="CB68" si="1949">+CB67+CA68</f>
        <v>0</v>
      </c>
      <c r="CC68" s="9">
        <f t="shared" ref="CC68" si="1950">+CC67+CB68</f>
        <v>0</v>
      </c>
      <c r="CD68" s="9">
        <f t="shared" ref="CD68" si="1951">+CD67+CC68</f>
        <v>0</v>
      </c>
      <c r="CE68" s="9">
        <f t="shared" ref="CE68" si="1952">+CE67+CD68</f>
        <v>0</v>
      </c>
      <c r="CF68" s="9">
        <f t="shared" ref="CF68" si="1953">+CF67+CE68</f>
        <v>0</v>
      </c>
      <c r="CG68" s="9">
        <f t="shared" ref="CG68" si="1954">+CG67+CF68</f>
        <v>0</v>
      </c>
      <c r="CH68" s="9">
        <f t="shared" ref="CH68" si="1955">+CH67+CG68</f>
        <v>0</v>
      </c>
      <c r="CI68" s="9">
        <f t="shared" ref="CI68" si="1956">+CI67+CH68</f>
        <v>0</v>
      </c>
      <c r="CJ68" s="9">
        <f t="shared" ref="CJ68" si="1957">+CJ67+CI68</f>
        <v>0</v>
      </c>
      <c r="CK68" s="9">
        <f t="shared" ref="CK68" si="1958">+CK67+CJ68</f>
        <v>490000</v>
      </c>
      <c r="CL68" s="9">
        <f t="shared" ref="CL68" si="1959">+CL67+CK68</f>
        <v>490000</v>
      </c>
      <c r="CM68" s="9">
        <f t="shared" ref="CM68" si="1960">+CM67+CL68</f>
        <v>490000</v>
      </c>
      <c r="CN68" s="9">
        <f t="shared" ref="CN68" si="1961">+CN67+CM68</f>
        <v>490000</v>
      </c>
      <c r="CO68" s="9">
        <f t="shared" ref="CO68" si="1962">+CO67+CN68</f>
        <v>1470000</v>
      </c>
      <c r="CP68" s="9">
        <f t="shared" ref="CP68" si="1963">+CP67+CO68</f>
        <v>2695000</v>
      </c>
      <c r="CQ68" s="9">
        <f t="shared" ref="CQ68" si="1964">+CQ67+CP68</f>
        <v>3430000</v>
      </c>
      <c r="CR68" s="9">
        <f t="shared" ref="CR68" si="1965">+CR67+CQ68</f>
        <v>3430000</v>
      </c>
      <c r="CS68" s="9">
        <f t="shared" ref="CS68" si="1966">+CS67+CR68</f>
        <v>4165000</v>
      </c>
      <c r="CT68" s="9">
        <f t="shared" ref="CT68" si="1967">+CT67+CS68</f>
        <v>4165000</v>
      </c>
      <c r="CU68" s="9">
        <f t="shared" ref="CU68" si="1968">+CU67+CT68</f>
        <v>4900000</v>
      </c>
      <c r="CV68" s="9">
        <f t="shared" ref="CV68" si="1969">+CV67+CU68</f>
        <v>4900000</v>
      </c>
      <c r="CW68" s="9">
        <f t="shared" ref="CW68" si="1970">+CW67+CV68</f>
        <v>4900000</v>
      </c>
      <c r="CX68" s="9">
        <f t="shared" ref="CX68" si="1971">+CX67+CW68</f>
        <v>4900000</v>
      </c>
      <c r="CY68" s="9">
        <f t="shared" ref="CY68" si="1972">+CY67+CX68</f>
        <v>4900000</v>
      </c>
      <c r="CZ68" s="9">
        <f t="shared" ref="CZ68" si="1973">+CZ67+CY68</f>
        <v>4900000</v>
      </c>
      <c r="DA68" s="9">
        <f t="shared" ref="DA68" si="1974">+DA67+CZ68</f>
        <v>4900000</v>
      </c>
      <c r="DB68" s="9">
        <f t="shared" ref="DB68" si="1975">+DB67+DA68</f>
        <v>4900000</v>
      </c>
      <c r="DC68" s="9">
        <f t="shared" ref="DC68" si="1976">+DC67+DB68</f>
        <v>4900000</v>
      </c>
      <c r="DD68" s="9">
        <f t="shared" ref="DD68" si="1977">+DD67+DC68</f>
        <v>4900000</v>
      </c>
      <c r="DE68" s="9">
        <f t="shared" ref="DE68" si="1978">+DE67+DD68</f>
        <v>4900000</v>
      </c>
      <c r="DF68" s="9">
        <f t="shared" ref="DF68" si="1979">+DF67+DE68</f>
        <v>4900000</v>
      </c>
      <c r="DG68" s="9">
        <f t="shared" ref="DG68:DH68" si="1980">+DG67+DF68</f>
        <v>4900000</v>
      </c>
      <c r="DH68" s="9">
        <f t="shared" si="1980"/>
        <v>4900000</v>
      </c>
    </row>
    <row r="69" spans="2:112" x14ac:dyDescent="0.3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72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</row>
    <row r="70" spans="2:112" x14ac:dyDescent="0.3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72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2:112" x14ac:dyDescent="0.3">
      <c r="B71" s="515"/>
      <c r="C71" s="45"/>
      <c r="D71" s="45" t="s">
        <v>351</v>
      </c>
      <c r="E71" s="45"/>
      <c r="F71" s="516">
        <f>+F18+F9+F26+F34+F42+F50+F58+F67</f>
        <v>0</v>
      </c>
      <c r="G71" s="516">
        <f t="shared" ref="G71:BR71" si="1981">+G18+G9+G26+G34+G42+G50+G58+G67</f>
        <v>0</v>
      </c>
      <c r="H71" s="516">
        <f t="shared" si="1981"/>
        <v>0</v>
      </c>
      <c r="I71" s="516">
        <f t="shared" si="1981"/>
        <v>75000</v>
      </c>
      <c r="J71" s="516">
        <f t="shared" si="1981"/>
        <v>0</v>
      </c>
      <c r="K71" s="516">
        <f t="shared" si="1981"/>
        <v>0</v>
      </c>
      <c r="L71" s="516">
        <f t="shared" si="1981"/>
        <v>0</v>
      </c>
      <c r="M71" s="516">
        <f t="shared" si="1981"/>
        <v>0</v>
      </c>
      <c r="N71" s="516">
        <f t="shared" si="1981"/>
        <v>150000</v>
      </c>
      <c r="O71" s="516">
        <f t="shared" si="1981"/>
        <v>187500</v>
      </c>
      <c r="P71" s="516">
        <f t="shared" si="1981"/>
        <v>112500</v>
      </c>
      <c r="Q71" s="516">
        <f t="shared" si="1981"/>
        <v>0</v>
      </c>
      <c r="R71" s="516">
        <f t="shared" si="1981"/>
        <v>112500</v>
      </c>
      <c r="S71" s="516">
        <f t="shared" si="1981"/>
        <v>112500</v>
      </c>
      <c r="T71" s="516">
        <f t="shared" si="1981"/>
        <v>0</v>
      </c>
      <c r="U71" s="516">
        <f t="shared" si="1981"/>
        <v>0</v>
      </c>
      <c r="V71" s="516">
        <f t="shared" si="1981"/>
        <v>0</v>
      </c>
      <c r="W71" s="516">
        <f t="shared" si="1981"/>
        <v>0</v>
      </c>
      <c r="X71" s="516">
        <f t="shared" si="1981"/>
        <v>0</v>
      </c>
      <c r="Y71" s="517">
        <f t="shared" si="1981"/>
        <v>0</v>
      </c>
      <c r="Z71" s="516">
        <f t="shared" si="1981"/>
        <v>0</v>
      </c>
      <c r="AA71" s="516">
        <f t="shared" si="1981"/>
        <v>0</v>
      </c>
      <c r="AB71" s="516">
        <f t="shared" si="1981"/>
        <v>90000</v>
      </c>
      <c r="AC71" s="516">
        <f t="shared" si="1981"/>
        <v>0</v>
      </c>
      <c r="AD71" s="516">
        <f t="shared" si="1981"/>
        <v>0</v>
      </c>
      <c r="AE71" s="516">
        <f t="shared" si="1981"/>
        <v>0</v>
      </c>
      <c r="AF71" s="516">
        <f t="shared" si="1981"/>
        <v>180000</v>
      </c>
      <c r="AG71" s="516">
        <f t="shared" si="1981"/>
        <v>225000</v>
      </c>
      <c r="AH71" s="516">
        <f t="shared" si="1981"/>
        <v>285000</v>
      </c>
      <c r="AI71" s="516">
        <f t="shared" si="1981"/>
        <v>0</v>
      </c>
      <c r="AJ71" s="516">
        <f t="shared" si="1981"/>
        <v>135000</v>
      </c>
      <c r="AK71" s="516">
        <f t="shared" si="1981"/>
        <v>0</v>
      </c>
      <c r="AL71" s="516">
        <f t="shared" si="1981"/>
        <v>435000</v>
      </c>
      <c r="AM71" s="516">
        <f t="shared" si="1981"/>
        <v>375000</v>
      </c>
      <c r="AN71" s="516">
        <f t="shared" si="1981"/>
        <v>225000</v>
      </c>
      <c r="AO71" s="516">
        <f t="shared" si="1981"/>
        <v>0</v>
      </c>
      <c r="AP71" s="516">
        <f t="shared" si="1981"/>
        <v>225000</v>
      </c>
      <c r="AQ71" s="516">
        <f t="shared" si="1981"/>
        <v>0</v>
      </c>
      <c r="AR71" s="516">
        <f t="shared" si="1981"/>
        <v>225000</v>
      </c>
      <c r="AS71" s="516">
        <f t="shared" si="1981"/>
        <v>215000</v>
      </c>
      <c r="AT71" s="516">
        <f t="shared" si="1981"/>
        <v>0</v>
      </c>
      <c r="AU71" s="516">
        <f t="shared" si="1981"/>
        <v>0</v>
      </c>
      <c r="AV71" s="516">
        <f t="shared" si="1981"/>
        <v>0</v>
      </c>
      <c r="AW71" s="516">
        <f t="shared" si="1981"/>
        <v>430000</v>
      </c>
      <c r="AX71" s="516">
        <f t="shared" si="1981"/>
        <v>537500</v>
      </c>
      <c r="AY71" s="516">
        <f t="shared" si="1981"/>
        <v>322500</v>
      </c>
      <c r="AZ71" s="516">
        <f t="shared" si="1981"/>
        <v>0</v>
      </c>
      <c r="BA71" s="516">
        <f t="shared" si="1981"/>
        <v>322500</v>
      </c>
      <c r="BB71" s="516">
        <f t="shared" si="1981"/>
        <v>0</v>
      </c>
      <c r="BC71" s="516">
        <f t="shared" si="1981"/>
        <v>322500</v>
      </c>
      <c r="BD71" s="516">
        <f t="shared" si="1981"/>
        <v>0</v>
      </c>
      <c r="BE71" s="516">
        <f t="shared" si="1981"/>
        <v>295000</v>
      </c>
      <c r="BF71" s="516">
        <f t="shared" si="1981"/>
        <v>0</v>
      </c>
      <c r="BG71" s="516">
        <f t="shared" si="1981"/>
        <v>0</v>
      </c>
      <c r="BH71" s="516">
        <f t="shared" si="1981"/>
        <v>0</v>
      </c>
      <c r="BI71" s="516">
        <f t="shared" si="1981"/>
        <v>590000</v>
      </c>
      <c r="BJ71" s="516">
        <f t="shared" si="1981"/>
        <v>737500</v>
      </c>
      <c r="BK71" s="516">
        <f t="shared" si="1981"/>
        <v>442500</v>
      </c>
      <c r="BL71" s="516">
        <f t="shared" si="1981"/>
        <v>0</v>
      </c>
      <c r="BM71" s="516">
        <f t="shared" si="1981"/>
        <v>442500</v>
      </c>
      <c r="BN71" s="516">
        <f t="shared" si="1981"/>
        <v>0</v>
      </c>
      <c r="BO71" s="516">
        <f t="shared" si="1981"/>
        <v>442500</v>
      </c>
      <c r="BP71" s="516">
        <f t="shared" si="1981"/>
        <v>0</v>
      </c>
      <c r="BQ71" s="516">
        <f t="shared" si="1981"/>
        <v>340000</v>
      </c>
      <c r="BR71" s="516">
        <f t="shared" si="1981"/>
        <v>0</v>
      </c>
      <c r="BS71" s="516">
        <f t="shared" ref="BS71:DH71" si="1982">+BS18+BS9+BS26+BS34+BS42+BS50+BS58+BS67</f>
        <v>0</v>
      </c>
      <c r="BT71" s="516">
        <f t="shared" si="1982"/>
        <v>0</v>
      </c>
      <c r="BU71" s="516">
        <f t="shared" si="1982"/>
        <v>680000</v>
      </c>
      <c r="BV71" s="516">
        <f t="shared" si="1982"/>
        <v>850000</v>
      </c>
      <c r="BW71" s="516">
        <f t="shared" si="1982"/>
        <v>510000</v>
      </c>
      <c r="BX71" s="516">
        <f t="shared" si="1982"/>
        <v>0</v>
      </c>
      <c r="BY71" s="516">
        <f t="shared" si="1982"/>
        <v>510000</v>
      </c>
      <c r="BZ71" s="516">
        <f t="shared" si="1982"/>
        <v>0</v>
      </c>
      <c r="CA71" s="516">
        <f t="shared" si="1982"/>
        <v>510000</v>
      </c>
      <c r="CB71" s="516">
        <f t="shared" si="1982"/>
        <v>0</v>
      </c>
      <c r="CC71" s="516">
        <f t="shared" si="1982"/>
        <v>450000</v>
      </c>
      <c r="CD71" s="516">
        <f t="shared" si="1982"/>
        <v>0</v>
      </c>
      <c r="CE71" s="516">
        <f t="shared" si="1982"/>
        <v>0</v>
      </c>
      <c r="CF71" s="516">
        <f t="shared" si="1982"/>
        <v>0</v>
      </c>
      <c r="CG71" s="516">
        <f t="shared" si="1982"/>
        <v>900000</v>
      </c>
      <c r="CH71" s="516">
        <f t="shared" si="1982"/>
        <v>1125000</v>
      </c>
      <c r="CI71" s="516">
        <f t="shared" si="1982"/>
        <v>675000</v>
      </c>
      <c r="CJ71" s="516">
        <f t="shared" si="1982"/>
        <v>0</v>
      </c>
      <c r="CK71" s="516">
        <f t="shared" si="1982"/>
        <v>1165000</v>
      </c>
      <c r="CL71" s="516">
        <f t="shared" si="1982"/>
        <v>0</v>
      </c>
      <c r="CM71" s="516">
        <f t="shared" si="1982"/>
        <v>675000</v>
      </c>
      <c r="CN71" s="516">
        <f t="shared" si="1982"/>
        <v>0</v>
      </c>
      <c r="CO71" s="516">
        <f t="shared" si="1982"/>
        <v>980000</v>
      </c>
      <c r="CP71" s="516">
        <f t="shared" si="1982"/>
        <v>1225000</v>
      </c>
      <c r="CQ71" s="516">
        <f t="shared" si="1982"/>
        <v>735000</v>
      </c>
      <c r="CR71" s="516">
        <f t="shared" si="1982"/>
        <v>0</v>
      </c>
      <c r="CS71" s="516">
        <f t="shared" si="1982"/>
        <v>735000</v>
      </c>
      <c r="CT71" s="516">
        <f t="shared" si="1982"/>
        <v>0</v>
      </c>
      <c r="CU71" s="516">
        <f t="shared" si="1982"/>
        <v>735000</v>
      </c>
      <c r="CV71" s="516">
        <f t="shared" si="1982"/>
        <v>0</v>
      </c>
      <c r="CW71" s="516">
        <f t="shared" si="1982"/>
        <v>0</v>
      </c>
      <c r="CX71" s="516">
        <f t="shared" si="1982"/>
        <v>0</v>
      </c>
      <c r="CY71" s="516">
        <f t="shared" si="1982"/>
        <v>0</v>
      </c>
      <c r="CZ71" s="516">
        <f t="shared" si="1982"/>
        <v>0</v>
      </c>
      <c r="DA71" s="516">
        <f t="shared" si="1982"/>
        <v>0</v>
      </c>
      <c r="DB71" s="516">
        <f t="shared" si="1982"/>
        <v>0</v>
      </c>
      <c r="DC71" s="516">
        <f t="shared" si="1982"/>
        <v>0</v>
      </c>
      <c r="DD71" s="516">
        <f t="shared" si="1982"/>
        <v>0</v>
      </c>
      <c r="DE71" s="516">
        <f t="shared" si="1982"/>
        <v>0</v>
      </c>
      <c r="DF71" s="516">
        <f t="shared" si="1982"/>
        <v>0</v>
      </c>
      <c r="DG71" s="516">
        <f t="shared" si="1982"/>
        <v>0</v>
      </c>
      <c r="DH71" s="517">
        <f t="shared" si="1982"/>
        <v>0</v>
      </c>
    </row>
    <row r="72" spans="2:112" x14ac:dyDescent="0.3">
      <c r="B72" s="518"/>
      <c r="C72" s="519"/>
      <c r="D72" s="519" t="s">
        <v>361</v>
      </c>
      <c r="E72" s="519"/>
      <c r="F72" s="520">
        <f>+F14+F5+F22+F30+F38+F46+F54+F63</f>
        <v>0</v>
      </c>
      <c r="G72" s="520">
        <f t="shared" ref="G72:BR72" si="1983">+G14+G5+G22+G30+G38+G46+G54+G63</f>
        <v>0</v>
      </c>
      <c r="H72" s="520">
        <f t="shared" si="1983"/>
        <v>0</v>
      </c>
      <c r="I72" s="520">
        <f t="shared" si="1983"/>
        <v>0</v>
      </c>
      <c r="J72" s="520">
        <f t="shared" si="1983"/>
        <v>0</v>
      </c>
      <c r="K72" s="520">
        <f t="shared" si="1983"/>
        <v>0</v>
      </c>
      <c r="L72" s="520">
        <f t="shared" si="1983"/>
        <v>27721.396153846152</v>
      </c>
      <c r="M72" s="520">
        <f t="shared" si="1983"/>
        <v>2097.830769230769</v>
      </c>
      <c r="N72" s="520">
        <f t="shared" si="1983"/>
        <v>94903.523076923069</v>
      </c>
      <c r="O72" s="520">
        <f t="shared" si="1983"/>
        <v>170208.46153846153</v>
      </c>
      <c r="P72" s="520">
        <f t="shared" si="1983"/>
        <v>155068.78692307702</v>
      </c>
      <c r="Q72" s="520">
        <f t="shared" si="1983"/>
        <v>87244.400821314324</v>
      </c>
      <c r="R72" s="520">
        <f t="shared" si="1983"/>
        <v>18265.480044688287</v>
      </c>
      <c r="S72" s="520">
        <f t="shared" si="1983"/>
        <v>139877.15670038012</v>
      </c>
      <c r="T72" s="520">
        <f t="shared" si="1983"/>
        <v>54612.964280799766</v>
      </c>
      <c r="U72" s="520">
        <f t="shared" si="1983"/>
        <v>1995</v>
      </c>
      <c r="V72" s="520">
        <f t="shared" si="1983"/>
        <v>0</v>
      </c>
      <c r="W72" s="520">
        <f t="shared" si="1983"/>
        <v>0</v>
      </c>
      <c r="X72" s="520">
        <f t="shared" si="1983"/>
        <v>0</v>
      </c>
      <c r="Y72" s="521">
        <f t="shared" si="1983"/>
        <v>0</v>
      </c>
      <c r="Z72" s="520">
        <f t="shared" si="1983"/>
        <v>0</v>
      </c>
      <c r="AA72" s="520">
        <f t="shared" si="1983"/>
        <v>0</v>
      </c>
      <c r="AB72" s="520">
        <f t="shared" si="1983"/>
        <v>0</v>
      </c>
      <c r="AC72" s="520">
        <f t="shared" si="1983"/>
        <v>5424.2758533204296</v>
      </c>
      <c r="AD72" s="520">
        <f t="shared" si="1983"/>
        <v>775.80873005112676</v>
      </c>
      <c r="AE72" s="520">
        <f t="shared" si="1983"/>
        <v>32151.700723854017</v>
      </c>
      <c r="AF72" s="520">
        <f t="shared" si="1983"/>
        <v>2902.2908812357086</v>
      </c>
      <c r="AG72" s="520">
        <f t="shared" si="1983"/>
        <v>131296.40086473405</v>
      </c>
      <c r="AH72" s="520">
        <f t="shared" si="1983"/>
        <v>235458.92332221521</v>
      </c>
      <c r="AI72" s="520">
        <f t="shared" si="1983"/>
        <v>167696.7611635045</v>
      </c>
      <c r="AJ72" s="520">
        <f t="shared" si="1983"/>
        <v>105986.2955356624</v>
      </c>
      <c r="AK72" s="520">
        <f t="shared" si="1983"/>
        <v>75504.743926715979</v>
      </c>
      <c r="AL72" s="520">
        <f t="shared" si="1983"/>
        <v>172689.73950918234</v>
      </c>
      <c r="AM72" s="520">
        <f t="shared" si="1983"/>
        <v>257697.18791151649</v>
      </c>
      <c r="AN72" s="520">
        <f t="shared" si="1983"/>
        <v>392431.53887035867</v>
      </c>
      <c r="AO72" s="520">
        <f t="shared" si="1983"/>
        <v>264427.16901328409</v>
      </c>
      <c r="AP72" s="520">
        <f t="shared" si="1983"/>
        <v>174488.80164262865</v>
      </c>
      <c r="AQ72" s="520">
        <f t="shared" si="1983"/>
        <v>36530.960089376575</v>
      </c>
      <c r="AR72" s="520">
        <f t="shared" si="1983"/>
        <v>279754.31340076023</v>
      </c>
      <c r="AS72" s="520">
        <f t="shared" si="1983"/>
        <v>64783.088561599536</v>
      </c>
      <c r="AT72" s="520">
        <f t="shared" si="1983"/>
        <v>12957.99231626547</v>
      </c>
      <c r="AU72" s="520">
        <f t="shared" si="1983"/>
        <v>1853.3208551221362</v>
      </c>
      <c r="AV72" s="520">
        <f t="shared" si="1983"/>
        <v>76806.84061809571</v>
      </c>
      <c r="AW72" s="520">
        <f t="shared" si="1983"/>
        <v>6933.2504385075263</v>
      </c>
      <c r="AX72" s="520">
        <f t="shared" si="1983"/>
        <v>313652.51317686471</v>
      </c>
      <c r="AY72" s="520">
        <f t="shared" si="1983"/>
        <v>562485.20571418072</v>
      </c>
      <c r="AZ72" s="520">
        <f t="shared" si="1983"/>
        <v>379012.27558570716</v>
      </c>
      <c r="BA72" s="520">
        <f t="shared" si="1983"/>
        <v>250100.61568776774</v>
      </c>
      <c r="BB72" s="520">
        <f t="shared" si="1983"/>
        <v>52361.042794773093</v>
      </c>
      <c r="BC72" s="520">
        <f t="shared" si="1983"/>
        <v>400981.18254108966</v>
      </c>
      <c r="BD72" s="520">
        <f t="shared" si="1983"/>
        <v>92855.760271626001</v>
      </c>
      <c r="BE72" s="520">
        <f t="shared" si="1983"/>
        <v>0</v>
      </c>
      <c r="BF72" s="520">
        <f t="shared" si="1983"/>
        <v>17779.570852550296</v>
      </c>
      <c r="BG72" s="520">
        <f t="shared" si="1983"/>
        <v>2542.9286151675819</v>
      </c>
      <c r="BH72" s="520">
        <f t="shared" si="1983"/>
        <v>105386.13015041039</v>
      </c>
      <c r="BI72" s="520">
        <f t="shared" si="1983"/>
        <v>9513.0645551614889</v>
      </c>
      <c r="BJ72" s="520">
        <f t="shared" si="1983"/>
        <v>430360.42505662836</v>
      </c>
      <c r="BK72" s="520">
        <f t="shared" si="1983"/>
        <v>771782.02644503873</v>
      </c>
      <c r="BL72" s="520">
        <f t="shared" si="1983"/>
        <v>520040.09905945871</v>
      </c>
      <c r="BM72" s="520">
        <f t="shared" si="1983"/>
        <v>343161.3098971697</v>
      </c>
      <c r="BN72" s="520">
        <f t="shared" si="1983"/>
        <v>71844.221509107258</v>
      </c>
      <c r="BO72" s="520">
        <f t="shared" si="1983"/>
        <v>550183.48302149517</v>
      </c>
      <c r="BP72" s="520">
        <f t="shared" si="1983"/>
        <v>127406.74083781241</v>
      </c>
      <c r="BQ72" s="520">
        <f t="shared" si="1983"/>
        <v>0</v>
      </c>
      <c r="BR72" s="520">
        <f t="shared" si="1983"/>
        <v>20491.708779210512</v>
      </c>
      <c r="BS72" s="520">
        <f t="shared" ref="BS72:DH72" si="1984">+BS14+BS5+BS22+BS30+BS38+BS46+BS54+BS63</f>
        <v>2930.8329801931454</v>
      </c>
      <c r="BT72" s="520">
        <f t="shared" si="1984"/>
        <v>121461.98051233741</v>
      </c>
      <c r="BU72" s="520">
        <f t="shared" si="1984"/>
        <v>10964.209995779343</v>
      </c>
      <c r="BV72" s="520">
        <f t="shared" si="1984"/>
        <v>496008.62548899534</v>
      </c>
      <c r="BW72" s="520">
        <f t="shared" si="1984"/>
        <v>889511.48810614634</v>
      </c>
      <c r="BX72" s="520">
        <f t="shared" si="1984"/>
        <v>599368.24976344395</v>
      </c>
      <c r="BY72" s="520">
        <f t="shared" si="1984"/>
        <v>395507.95038995828</v>
      </c>
      <c r="BZ72" s="520">
        <f t="shared" si="1984"/>
        <v>82803.509535920239</v>
      </c>
      <c r="CA72" s="520">
        <f t="shared" si="1984"/>
        <v>634109.77704172325</v>
      </c>
      <c r="CB72" s="520">
        <f t="shared" si="1984"/>
        <v>146841.66740629228</v>
      </c>
      <c r="CC72" s="520">
        <f t="shared" si="1984"/>
        <v>0</v>
      </c>
      <c r="CD72" s="520">
        <f t="shared" si="1984"/>
        <v>27121.379266602147</v>
      </c>
      <c r="CE72" s="520">
        <f t="shared" si="1984"/>
        <v>3879.0436502556336</v>
      </c>
      <c r="CF72" s="520">
        <f t="shared" si="1984"/>
        <v>160758.50361927011</v>
      </c>
      <c r="CG72" s="520">
        <f t="shared" si="1984"/>
        <v>14511.454406178544</v>
      </c>
      <c r="CH72" s="520">
        <f t="shared" si="1984"/>
        <v>656482.00432367029</v>
      </c>
      <c r="CI72" s="520">
        <f t="shared" si="1984"/>
        <v>1177294.6166110761</v>
      </c>
      <c r="CJ72" s="520">
        <f t="shared" si="1984"/>
        <v>793281.50703985221</v>
      </c>
      <c r="CK72" s="520">
        <f t="shared" si="1984"/>
        <v>523466.40492788597</v>
      </c>
      <c r="CL72" s="520">
        <f t="shared" si="1984"/>
        <v>139125.04880287428</v>
      </c>
      <c r="CM72" s="520">
        <f t="shared" si="1984"/>
        <v>843486.78773255914</v>
      </c>
      <c r="CN72" s="520">
        <f t="shared" si="1984"/>
        <v>369397.41407022602</v>
      </c>
      <c r="CO72" s="520">
        <f t="shared" si="1984"/>
        <v>15801.361464505526</v>
      </c>
      <c r="CP72" s="520">
        <f t="shared" si="1984"/>
        <v>714835.96026355214</v>
      </c>
      <c r="CQ72" s="520">
        <f t="shared" si="1984"/>
        <v>1281943.0269765051</v>
      </c>
      <c r="CR72" s="520">
        <f t="shared" si="1984"/>
        <v>863795.41877672798</v>
      </c>
      <c r="CS72" s="520">
        <f t="shared" si="1984"/>
        <v>569996.75203258696</v>
      </c>
      <c r="CT72" s="520">
        <f t="shared" si="1984"/>
        <v>119334.46962529681</v>
      </c>
      <c r="CU72" s="520">
        <f t="shared" si="1984"/>
        <v>913864.09044248343</v>
      </c>
      <c r="CV72" s="520">
        <f t="shared" si="1984"/>
        <v>211624.7559678918</v>
      </c>
      <c r="CW72" s="520">
        <f t="shared" si="1984"/>
        <v>0</v>
      </c>
      <c r="CX72" s="520">
        <f t="shared" si="1984"/>
        <v>0</v>
      </c>
      <c r="CY72" s="520">
        <f t="shared" si="1984"/>
        <v>0</v>
      </c>
      <c r="CZ72" s="520">
        <f t="shared" si="1984"/>
        <v>0</v>
      </c>
      <c r="DA72" s="520">
        <f t="shared" si="1984"/>
        <v>0</v>
      </c>
      <c r="DB72" s="520">
        <f t="shared" si="1984"/>
        <v>0</v>
      </c>
      <c r="DC72" s="520">
        <f t="shared" si="1984"/>
        <v>0</v>
      </c>
      <c r="DD72" s="520">
        <f t="shared" si="1984"/>
        <v>0</v>
      </c>
      <c r="DE72" s="520">
        <f t="shared" si="1984"/>
        <v>0</v>
      </c>
      <c r="DF72" s="520">
        <f t="shared" si="1984"/>
        <v>0</v>
      </c>
      <c r="DG72" s="520">
        <f t="shared" si="1984"/>
        <v>0</v>
      </c>
      <c r="DH72" s="521">
        <f t="shared" si="1984"/>
        <v>0</v>
      </c>
    </row>
    <row r="73" spans="2:112" x14ac:dyDescent="0.3">
      <c r="B73" s="522"/>
      <c r="C73" s="523"/>
      <c r="D73" s="523" t="s">
        <v>6</v>
      </c>
      <c r="E73" s="523"/>
      <c r="F73" s="524">
        <f>+F7+F16+F24+F32+F40+F48+F56+F65</f>
        <v>0</v>
      </c>
      <c r="G73" s="524">
        <f t="shared" ref="G73:BR73" si="1985">+G7+G16+G24+G32+G40+G48+G56+G65</f>
        <v>0</v>
      </c>
      <c r="H73" s="524">
        <f t="shared" si="1985"/>
        <v>0</v>
      </c>
      <c r="I73" s="524">
        <f t="shared" si="1985"/>
        <v>0</v>
      </c>
      <c r="J73" s="524">
        <f t="shared" si="1985"/>
        <v>3398</v>
      </c>
      <c r="K73" s="524">
        <f t="shared" si="1985"/>
        <v>486</v>
      </c>
      <c r="L73" s="524">
        <f t="shared" si="1985"/>
        <v>20141.21</v>
      </c>
      <c r="M73" s="524">
        <f t="shared" si="1985"/>
        <v>1818.12</v>
      </c>
      <c r="N73" s="524">
        <f t="shared" si="1985"/>
        <v>82249.72</v>
      </c>
      <c r="O73" s="524">
        <f t="shared" si="1985"/>
        <v>147501.61000000002</v>
      </c>
      <c r="P73" s="524">
        <f t="shared" si="1985"/>
        <v>99389.14</v>
      </c>
      <c r="Q73" s="524">
        <f t="shared" si="1985"/>
        <v>65584.38</v>
      </c>
      <c r="R73" s="524">
        <f t="shared" si="1985"/>
        <v>13730.740000000002</v>
      </c>
      <c r="S73" s="524">
        <f t="shared" si="1985"/>
        <v>105150.09</v>
      </c>
      <c r="T73" s="524">
        <f t="shared" si="1985"/>
        <v>24349.75</v>
      </c>
      <c r="U73" s="524">
        <f t="shared" si="1985"/>
        <v>0</v>
      </c>
      <c r="V73" s="524">
        <f t="shared" si="1985"/>
        <v>0</v>
      </c>
      <c r="W73" s="524">
        <f t="shared" si="1985"/>
        <v>0</v>
      </c>
      <c r="X73" s="524">
        <f t="shared" si="1985"/>
        <v>0</v>
      </c>
      <c r="Y73" s="525">
        <f t="shared" si="1985"/>
        <v>0</v>
      </c>
      <c r="Z73" s="524">
        <f t="shared" si="1985"/>
        <v>0</v>
      </c>
      <c r="AA73" s="524">
        <f t="shared" si="1985"/>
        <v>0</v>
      </c>
      <c r="AB73" s="524">
        <f t="shared" si="1985"/>
        <v>0</v>
      </c>
      <c r="AC73" s="524">
        <f t="shared" si="1985"/>
        <v>3736.7233656207404</v>
      </c>
      <c r="AD73" s="524">
        <f t="shared" si="1985"/>
        <v>534.44601403522063</v>
      </c>
      <c r="AE73" s="524">
        <f t="shared" si="1985"/>
        <v>22148.949387543878</v>
      </c>
      <c r="AF73" s="524">
        <f t="shared" si="1985"/>
        <v>1999.3559404068214</v>
      </c>
      <c r="AG73" s="524">
        <f t="shared" si="1985"/>
        <v>90448.631706816799</v>
      </c>
      <c r="AH73" s="524">
        <f t="shared" si="1985"/>
        <v>162205.0360664149</v>
      </c>
      <c r="AI73" s="524">
        <f t="shared" si="1985"/>
        <v>113816.79306992445</v>
      </c>
      <c r="AJ73" s="524">
        <f t="shared" si="1985"/>
        <v>72768.545287329121</v>
      </c>
      <c r="AK73" s="524">
        <f t="shared" si="1985"/>
        <v>41892.547440153998</v>
      </c>
      <c r="AL73" s="524">
        <f t="shared" si="1985"/>
        <v>118050.35860667733</v>
      </c>
      <c r="AM73" s="524">
        <f t="shared" si="1985"/>
        <v>136190.67732607285</v>
      </c>
      <c r="AN73" s="524">
        <f t="shared" si="1985"/>
        <v>196215.76943517933</v>
      </c>
      <c r="AO73" s="524">
        <f t="shared" si="1985"/>
        <v>132213.58450664204</v>
      </c>
      <c r="AP73" s="524">
        <f t="shared" si="1985"/>
        <v>87244.400821314324</v>
      </c>
      <c r="AQ73" s="524">
        <f t="shared" si="1985"/>
        <v>18265.480044688287</v>
      </c>
      <c r="AR73" s="524">
        <f t="shared" si="1985"/>
        <v>139877.15670038012</v>
      </c>
      <c r="AS73" s="524">
        <f t="shared" si="1985"/>
        <v>32391.544280799768</v>
      </c>
      <c r="AT73" s="524">
        <f t="shared" si="1985"/>
        <v>5122.927194802628</v>
      </c>
      <c r="AU73" s="524">
        <f t="shared" si="1985"/>
        <v>732.70824504828636</v>
      </c>
      <c r="AV73" s="524">
        <f t="shared" si="1985"/>
        <v>30365.495128084352</v>
      </c>
      <c r="AW73" s="524">
        <f t="shared" si="1985"/>
        <v>2741.0524989448359</v>
      </c>
      <c r="AX73" s="524">
        <f t="shared" si="1985"/>
        <v>124002.15637224884</v>
      </c>
      <c r="AY73" s="524">
        <f t="shared" si="1985"/>
        <v>222377.87202653658</v>
      </c>
      <c r="AZ73" s="524">
        <f t="shared" si="1985"/>
        <v>149842.06244086099</v>
      </c>
      <c r="BA73" s="524">
        <f t="shared" si="1985"/>
        <v>98876.987597489569</v>
      </c>
      <c r="BB73" s="524">
        <f t="shared" si="1985"/>
        <v>20700.87738398006</v>
      </c>
      <c r="BC73" s="524">
        <f t="shared" si="1985"/>
        <v>158527.44426043081</v>
      </c>
      <c r="BD73" s="524">
        <f t="shared" si="1985"/>
        <v>36710.416851573071</v>
      </c>
      <c r="BE73" s="524">
        <f t="shared" si="1985"/>
        <v>0</v>
      </c>
      <c r="BF73" s="524">
        <f t="shared" si="1985"/>
        <v>5876.298841097132</v>
      </c>
      <c r="BG73" s="524">
        <f t="shared" si="1985"/>
        <v>840.4594575553873</v>
      </c>
      <c r="BH73" s="524">
        <f t="shared" si="1985"/>
        <v>34831.009117508518</v>
      </c>
      <c r="BI73" s="524">
        <f t="shared" si="1985"/>
        <v>3144.1484546720176</v>
      </c>
      <c r="BJ73" s="524">
        <f t="shared" si="1985"/>
        <v>142237.76760346189</v>
      </c>
      <c r="BK73" s="524">
        <f t="shared" si="1985"/>
        <v>255080.50026573314</v>
      </c>
      <c r="BL73" s="524">
        <f t="shared" si="1985"/>
        <v>171877.65985863467</v>
      </c>
      <c r="BM73" s="524">
        <f t="shared" si="1985"/>
        <v>113417.72106770863</v>
      </c>
      <c r="BN73" s="524">
        <f t="shared" si="1985"/>
        <v>23745.124058094774</v>
      </c>
      <c r="BO73" s="524">
        <f t="shared" si="1985"/>
        <v>181840.30371049416</v>
      </c>
      <c r="BP73" s="524">
        <f t="shared" si="1985"/>
        <v>42109.007565039698</v>
      </c>
      <c r="BQ73" s="524">
        <f t="shared" si="1985"/>
        <v>0</v>
      </c>
      <c r="BR73" s="524">
        <f t="shared" si="1985"/>
        <v>7232.3678044272392</v>
      </c>
      <c r="BS73" s="524">
        <f t="shared" ref="BS73:DH73" si="1986">+BS7+BS16+BS24+BS32+BS40+BS48+BS56+BS65</f>
        <v>1034.4116400681689</v>
      </c>
      <c r="BT73" s="524">
        <f t="shared" si="1986"/>
        <v>42868.934298472028</v>
      </c>
      <c r="BU73" s="524">
        <f t="shared" si="1986"/>
        <v>3869.7211749809449</v>
      </c>
      <c r="BV73" s="524">
        <f t="shared" si="1986"/>
        <v>175061.86781964541</v>
      </c>
      <c r="BW73" s="524">
        <f t="shared" si="1986"/>
        <v>313945.23109628691</v>
      </c>
      <c r="BX73" s="524">
        <f t="shared" si="1986"/>
        <v>211541.73521062726</v>
      </c>
      <c r="BY73" s="524">
        <f t="shared" si="1986"/>
        <v>139591.04131410291</v>
      </c>
      <c r="BZ73" s="524">
        <f t="shared" si="1986"/>
        <v>29224.768071501261</v>
      </c>
      <c r="CA73" s="524">
        <f t="shared" si="1986"/>
        <v>223803.45072060818</v>
      </c>
      <c r="CB73" s="524">
        <f t="shared" si="1986"/>
        <v>51826.470849279627</v>
      </c>
      <c r="CC73" s="524">
        <f t="shared" si="1986"/>
        <v>0</v>
      </c>
      <c r="CD73" s="524">
        <f t="shared" si="1986"/>
        <v>9040.4597555340497</v>
      </c>
      <c r="CE73" s="524">
        <f t="shared" si="1986"/>
        <v>1293.0145500852113</v>
      </c>
      <c r="CF73" s="524">
        <f t="shared" si="1986"/>
        <v>53586.167873090031</v>
      </c>
      <c r="CG73" s="524">
        <f t="shared" si="1986"/>
        <v>4837.1514687261815</v>
      </c>
      <c r="CH73" s="524">
        <f t="shared" si="1986"/>
        <v>218827.33477455677</v>
      </c>
      <c r="CI73" s="524">
        <f t="shared" si="1986"/>
        <v>392431.53887035867</v>
      </c>
      <c r="CJ73" s="524">
        <f t="shared" si="1986"/>
        <v>264427.16901328409</v>
      </c>
      <c r="CK73" s="524">
        <f t="shared" si="1986"/>
        <v>174488.80164262865</v>
      </c>
      <c r="CL73" s="524">
        <f t="shared" si="1986"/>
        <v>47379.511796017432</v>
      </c>
      <c r="CM73" s="524">
        <f t="shared" si="1986"/>
        <v>281305.93086086249</v>
      </c>
      <c r="CN73" s="524">
        <f t="shared" si="1986"/>
        <v>129086.49000930757</v>
      </c>
      <c r="CO73" s="524">
        <f t="shared" si="1986"/>
        <v>5804.5817624714173</v>
      </c>
      <c r="CP73" s="524">
        <f t="shared" si="1986"/>
        <v>262592.8017294681</v>
      </c>
      <c r="CQ73" s="524">
        <f t="shared" si="1986"/>
        <v>470917.84664443042</v>
      </c>
      <c r="CR73" s="524">
        <f t="shared" si="1986"/>
        <v>317312.60281594092</v>
      </c>
      <c r="CS73" s="524">
        <f t="shared" si="1986"/>
        <v>209386.56197115438</v>
      </c>
      <c r="CT73" s="524">
        <f t="shared" si="1986"/>
        <v>43837.152107251888</v>
      </c>
      <c r="CU73" s="524">
        <f t="shared" si="1986"/>
        <v>335705.17608091229</v>
      </c>
      <c r="CV73" s="524">
        <f t="shared" si="1986"/>
        <v>77739.706273919437</v>
      </c>
      <c r="CW73" s="524">
        <f t="shared" si="1986"/>
        <v>0</v>
      </c>
      <c r="CX73" s="524">
        <f t="shared" si="1986"/>
        <v>0</v>
      </c>
      <c r="CY73" s="524">
        <f t="shared" si="1986"/>
        <v>0</v>
      </c>
      <c r="CZ73" s="524">
        <f t="shared" si="1986"/>
        <v>0</v>
      </c>
      <c r="DA73" s="524">
        <f t="shared" si="1986"/>
        <v>0</v>
      </c>
      <c r="DB73" s="524">
        <f t="shared" si="1986"/>
        <v>0</v>
      </c>
      <c r="DC73" s="524">
        <f t="shared" si="1986"/>
        <v>0</v>
      </c>
      <c r="DD73" s="524">
        <f t="shared" si="1986"/>
        <v>0</v>
      </c>
      <c r="DE73" s="524">
        <f t="shared" si="1986"/>
        <v>0</v>
      </c>
      <c r="DF73" s="524">
        <f t="shared" si="1986"/>
        <v>0</v>
      </c>
      <c r="DG73" s="524">
        <f t="shared" si="1986"/>
        <v>0</v>
      </c>
      <c r="DH73" s="525">
        <f t="shared" si="1986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787C-5EC9-4E97-BE57-79BB5D1CFAF5}">
  <sheetPr>
    <tabColor theme="9" tint="-0.249977111117893"/>
  </sheetPr>
  <dimension ref="A2:CK44"/>
  <sheetViews>
    <sheetView showGridLines="0" topLeftCell="B17" zoomScale="70" zoomScaleNormal="100" workbookViewId="0">
      <selection activeCell="P20" sqref="P20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52" customWidth="1"/>
    <col min="5" max="5" width="11.5546875" bestFit="1" customWidth="1"/>
    <col min="6" max="6" width="10.6640625" bestFit="1" customWidth="1"/>
    <col min="7" max="7" width="12.6640625" bestFit="1" customWidth="1"/>
    <col min="8" max="8" width="13" bestFit="1" customWidth="1"/>
    <col min="9" max="9" width="13.44140625" bestFit="1" customWidth="1"/>
    <col min="10" max="10" width="13.33203125" bestFit="1" customWidth="1"/>
    <col min="11" max="11" width="13.109375" bestFit="1" customWidth="1"/>
    <col min="12" max="12" width="13.33203125" bestFit="1" customWidth="1"/>
    <col min="13" max="14" width="13.5546875" bestFit="1" customWidth="1"/>
    <col min="15" max="17" width="14" bestFit="1" customWidth="1"/>
    <col min="18" max="19" width="14.44140625" bestFit="1" customWidth="1"/>
    <col min="20" max="89" width="13.33203125" bestFit="1" customWidth="1"/>
  </cols>
  <sheetData>
    <row r="2" spans="1:89" s="283" customFormat="1" x14ac:dyDescent="0.3">
      <c r="A2" s="323" t="s">
        <v>336</v>
      </c>
      <c r="B2" s="324" t="s">
        <v>337</v>
      </c>
      <c r="C2" s="324"/>
      <c r="D2" s="325" t="s">
        <v>338</v>
      </c>
      <c r="E2" s="5"/>
      <c r="F2" s="326">
        <v>45322</v>
      </c>
      <c r="G2" s="327">
        <f>+EOMONTH(F2,1)</f>
        <v>45351</v>
      </c>
      <c r="H2" s="327">
        <f t="shared" ref="H2:BS2" si="0">+EOMONTH(G2,1)</f>
        <v>45382</v>
      </c>
      <c r="I2" s="327">
        <f t="shared" si="0"/>
        <v>45412</v>
      </c>
      <c r="J2" s="327">
        <f t="shared" si="0"/>
        <v>45443</v>
      </c>
      <c r="K2" s="327">
        <f t="shared" si="0"/>
        <v>45473</v>
      </c>
      <c r="L2" s="327">
        <f t="shared" si="0"/>
        <v>45504</v>
      </c>
      <c r="M2" s="327">
        <f t="shared" si="0"/>
        <v>45535</v>
      </c>
      <c r="N2" s="328">
        <f t="shared" si="0"/>
        <v>45565</v>
      </c>
      <c r="O2" s="327">
        <f t="shared" si="0"/>
        <v>45596</v>
      </c>
      <c r="P2" s="327">
        <f t="shared" si="0"/>
        <v>45626</v>
      </c>
      <c r="Q2" s="327">
        <f t="shared" si="0"/>
        <v>45657</v>
      </c>
      <c r="R2" s="327">
        <f t="shared" si="0"/>
        <v>45688</v>
      </c>
      <c r="S2" s="327">
        <f t="shared" si="0"/>
        <v>45716</v>
      </c>
      <c r="T2" s="327">
        <f t="shared" si="0"/>
        <v>45747</v>
      </c>
      <c r="U2" s="327">
        <f t="shared" si="0"/>
        <v>45777</v>
      </c>
      <c r="V2" s="327">
        <f t="shared" si="0"/>
        <v>45808</v>
      </c>
      <c r="W2" s="327">
        <f t="shared" si="0"/>
        <v>45838</v>
      </c>
      <c r="X2" s="327">
        <f t="shared" si="0"/>
        <v>45869</v>
      </c>
      <c r="Y2" s="327">
        <f t="shared" si="0"/>
        <v>45900</v>
      </c>
      <c r="Z2" s="327">
        <f t="shared" si="0"/>
        <v>45930</v>
      </c>
      <c r="AA2" s="327">
        <f t="shared" si="0"/>
        <v>45961</v>
      </c>
      <c r="AB2" s="327">
        <f t="shared" si="0"/>
        <v>45991</v>
      </c>
      <c r="AC2" s="327">
        <f t="shared" si="0"/>
        <v>46022</v>
      </c>
      <c r="AD2" s="327">
        <f t="shared" si="0"/>
        <v>46053</v>
      </c>
      <c r="AE2" s="327">
        <f t="shared" si="0"/>
        <v>46081</v>
      </c>
      <c r="AF2" s="327">
        <f t="shared" si="0"/>
        <v>46112</v>
      </c>
      <c r="AG2" s="327">
        <f t="shared" si="0"/>
        <v>46142</v>
      </c>
      <c r="AH2" s="327">
        <f t="shared" si="0"/>
        <v>46173</v>
      </c>
      <c r="AI2" s="327">
        <f t="shared" si="0"/>
        <v>46203</v>
      </c>
      <c r="AJ2" s="327">
        <f t="shared" si="0"/>
        <v>46234</v>
      </c>
      <c r="AK2" s="327">
        <f t="shared" si="0"/>
        <v>46265</v>
      </c>
      <c r="AL2" s="327">
        <f t="shared" si="0"/>
        <v>46295</v>
      </c>
      <c r="AM2" s="327">
        <f t="shared" si="0"/>
        <v>46326</v>
      </c>
      <c r="AN2" s="327">
        <f t="shared" si="0"/>
        <v>46356</v>
      </c>
      <c r="AO2" s="327">
        <f t="shared" si="0"/>
        <v>46387</v>
      </c>
      <c r="AP2" s="327">
        <f t="shared" si="0"/>
        <v>46418</v>
      </c>
      <c r="AQ2" s="327">
        <f t="shared" si="0"/>
        <v>46446</v>
      </c>
      <c r="AR2" s="327">
        <f t="shared" si="0"/>
        <v>46477</v>
      </c>
      <c r="AS2" s="327">
        <f t="shared" si="0"/>
        <v>46507</v>
      </c>
      <c r="AT2" s="327">
        <f t="shared" si="0"/>
        <v>46538</v>
      </c>
      <c r="AU2" s="327">
        <f t="shared" si="0"/>
        <v>46568</v>
      </c>
      <c r="AV2" s="327">
        <f t="shared" si="0"/>
        <v>46599</v>
      </c>
      <c r="AW2" s="327">
        <f t="shared" si="0"/>
        <v>46630</v>
      </c>
      <c r="AX2" s="327">
        <f t="shared" si="0"/>
        <v>46660</v>
      </c>
      <c r="AY2" s="327">
        <f t="shared" si="0"/>
        <v>46691</v>
      </c>
      <c r="AZ2" s="327">
        <f t="shared" si="0"/>
        <v>46721</v>
      </c>
      <c r="BA2" s="327">
        <f t="shared" si="0"/>
        <v>46752</v>
      </c>
      <c r="BB2" s="327">
        <f t="shared" si="0"/>
        <v>46783</v>
      </c>
      <c r="BC2" s="327">
        <f t="shared" si="0"/>
        <v>46812</v>
      </c>
      <c r="BD2" s="327">
        <f t="shared" si="0"/>
        <v>46843</v>
      </c>
      <c r="BE2" s="327">
        <f t="shared" si="0"/>
        <v>46873</v>
      </c>
      <c r="BF2" s="327">
        <f t="shared" si="0"/>
        <v>46904</v>
      </c>
      <c r="BG2" s="327">
        <f t="shared" si="0"/>
        <v>46934</v>
      </c>
      <c r="BH2" s="327">
        <f t="shared" si="0"/>
        <v>46965</v>
      </c>
      <c r="BI2" s="327">
        <f t="shared" si="0"/>
        <v>46996</v>
      </c>
      <c r="BJ2" s="327">
        <f t="shared" si="0"/>
        <v>47026</v>
      </c>
      <c r="BK2" s="327">
        <f t="shared" si="0"/>
        <v>47057</v>
      </c>
      <c r="BL2" s="327">
        <f t="shared" si="0"/>
        <v>47087</v>
      </c>
      <c r="BM2" s="327">
        <f t="shared" si="0"/>
        <v>47118</v>
      </c>
      <c r="BN2" s="327">
        <f t="shared" si="0"/>
        <v>47149</v>
      </c>
      <c r="BO2" s="327">
        <f t="shared" si="0"/>
        <v>47177</v>
      </c>
      <c r="BP2" s="327">
        <f t="shared" si="0"/>
        <v>47208</v>
      </c>
      <c r="BQ2" s="327">
        <f t="shared" si="0"/>
        <v>47238</v>
      </c>
      <c r="BR2" s="327">
        <f t="shared" si="0"/>
        <v>47269</v>
      </c>
      <c r="BS2" s="327">
        <f t="shared" si="0"/>
        <v>47299</v>
      </c>
      <c r="BT2" s="327">
        <f t="shared" ref="BT2:CK2" si="1">+EOMONTH(BS2,1)</f>
        <v>47330</v>
      </c>
      <c r="BU2" s="327">
        <f t="shared" si="1"/>
        <v>47361</v>
      </c>
      <c r="BV2" s="327">
        <f t="shared" si="1"/>
        <v>47391</v>
      </c>
      <c r="BW2" s="327">
        <f t="shared" si="1"/>
        <v>47422</v>
      </c>
      <c r="BX2" s="327">
        <f t="shared" si="1"/>
        <v>47452</v>
      </c>
      <c r="BY2" s="327">
        <f t="shared" si="1"/>
        <v>47483</v>
      </c>
      <c r="BZ2" s="327">
        <f t="shared" si="1"/>
        <v>47514</v>
      </c>
      <c r="CA2" s="327">
        <f t="shared" si="1"/>
        <v>47542</v>
      </c>
      <c r="CB2" s="327">
        <f t="shared" si="1"/>
        <v>47573</v>
      </c>
      <c r="CC2" s="327">
        <f t="shared" si="1"/>
        <v>47603</v>
      </c>
      <c r="CD2" s="327">
        <f t="shared" si="1"/>
        <v>47634</v>
      </c>
      <c r="CE2" s="327">
        <f t="shared" si="1"/>
        <v>47664</v>
      </c>
      <c r="CF2" s="327">
        <f t="shared" si="1"/>
        <v>47695</v>
      </c>
      <c r="CG2" s="327">
        <f t="shared" si="1"/>
        <v>47726</v>
      </c>
      <c r="CH2" s="327">
        <f t="shared" si="1"/>
        <v>47756</v>
      </c>
      <c r="CI2" s="327">
        <f t="shared" si="1"/>
        <v>47787</v>
      </c>
      <c r="CJ2" s="327">
        <f t="shared" si="1"/>
        <v>47817</v>
      </c>
      <c r="CK2" s="328">
        <f t="shared" si="1"/>
        <v>47848</v>
      </c>
    </row>
    <row r="3" spans="1:89" ht="1.5" customHeight="1" x14ac:dyDescent="0.3">
      <c r="A3" s="323"/>
      <c r="B3" s="324"/>
      <c r="C3" s="324"/>
      <c r="D3" s="325"/>
      <c r="F3" s="329"/>
      <c r="N3" s="162"/>
      <c r="CK3" s="162"/>
    </row>
    <row r="4" spans="1:89" x14ac:dyDescent="0.3">
      <c r="A4" s="330">
        <v>30000</v>
      </c>
      <c r="B4" s="331" t="s">
        <v>348</v>
      </c>
      <c r="C4" s="332"/>
      <c r="D4" s="333">
        <v>3</v>
      </c>
      <c r="F4" s="334">
        <f>+'New Sales Forecast'!F17</f>
        <v>0</v>
      </c>
      <c r="G4" s="335">
        <f>+'New Sales Forecast'!G17</f>
        <v>0</v>
      </c>
      <c r="H4" s="335">
        <f>+'New Sales Forecast'!H17</f>
        <v>1</v>
      </c>
      <c r="I4" s="335">
        <f>+'New Sales Forecast'!I17</f>
        <v>0</v>
      </c>
      <c r="J4" s="335">
        <f>+'New Sales Forecast'!J17</f>
        <v>2</v>
      </c>
      <c r="K4" s="335">
        <f>+'New Sales Forecast'!K17</f>
        <v>0</v>
      </c>
      <c r="L4" s="335">
        <f>+'New Sales Forecast'!L17</f>
        <v>1</v>
      </c>
      <c r="M4" s="335">
        <f>+'New Sales Forecast'!M17</f>
        <v>4</v>
      </c>
      <c r="N4" s="336">
        <f>+'New Sales Forecast'!N17</f>
        <v>2</v>
      </c>
      <c r="O4" s="335">
        <f>+'New Sales Forecast'!O17</f>
        <v>1</v>
      </c>
      <c r="P4" s="335">
        <f>+'New Sales Forecast'!P17</f>
        <v>0</v>
      </c>
      <c r="Q4" s="335">
        <f>+'New Sales Forecast'!Q17</f>
        <v>0</v>
      </c>
      <c r="R4" s="335">
        <f>+'New Sales Forecast'!R17</f>
        <v>3</v>
      </c>
      <c r="S4" s="335">
        <f>+'New Sales Forecast'!S17</f>
        <v>0</v>
      </c>
      <c r="T4" s="335">
        <f>+'New Sales Forecast'!T17</f>
        <v>0</v>
      </c>
      <c r="U4" s="335">
        <f>+'New Sales Forecast'!U17</f>
        <v>3</v>
      </c>
      <c r="V4" s="335">
        <f>+'New Sales Forecast'!V17</f>
        <v>0</v>
      </c>
      <c r="W4" s="335">
        <f>+'New Sales Forecast'!W17</f>
        <v>0</v>
      </c>
      <c r="X4" s="335">
        <f>+'New Sales Forecast'!X17</f>
        <v>3</v>
      </c>
      <c r="Y4" s="335">
        <f>+'New Sales Forecast'!Y17</f>
        <v>0</v>
      </c>
      <c r="Z4" s="335">
        <f>+'New Sales Forecast'!Z17</f>
        <v>0</v>
      </c>
      <c r="AA4" s="335">
        <f>+'New Sales Forecast'!AA17</f>
        <v>3</v>
      </c>
      <c r="AB4" s="335">
        <f>+'New Sales Forecast'!AB17</f>
        <v>0</v>
      </c>
      <c r="AC4" s="335">
        <f>+'New Sales Forecast'!AC17</f>
        <v>0</v>
      </c>
      <c r="AD4" s="335">
        <f>+'New Sales Forecast'!AD17</f>
        <v>3</v>
      </c>
      <c r="AE4" s="335">
        <f>+'New Sales Forecast'!AE17</f>
        <v>0</v>
      </c>
      <c r="AF4" s="335">
        <f>+'New Sales Forecast'!AF17</f>
        <v>0</v>
      </c>
      <c r="AG4" s="335">
        <f>+'New Sales Forecast'!AG17</f>
        <v>3</v>
      </c>
      <c r="AH4" s="335">
        <f>+'New Sales Forecast'!AH17</f>
        <v>0</v>
      </c>
      <c r="AI4" s="335">
        <f>+'New Sales Forecast'!AI17</f>
        <v>0</v>
      </c>
      <c r="AJ4" s="335">
        <f>+'New Sales Forecast'!AJ17</f>
        <v>4</v>
      </c>
      <c r="AK4" s="335">
        <f>+'New Sales Forecast'!AK17</f>
        <v>0</v>
      </c>
      <c r="AL4" s="335">
        <f>+'New Sales Forecast'!AL17</f>
        <v>0</v>
      </c>
      <c r="AM4" s="335">
        <f>+'New Sales Forecast'!AM17</f>
        <v>4</v>
      </c>
      <c r="AN4" s="335">
        <f>+'New Sales Forecast'!AN17</f>
        <v>0</v>
      </c>
      <c r="AO4" s="335">
        <f>+'New Sales Forecast'!AO17</f>
        <v>0</v>
      </c>
      <c r="AP4" s="335">
        <f>+'New Sales Forecast'!AP17</f>
        <v>5</v>
      </c>
      <c r="AQ4" s="335">
        <f>+'New Sales Forecast'!AQ17</f>
        <v>0</v>
      </c>
      <c r="AR4" s="335">
        <f>+'New Sales Forecast'!AR17</f>
        <v>0</v>
      </c>
      <c r="AS4" s="335">
        <f>+'New Sales Forecast'!AS17</f>
        <v>5</v>
      </c>
      <c r="AT4" s="335">
        <f>+'New Sales Forecast'!AT17</f>
        <v>0</v>
      </c>
      <c r="AU4" s="335">
        <f>+'New Sales Forecast'!AU17</f>
        <v>0</v>
      </c>
      <c r="AV4" s="335">
        <f>+'New Sales Forecast'!AV17</f>
        <v>5</v>
      </c>
      <c r="AW4" s="335">
        <f>+'New Sales Forecast'!AW17</f>
        <v>0</v>
      </c>
      <c r="AX4" s="335">
        <f>+'New Sales Forecast'!AX17</f>
        <v>0</v>
      </c>
      <c r="AY4" s="335">
        <f>+'New Sales Forecast'!AY17</f>
        <v>5</v>
      </c>
      <c r="AZ4" s="335">
        <f>+'New Sales Forecast'!AZ17</f>
        <v>0</v>
      </c>
      <c r="BA4" s="335">
        <f>+'New Sales Forecast'!BA17</f>
        <v>0</v>
      </c>
      <c r="BB4" s="335">
        <f>+'New Sales Forecast'!BB17</f>
        <v>6</v>
      </c>
      <c r="BC4" s="335">
        <f>+'New Sales Forecast'!BC17</f>
        <v>0</v>
      </c>
      <c r="BD4" s="335">
        <f>+'New Sales Forecast'!BD17</f>
        <v>0</v>
      </c>
      <c r="BE4" s="335">
        <f>+'New Sales Forecast'!BE17</f>
        <v>6</v>
      </c>
      <c r="BF4" s="335">
        <f>+'New Sales Forecast'!BF17</f>
        <v>0</v>
      </c>
      <c r="BG4" s="335">
        <f>+'New Sales Forecast'!BG17</f>
        <v>0</v>
      </c>
      <c r="BH4" s="335">
        <f>+'New Sales Forecast'!BH17</f>
        <v>6</v>
      </c>
      <c r="BI4" s="335">
        <f>+'New Sales Forecast'!BI17</f>
        <v>0</v>
      </c>
      <c r="BJ4" s="335">
        <f>+'New Sales Forecast'!BJ17</f>
        <v>0</v>
      </c>
      <c r="BK4" s="335">
        <f>+'New Sales Forecast'!BK17</f>
        <v>6</v>
      </c>
      <c r="BL4" s="335">
        <f>+'New Sales Forecast'!BL17</f>
        <v>0</v>
      </c>
      <c r="BM4" s="335">
        <f>+'New Sales Forecast'!BM17</f>
        <v>0</v>
      </c>
      <c r="BN4" s="335">
        <f>+'New Sales Forecast'!BN17</f>
        <v>7</v>
      </c>
      <c r="BO4" s="335">
        <f>+'New Sales Forecast'!BO17</f>
        <v>0</v>
      </c>
      <c r="BP4" s="335">
        <f>+'New Sales Forecast'!BP17</f>
        <v>0</v>
      </c>
      <c r="BQ4" s="335">
        <f>+'New Sales Forecast'!BQ17</f>
        <v>7</v>
      </c>
      <c r="BR4" s="335">
        <f>+'New Sales Forecast'!BR17</f>
        <v>0</v>
      </c>
      <c r="BS4" s="335">
        <f>+'New Sales Forecast'!BS17</f>
        <v>0</v>
      </c>
      <c r="BT4" s="335">
        <f>+'New Sales Forecast'!BT17</f>
        <v>8</v>
      </c>
      <c r="BU4" s="335">
        <f>+'New Sales Forecast'!BU17</f>
        <v>0</v>
      </c>
      <c r="BV4" s="335">
        <f>+'New Sales Forecast'!BV17</f>
        <v>0</v>
      </c>
      <c r="BW4" s="335">
        <f>+'New Sales Forecast'!BW17</f>
        <v>8</v>
      </c>
      <c r="BX4" s="335">
        <f>+'New Sales Forecast'!BX17</f>
        <v>0</v>
      </c>
      <c r="BY4" s="335">
        <f>+'New Sales Forecast'!BY17</f>
        <v>0</v>
      </c>
      <c r="BZ4" s="335">
        <f>+'New Sales Forecast'!BZ17</f>
        <v>8</v>
      </c>
      <c r="CA4" s="335">
        <f>+'New Sales Forecast'!CA17</f>
        <v>0</v>
      </c>
      <c r="CB4" s="335">
        <f>+'New Sales Forecast'!CB17</f>
        <v>0</v>
      </c>
      <c r="CC4" s="335">
        <f>+'New Sales Forecast'!CC17</f>
        <v>8</v>
      </c>
      <c r="CD4" s="335">
        <f>+'New Sales Forecast'!CD17</f>
        <v>0</v>
      </c>
      <c r="CE4" s="335">
        <f>+'New Sales Forecast'!CE17</f>
        <v>0</v>
      </c>
      <c r="CF4" s="335">
        <f>+'New Sales Forecast'!CF17</f>
        <v>9</v>
      </c>
      <c r="CG4" s="335">
        <f>+'New Sales Forecast'!CG17</f>
        <v>0</v>
      </c>
      <c r="CH4" s="335">
        <f>+'New Sales Forecast'!CH17</f>
        <v>0</v>
      </c>
      <c r="CI4" s="335">
        <f>+'New Sales Forecast'!CI17</f>
        <v>9</v>
      </c>
      <c r="CJ4" s="335">
        <f>+'New Sales Forecast'!CJ17</f>
        <v>0</v>
      </c>
      <c r="CK4" s="336">
        <f>+'New Sales Forecast'!CK17</f>
        <v>0</v>
      </c>
    </row>
    <row r="5" spans="1:89" ht="4.95" customHeight="1" x14ac:dyDescent="0.3">
      <c r="A5" s="338"/>
      <c r="B5" s="339"/>
      <c r="C5" s="339"/>
      <c r="D5" s="340"/>
      <c r="F5" s="341"/>
      <c r="G5" s="342"/>
      <c r="H5" s="342"/>
      <c r="I5" s="342"/>
      <c r="J5" s="342"/>
      <c r="K5" s="342"/>
      <c r="L5" s="342"/>
      <c r="M5" s="342"/>
      <c r="N5" s="343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2"/>
      <c r="AB5" s="342"/>
      <c r="AC5" s="342"/>
      <c r="AD5" s="342"/>
      <c r="AE5" s="342"/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342"/>
      <c r="AX5" s="342"/>
      <c r="AY5" s="342"/>
      <c r="AZ5" s="342"/>
      <c r="BA5" s="342"/>
      <c r="BB5" s="342"/>
      <c r="BC5" s="342"/>
      <c r="BD5" s="342"/>
      <c r="BE5" s="342"/>
      <c r="BF5" s="342"/>
      <c r="BG5" s="342"/>
      <c r="BH5" s="342"/>
      <c r="BI5" s="342"/>
      <c r="BJ5" s="342"/>
      <c r="BK5" s="342"/>
      <c r="BL5" s="342"/>
      <c r="BM5" s="342"/>
      <c r="BN5" s="342"/>
      <c r="BO5" s="342"/>
      <c r="BP5" s="342"/>
      <c r="BQ5" s="342"/>
      <c r="BR5" s="342"/>
      <c r="BS5" s="342"/>
      <c r="BT5" s="342"/>
      <c r="BU5" s="342"/>
      <c r="BV5" s="342"/>
      <c r="BW5" s="342"/>
      <c r="BX5" s="342"/>
      <c r="BY5" s="342"/>
      <c r="BZ5" s="342"/>
      <c r="CA5" s="342"/>
      <c r="CB5" s="342"/>
      <c r="CC5" s="342"/>
      <c r="CD5" s="342"/>
      <c r="CE5" s="342"/>
      <c r="CF5" s="342"/>
      <c r="CG5" s="342"/>
      <c r="CH5" s="342"/>
      <c r="CI5" s="342"/>
      <c r="CJ5" s="342"/>
      <c r="CK5" s="343"/>
    </row>
    <row r="6" spans="1:89" x14ac:dyDescent="0.3">
      <c r="A6" s="329"/>
      <c r="F6" s="329"/>
      <c r="N6" s="162"/>
      <c r="CK6" s="162"/>
    </row>
    <row r="7" spans="1:89" x14ac:dyDescent="0.3">
      <c r="A7" s="329"/>
      <c r="F7" s="329"/>
      <c r="N7" s="162"/>
      <c r="CK7" s="162"/>
    </row>
    <row r="8" spans="1:89" x14ac:dyDescent="0.3">
      <c r="A8" s="329"/>
      <c r="D8" s="228" t="s">
        <v>348</v>
      </c>
      <c r="F8" s="329"/>
      <c r="N8" s="162"/>
      <c r="CK8" s="162"/>
    </row>
    <row r="9" spans="1:89" outlineLevel="1" x14ac:dyDescent="0.3">
      <c r="A9" s="329"/>
      <c r="B9" s="345" t="s">
        <v>468</v>
      </c>
      <c r="C9" s="345" t="e">
        <f>+EOMONTH(B9,0)</f>
        <v>#VALUE!</v>
      </c>
      <c r="E9" s="145" t="s">
        <v>486</v>
      </c>
      <c r="F9" s="346"/>
      <c r="G9" s="147"/>
      <c r="H9" s="147"/>
      <c r="I9" s="147"/>
      <c r="J9" s="147"/>
      <c r="K9" s="147"/>
      <c r="L9" s="147"/>
      <c r="M9" s="147"/>
      <c r="N9" s="347"/>
      <c r="O9" s="147">
        <f>+IF(O4&gt;0,(O4)*$A$4)/$D$4</f>
        <v>10000</v>
      </c>
      <c r="P9" s="147">
        <f>+IF(O4&gt;0,(O4)*$A$4)/$D$4</f>
        <v>10000</v>
      </c>
      <c r="Q9" s="147">
        <f t="shared" ref="Q9:CB9" si="2">+IF(SUM(O4:Q4)&gt;0, (SUM(O4:Q4)*$A$4)/$D$4, 0)</f>
        <v>10000</v>
      </c>
      <c r="R9" s="147">
        <f t="shared" si="2"/>
        <v>30000</v>
      </c>
      <c r="S9" s="147">
        <f t="shared" si="2"/>
        <v>30000</v>
      </c>
      <c r="T9" s="147">
        <f t="shared" si="2"/>
        <v>30000</v>
      </c>
      <c r="U9" s="147">
        <f t="shared" si="2"/>
        <v>30000</v>
      </c>
      <c r="V9" s="147">
        <f t="shared" si="2"/>
        <v>30000</v>
      </c>
      <c r="W9" s="147">
        <f t="shared" si="2"/>
        <v>30000</v>
      </c>
      <c r="X9" s="147">
        <f t="shared" si="2"/>
        <v>30000</v>
      </c>
      <c r="Y9" s="147">
        <f t="shared" si="2"/>
        <v>30000</v>
      </c>
      <c r="Z9" s="147">
        <f t="shared" si="2"/>
        <v>30000</v>
      </c>
      <c r="AA9" s="147">
        <f t="shared" si="2"/>
        <v>30000</v>
      </c>
      <c r="AB9" s="147">
        <f t="shared" si="2"/>
        <v>30000</v>
      </c>
      <c r="AC9" s="147">
        <f t="shared" si="2"/>
        <v>30000</v>
      </c>
      <c r="AD9" s="147">
        <f t="shared" si="2"/>
        <v>30000</v>
      </c>
      <c r="AE9" s="147">
        <f t="shared" si="2"/>
        <v>30000</v>
      </c>
      <c r="AF9" s="147">
        <f t="shared" si="2"/>
        <v>30000</v>
      </c>
      <c r="AG9" s="147">
        <f t="shared" si="2"/>
        <v>30000</v>
      </c>
      <c r="AH9" s="147">
        <f t="shared" si="2"/>
        <v>30000</v>
      </c>
      <c r="AI9" s="147">
        <f t="shared" si="2"/>
        <v>30000</v>
      </c>
      <c r="AJ9" s="147">
        <f t="shared" si="2"/>
        <v>40000</v>
      </c>
      <c r="AK9" s="147">
        <f t="shared" si="2"/>
        <v>40000</v>
      </c>
      <c r="AL9" s="147">
        <f t="shared" si="2"/>
        <v>40000</v>
      </c>
      <c r="AM9" s="147">
        <f t="shared" si="2"/>
        <v>40000</v>
      </c>
      <c r="AN9" s="147">
        <f t="shared" si="2"/>
        <v>40000</v>
      </c>
      <c r="AO9" s="147">
        <f t="shared" si="2"/>
        <v>40000</v>
      </c>
      <c r="AP9" s="147">
        <f t="shared" si="2"/>
        <v>50000</v>
      </c>
      <c r="AQ9" s="147">
        <f t="shared" si="2"/>
        <v>50000</v>
      </c>
      <c r="AR9" s="147">
        <f t="shared" si="2"/>
        <v>50000</v>
      </c>
      <c r="AS9" s="147">
        <f t="shared" si="2"/>
        <v>50000</v>
      </c>
      <c r="AT9" s="147">
        <f t="shared" si="2"/>
        <v>50000</v>
      </c>
      <c r="AU9" s="147">
        <f t="shared" si="2"/>
        <v>50000</v>
      </c>
      <c r="AV9" s="147">
        <f t="shared" si="2"/>
        <v>50000</v>
      </c>
      <c r="AW9" s="147">
        <f t="shared" si="2"/>
        <v>50000</v>
      </c>
      <c r="AX9" s="147">
        <f t="shared" si="2"/>
        <v>50000</v>
      </c>
      <c r="AY9" s="147">
        <f t="shared" si="2"/>
        <v>50000</v>
      </c>
      <c r="AZ9" s="147">
        <f t="shared" si="2"/>
        <v>50000</v>
      </c>
      <c r="BA9" s="147">
        <f t="shared" si="2"/>
        <v>50000</v>
      </c>
      <c r="BB9" s="147">
        <f t="shared" si="2"/>
        <v>60000</v>
      </c>
      <c r="BC9" s="147">
        <f t="shared" si="2"/>
        <v>60000</v>
      </c>
      <c r="BD9" s="147">
        <f t="shared" si="2"/>
        <v>60000</v>
      </c>
      <c r="BE9" s="147">
        <f t="shared" si="2"/>
        <v>60000</v>
      </c>
      <c r="BF9" s="147">
        <f t="shared" si="2"/>
        <v>60000</v>
      </c>
      <c r="BG9" s="147">
        <f t="shared" si="2"/>
        <v>60000</v>
      </c>
      <c r="BH9" s="147">
        <f t="shared" si="2"/>
        <v>60000</v>
      </c>
      <c r="BI9" s="147">
        <f t="shared" si="2"/>
        <v>60000</v>
      </c>
      <c r="BJ9" s="147">
        <f t="shared" si="2"/>
        <v>60000</v>
      </c>
      <c r="BK9" s="147">
        <f t="shared" si="2"/>
        <v>60000</v>
      </c>
      <c r="BL9" s="147">
        <f t="shared" si="2"/>
        <v>60000</v>
      </c>
      <c r="BM9" s="147">
        <f t="shared" si="2"/>
        <v>60000</v>
      </c>
      <c r="BN9" s="147">
        <f t="shared" si="2"/>
        <v>70000</v>
      </c>
      <c r="BO9" s="147">
        <f t="shared" si="2"/>
        <v>70000</v>
      </c>
      <c r="BP9" s="147">
        <f t="shared" si="2"/>
        <v>70000</v>
      </c>
      <c r="BQ9" s="147">
        <f t="shared" si="2"/>
        <v>70000</v>
      </c>
      <c r="BR9" s="147">
        <f t="shared" si="2"/>
        <v>70000</v>
      </c>
      <c r="BS9" s="147">
        <f t="shared" si="2"/>
        <v>70000</v>
      </c>
      <c r="BT9" s="147">
        <f t="shared" si="2"/>
        <v>80000</v>
      </c>
      <c r="BU9" s="147">
        <f t="shared" si="2"/>
        <v>80000</v>
      </c>
      <c r="BV9" s="147">
        <f t="shared" si="2"/>
        <v>80000</v>
      </c>
      <c r="BW9" s="147">
        <f t="shared" si="2"/>
        <v>80000</v>
      </c>
      <c r="BX9" s="147">
        <f t="shared" si="2"/>
        <v>80000</v>
      </c>
      <c r="BY9" s="147">
        <f t="shared" si="2"/>
        <v>80000</v>
      </c>
      <c r="BZ9" s="147">
        <f t="shared" si="2"/>
        <v>80000</v>
      </c>
      <c r="CA9" s="147">
        <f t="shared" si="2"/>
        <v>80000</v>
      </c>
      <c r="CB9" s="147">
        <f t="shared" si="2"/>
        <v>80000</v>
      </c>
      <c r="CC9" s="147">
        <f t="shared" ref="CC9:CK9" si="3">+IF(SUM(CA4:CC4)&gt;0, (SUM(CA4:CC4)*$A$4)/$D$4, 0)</f>
        <v>80000</v>
      </c>
      <c r="CD9" s="147">
        <f t="shared" si="3"/>
        <v>80000</v>
      </c>
      <c r="CE9" s="147">
        <f t="shared" si="3"/>
        <v>80000</v>
      </c>
      <c r="CF9" s="147">
        <f t="shared" si="3"/>
        <v>90000</v>
      </c>
      <c r="CG9" s="147">
        <f t="shared" si="3"/>
        <v>90000</v>
      </c>
      <c r="CH9" s="147">
        <f t="shared" si="3"/>
        <v>90000</v>
      </c>
      <c r="CI9" s="147">
        <f t="shared" si="3"/>
        <v>90000</v>
      </c>
      <c r="CJ9" s="147">
        <f t="shared" si="3"/>
        <v>90000</v>
      </c>
      <c r="CK9" s="347">
        <f t="shared" si="3"/>
        <v>90000</v>
      </c>
    </row>
    <row r="10" spans="1:89" outlineLevel="1" x14ac:dyDescent="0.3">
      <c r="A10" s="330">
        <v>44298</v>
      </c>
      <c r="B10" s="344">
        <v>45382</v>
      </c>
      <c r="C10" s="345">
        <f>+EOMONTH(B10,0)</f>
        <v>45382</v>
      </c>
      <c r="D10" t="s">
        <v>489</v>
      </c>
      <c r="E10" s="550">
        <f>+EOMONTH(B10, 8)</f>
        <v>45626</v>
      </c>
      <c r="F10" s="536">
        <v>0</v>
      </c>
      <c r="G10" s="537">
        <v>0</v>
      </c>
      <c r="H10" s="537">
        <v>0</v>
      </c>
      <c r="I10" s="537">
        <v>0</v>
      </c>
      <c r="J10" s="537">
        <v>0</v>
      </c>
      <c r="K10" s="537">
        <v>0</v>
      </c>
      <c r="L10" s="537">
        <v>0</v>
      </c>
      <c r="M10" s="537">
        <v>29532</v>
      </c>
      <c r="N10" s="538">
        <v>0</v>
      </c>
      <c r="O10" s="147">
        <f>+IF(AND($B10&lt;O$2, $E10&gt;O$2), $A10/$D$4, 0)</f>
        <v>14766</v>
      </c>
      <c r="P10" s="147">
        <f t="shared" ref="P10:AS10" si="4">+IF(AND($B10&lt;P$2, $E10&gt;P$2), $A10/$D$4, 0)</f>
        <v>0</v>
      </c>
      <c r="Q10" s="147">
        <f t="shared" si="4"/>
        <v>0</v>
      </c>
      <c r="R10" s="147">
        <f t="shared" si="4"/>
        <v>0</v>
      </c>
      <c r="S10" s="147">
        <f t="shared" si="4"/>
        <v>0</v>
      </c>
      <c r="T10" s="147">
        <f t="shared" si="4"/>
        <v>0</v>
      </c>
      <c r="U10" s="147">
        <f t="shared" si="4"/>
        <v>0</v>
      </c>
      <c r="V10" s="147">
        <f t="shared" si="4"/>
        <v>0</v>
      </c>
      <c r="W10" s="147">
        <f t="shared" si="4"/>
        <v>0</v>
      </c>
      <c r="X10" s="147">
        <f t="shared" si="4"/>
        <v>0</v>
      </c>
      <c r="Y10" s="147">
        <f t="shared" si="4"/>
        <v>0</v>
      </c>
      <c r="Z10" s="147">
        <f t="shared" si="4"/>
        <v>0</v>
      </c>
      <c r="AA10" s="147">
        <f t="shared" si="4"/>
        <v>0</v>
      </c>
      <c r="AB10" s="147">
        <f t="shared" si="4"/>
        <v>0</v>
      </c>
      <c r="AC10" s="147">
        <f t="shared" si="4"/>
        <v>0</v>
      </c>
      <c r="AD10" s="147">
        <f t="shared" si="4"/>
        <v>0</v>
      </c>
      <c r="AE10" s="147">
        <f t="shared" si="4"/>
        <v>0</v>
      </c>
      <c r="AF10" s="147">
        <f t="shared" si="4"/>
        <v>0</v>
      </c>
      <c r="AG10" s="147">
        <f t="shared" si="4"/>
        <v>0</v>
      </c>
      <c r="AH10" s="147">
        <f t="shared" si="4"/>
        <v>0</v>
      </c>
      <c r="AI10" s="147">
        <f t="shared" si="4"/>
        <v>0</v>
      </c>
      <c r="AJ10" s="147">
        <f t="shared" si="4"/>
        <v>0</v>
      </c>
      <c r="AK10" s="147">
        <f t="shared" si="4"/>
        <v>0</v>
      </c>
      <c r="AL10" s="147">
        <f t="shared" si="4"/>
        <v>0</v>
      </c>
      <c r="AM10" s="147">
        <f t="shared" si="4"/>
        <v>0</v>
      </c>
      <c r="AN10" s="147">
        <f t="shared" si="4"/>
        <v>0</v>
      </c>
      <c r="AO10" s="147">
        <f t="shared" si="4"/>
        <v>0</v>
      </c>
      <c r="AP10" s="147">
        <f t="shared" si="4"/>
        <v>0</v>
      </c>
      <c r="AQ10" s="147">
        <f t="shared" si="4"/>
        <v>0</v>
      </c>
      <c r="AR10" s="147">
        <f t="shared" si="4"/>
        <v>0</v>
      </c>
      <c r="AS10" s="147">
        <f t="shared" si="4"/>
        <v>0</v>
      </c>
      <c r="AT10" s="147">
        <f t="shared" ref="AT10:BY10" si="5">+IF(AND($B10&lt;AT$2, $E10&gt;AT$2), $A10/$D$4, 0)</f>
        <v>0</v>
      </c>
      <c r="AU10" s="147">
        <f t="shared" si="5"/>
        <v>0</v>
      </c>
      <c r="AV10" s="147">
        <f t="shared" si="5"/>
        <v>0</v>
      </c>
      <c r="AW10" s="147">
        <f t="shared" si="5"/>
        <v>0</v>
      </c>
      <c r="AX10" s="147">
        <f t="shared" si="5"/>
        <v>0</v>
      </c>
      <c r="AY10" s="147">
        <f t="shared" si="5"/>
        <v>0</v>
      </c>
      <c r="AZ10" s="147">
        <f t="shared" si="5"/>
        <v>0</v>
      </c>
      <c r="BA10" s="147">
        <f t="shared" si="5"/>
        <v>0</v>
      </c>
      <c r="BB10" s="147">
        <f t="shared" si="5"/>
        <v>0</v>
      </c>
      <c r="BC10" s="147">
        <f t="shared" si="5"/>
        <v>0</v>
      </c>
      <c r="BD10" s="147">
        <f t="shared" si="5"/>
        <v>0</v>
      </c>
      <c r="BE10" s="147">
        <f t="shared" si="5"/>
        <v>0</v>
      </c>
      <c r="BF10" s="147">
        <f t="shared" si="5"/>
        <v>0</v>
      </c>
      <c r="BG10" s="147">
        <f t="shared" si="5"/>
        <v>0</v>
      </c>
      <c r="BH10" s="147">
        <f t="shared" si="5"/>
        <v>0</v>
      </c>
      <c r="BI10" s="147">
        <f t="shared" si="5"/>
        <v>0</v>
      </c>
      <c r="BJ10" s="147">
        <f t="shared" si="5"/>
        <v>0</v>
      </c>
      <c r="BK10" s="147">
        <f t="shared" si="5"/>
        <v>0</v>
      </c>
      <c r="BL10" s="147">
        <f t="shared" si="5"/>
        <v>0</v>
      </c>
      <c r="BM10" s="147">
        <f t="shared" si="5"/>
        <v>0</v>
      </c>
      <c r="BN10" s="147">
        <f t="shared" si="5"/>
        <v>0</v>
      </c>
      <c r="BO10" s="147">
        <f t="shared" si="5"/>
        <v>0</v>
      </c>
      <c r="BP10" s="147">
        <f t="shared" si="5"/>
        <v>0</v>
      </c>
      <c r="BQ10" s="147">
        <f t="shared" si="5"/>
        <v>0</v>
      </c>
      <c r="BR10" s="147">
        <f t="shared" si="5"/>
        <v>0</v>
      </c>
      <c r="BS10" s="147">
        <f t="shared" si="5"/>
        <v>0</v>
      </c>
      <c r="BT10" s="147">
        <f t="shared" si="5"/>
        <v>0</v>
      </c>
      <c r="BU10" s="147">
        <f t="shared" si="5"/>
        <v>0</v>
      </c>
      <c r="BV10" s="147">
        <f t="shared" si="5"/>
        <v>0</v>
      </c>
      <c r="BW10" s="147">
        <f t="shared" si="5"/>
        <v>0</v>
      </c>
      <c r="BX10" s="147">
        <f t="shared" si="5"/>
        <v>0</v>
      </c>
      <c r="BY10" s="147">
        <f t="shared" si="5"/>
        <v>0</v>
      </c>
      <c r="BZ10" s="147">
        <f t="shared" ref="BZ10:CK10" si="6">+IF(AND($B10&lt;BZ$2, $E10&gt;BZ$2), $A10/$D$4, 0)</f>
        <v>0</v>
      </c>
      <c r="CA10" s="147">
        <f t="shared" si="6"/>
        <v>0</v>
      </c>
      <c r="CB10" s="147">
        <f t="shared" si="6"/>
        <v>0</v>
      </c>
      <c r="CC10" s="147">
        <f t="shared" si="6"/>
        <v>0</v>
      </c>
      <c r="CD10" s="147">
        <f t="shared" si="6"/>
        <v>0</v>
      </c>
      <c r="CE10" s="147">
        <f t="shared" si="6"/>
        <v>0</v>
      </c>
      <c r="CF10" s="147">
        <f t="shared" si="6"/>
        <v>0</v>
      </c>
      <c r="CG10" s="147">
        <f t="shared" si="6"/>
        <v>0</v>
      </c>
      <c r="CH10" s="147">
        <f t="shared" si="6"/>
        <v>0</v>
      </c>
      <c r="CI10" s="147">
        <f t="shared" si="6"/>
        <v>0</v>
      </c>
      <c r="CJ10" s="147">
        <f t="shared" si="6"/>
        <v>0</v>
      </c>
      <c r="CK10" s="347">
        <f t="shared" si="6"/>
        <v>0</v>
      </c>
    </row>
    <row r="11" spans="1:89" s="519" customFormat="1" outlineLevel="1" x14ac:dyDescent="0.3">
      <c r="A11" s="598">
        <v>15430</v>
      </c>
      <c r="B11" s="599">
        <v>45413</v>
      </c>
      <c r="C11" s="600">
        <f t="shared" ref="C11:C35" si="7">+EOMONTH(B11,0)</f>
        <v>45443</v>
      </c>
      <c r="D11" s="519" t="s">
        <v>382</v>
      </c>
      <c r="E11" s="601">
        <f t="shared" ref="E11:E12" si="8">+EOMONTH(B11, $D$4)</f>
        <v>45535</v>
      </c>
      <c r="F11" s="536">
        <v>0</v>
      </c>
      <c r="G11" s="537">
        <v>0</v>
      </c>
      <c r="H11" s="537">
        <v>0</v>
      </c>
      <c r="I11" s="537">
        <v>0</v>
      </c>
      <c r="J11" s="537">
        <v>5143.33</v>
      </c>
      <c r="K11" s="537">
        <v>10286.67</v>
      </c>
      <c r="L11" s="537">
        <v>0</v>
      </c>
      <c r="M11" s="537">
        <v>0</v>
      </c>
      <c r="N11" s="538">
        <v>0</v>
      </c>
      <c r="O11" s="602">
        <f t="shared" ref="O11:BR11" si="9">+IF(AND($B11&lt;O$2, $E11&gt;O$2), $A$11/$D$4, 0)</f>
        <v>0</v>
      </c>
      <c r="P11" s="602">
        <f t="shared" si="9"/>
        <v>0</v>
      </c>
      <c r="Q11" s="602">
        <f t="shared" si="9"/>
        <v>0</v>
      </c>
      <c r="R11" s="602">
        <f t="shared" si="9"/>
        <v>0</v>
      </c>
      <c r="S11" s="602">
        <f t="shared" si="9"/>
        <v>0</v>
      </c>
      <c r="T11" s="602">
        <f t="shared" si="9"/>
        <v>0</v>
      </c>
      <c r="U11" s="602">
        <f t="shared" si="9"/>
        <v>0</v>
      </c>
      <c r="V11" s="602">
        <f t="shared" si="9"/>
        <v>0</v>
      </c>
      <c r="W11" s="602">
        <f t="shared" si="9"/>
        <v>0</v>
      </c>
      <c r="X11" s="602">
        <f t="shared" si="9"/>
        <v>0</v>
      </c>
      <c r="Y11" s="602">
        <f t="shared" si="9"/>
        <v>0</v>
      </c>
      <c r="Z11" s="602">
        <f t="shared" si="9"/>
        <v>0</v>
      </c>
      <c r="AA11" s="602">
        <f t="shared" si="9"/>
        <v>0</v>
      </c>
      <c r="AB11" s="602">
        <f t="shared" si="9"/>
        <v>0</v>
      </c>
      <c r="AC11" s="602">
        <f t="shared" si="9"/>
        <v>0</v>
      </c>
      <c r="AD11" s="602">
        <f t="shared" si="9"/>
        <v>0</v>
      </c>
      <c r="AE11" s="602">
        <f t="shared" si="9"/>
        <v>0</v>
      </c>
      <c r="AF11" s="602">
        <f t="shared" si="9"/>
        <v>0</v>
      </c>
      <c r="AG11" s="602">
        <f t="shared" si="9"/>
        <v>0</v>
      </c>
      <c r="AH11" s="602">
        <f t="shared" si="9"/>
        <v>0</v>
      </c>
      <c r="AI11" s="602">
        <f t="shared" si="9"/>
        <v>0</v>
      </c>
      <c r="AJ11" s="602">
        <f t="shared" si="9"/>
        <v>0</v>
      </c>
      <c r="AK11" s="602">
        <f t="shared" si="9"/>
        <v>0</v>
      </c>
      <c r="AL11" s="602">
        <f t="shared" si="9"/>
        <v>0</v>
      </c>
      <c r="AM11" s="602">
        <f t="shared" si="9"/>
        <v>0</v>
      </c>
      <c r="AN11" s="602">
        <f t="shared" si="9"/>
        <v>0</v>
      </c>
      <c r="AO11" s="602">
        <f t="shared" si="9"/>
        <v>0</v>
      </c>
      <c r="AP11" s="602">
        <f t="shared" si="9"/>
        <v>0</v>
      </c>
      <c r="AQ11" s="602">
        <f t="shared" si="9"/>
        <v>0</v>
      </c>
      <c r="AR11" s="602">
        <f t="shared" si="9"/>
        <v>0</v>
      </c>
      <c r="AS11" s="602">
        <f t="shared" si="9"/>
        <v>0</v>
      </c>
      <c r="AT11" s="602">
        <f t="shared" si="9"/>
        <v>0</v>
      </c>
      <c r="AU11" s="602">
        <f t="shared" si="9"/>
        <v>0</v>
      </c>
      <c r="AV11" s="602">
        <f t="shared" si="9"/>
        <v>0</v>
      </c>
      <c r="AW11" s="602">
        <f t="shared" si="9"/>
        <v>0</v>
      </c>
      <c r="AX11" s="602">
        <f t="shared" si="9"/>
        <v>0</v>
      </c>
      <c r="AY11" s="602">
        <f t="shared" si="9"/>
        <v>0</v>
      </c>
      <c r="AZ11" s="602">
        <f t="shared" si="9"/>
        <v>0</v>
      </c>
      <c r="BA11" s="602">
        <f t="shared" si="9"/>
        <v>0</v>
      </c>
      <c r="BB11" s="602">
        <f t="shared" si="9"/>
        <v>0</v>
      </c>
      <c r="BC11" s="602">
        <f t="shared" si="9"/>
        <v>0</v>
      </c>
      <c r="BD11" s="602">
        <f t="shared" si="9"/>
        <v>0</v>
      </c>
      <c r="BE11" s="602">
        <f t="shared" si="9"/>
        <v>0</v>
      </c>
      <c r="BF11" s="602">
        <f t="shared" si="9"/>
        <v>0</v>
      </c>
      <c r="BG11" s="602">
        <f t="shared" si="9"/>
        <v>0</v>
      </c>
      <c r="BH11" s="602">
        <f t="shared" si="9"/>
        <v>0</v>
      </c>
      <c r="BI11" s="602">
        <f t="shared" si="9"/>
        <v>0</v>
      </c>
      <c r="BJ11" s="602">
        <f t="shared" si="9"/>
        <v>0</v>
      </c>
      <c r="BK11" s="602">
        <f t="shared" si="9"/>
        <v>0</v>
      </c>
      <c r="BL11" s="602">
        <f t="shared" si="9"/>
        <v>0</v>
      </c>
      <c r="BM11" s="602">
        <f t="shared" si="9"/>
        <v>0</v>
      </c>
      <c r="BN11" s="602">
        <f t="shared" si="9"/>
        <v>0</v>
      </c>
      <c r="BO11" s="602">
        <f t="shared" si="9"/>
        <v>0</v>
      </c>
      <c r="BP11" s="602">
        <f t="shared" si="9"/>
        <v>0</v>
      </c>
      <c r="BQ11" s="602">
        <f t="shared" si="9"/>
        <v>0</v>
      </c>
      <c r="BR11" s="602">
        <f t="shared" si="9"/>
        <v>0</v>
      </c>
      <c r="BS11" s="602">
        <f t="shared" ref="BS11:CK11" si="10">+IF(AND($B11&lt;BS$2, $E11&gt;BS$2), $A$11/$D$4, 0)</f>
        <v>0</v>
      </c>
      <c r="BT11" s="602">
        <f t="shared" si="10"/>
        <v>0</v>
      </c>
      <c r="BU11" s="602">
        <f t="shared" si="10"/>
        <v>0</v>
      </c>
      <c r="BV11" s="602">
        <f t="shared" si="10"/>
        <v>0</v>
      </c>
      <c r="BW11" s="602">
        <f t="shared" si="10"/>
        <v>0</v>
      </c>
      <c r="BX11" s="602">
        <f t="shared" si="10"/>
        <v>0</v>
      </c>
      <c r="BY11" s="602">
        <f t="shared" si="10"/>
        <v>0</v>
      </c>
      <c r="BZ11" s="602">
        <f t="shared" si="10"/>
        <v>0</v>
      </c>
      <c r="CA11" s="602">
        <f t="shared" si="10"/>
        <v>0</v>
      </c>
      <c r="CB11" s="602">
        <f t="shared" si="10"/>
        <v>0</v>
      </c>
      <c r="CC11" s="602">
        <f t="shared" si="10"/>
        <v>0</v>
      </c>
      <c r="CD11" s="602">
        <f t="shared" si="10"/>
        <v>0</v>
      </c>
      <c r="CE11" s="602">
        <f t="shared" si="10"/>
        <v>0</v>
      </c>
      <c r="CF11" s="602">
        <f t="shared" si="10"/>
        <v>0</v>
      </c>
      <c r="CG11" s="602">
        <f t="shared" si="10"/>
        <v>0</v>
      </c>
      <c r="CH11" s="602">
        <f t="shared" si="10"/>
        <v>0</v>
      </c>
      <c r="CI11" s="602">
        <f t="shared" si="10"/>
        <v>0</v>
      </c>
      <c r="CJ11" s="602">
        <f t="shared" si="10"/>
        <v>0</v>
      </c>
      <c r="CK11" s="603">
        <f t="shared" si="10"/>
        <v>0</v>
      </c>
    </row>
    <row r="12" spans="1:89" s="519" customFormat="1" outlineLevel="1" x14ac:dyDescent="0.3">
      <c r="A12" s="598">
        <f>935+27.96</f>
        <v>962.96</v>
      </c>
      <c r="B12" s="599">
        <v>45413</v>
      </c>
      <c r="C12" s="600">
        <f t="shared" si="7"/>
        <v>45443</v>
      </c>
      <c r="D12" s="519" t="s">
        <v>464</v>
      </c>
      <c r="E12" s="601">
        <f t="shared" si="8"/>
        <v>45535</v>
      </c>
      <c r="F12" s="536">
        <v>0</v>
      </c>
      <c r="G12" s="537">
        <v>0</v>
      </c>
      <c r="H12" s="537">
        <v>0</v>
      </c>
      <c r="I12" s="537">
        <v>0</v>
      </c>
      <c r="J12" s="537">
        <v>320.99</v>
      </c>
      <c r="K12" s="537">
        <v>641.97</v>
      </c>
      <c r="L12" s="537">
        <v>0</v>
      </c>
      <c r="M12" s="537">
        <v>0</v>
      </c>
      <c r="N12" s="538">
        <v>0</v>
      </c>
      <c r="O12" s="602">
        <f t="shared" ref="O12:Y12" si="11">+IF(AND($B12&lt;O$2, $E12&gt;O$2), $A12/$D$4, 0)</f>
        <v>0</v>
      </c>
      <c r="P12" s="602">
        <f t="shared" si="11"/>
        <v>0</v>
      </c>
      <c r="Q12" s="602">
        <f t="shared" si="11"/>
        <v>0</v>
      </c>
      <c r="R12" s="602">
        <f t="shared" si="11"/>
        <v>0</v>
      </c>
      <c r="S12" s="602">
        <f t="shared" si="11"/>
        <v>0</v>
      </c>
      <c r="T12" s="602">
        <f t="shared" si="11"/>
        <v>0</v>
      </c>
      <c r="U12" s="602">
        <f t="shared" si="11"/>
        <v>0</v>
      </c>
      <c r="V12" s="602">
        <f t="shared" si="11"/>
        <v>0</v>
      </c>
      <c r="W12" s="602">
        <f t="shared" si="11"/>
        <v>0</v>
      </c>
      <c r="X12" s="602">
        <f t="shared" si="11"/>
        <v>0</v>
      </c>
      <c r="Y12" s="602">
        <f t="shared" si="11"/>
        <v>0</v>
      </c>
      <c r="Z12" s="602">
        <f t="shared" ref="Z12:BV12" si="12">+IF(AND($B12&lt;Z$2, $E12&gt;Z$2), $A12/$D$4, 0)</f>
        <v>0</v>
      </c>
      <c r="AA12" s="602">
        <f t="shared" si="12"/>
        <v>0</v>
      </c>
      <c r="AB12" s="602">
        <f t="shared" si="12"/>
        <v>0</v>
      </c>
      <c r="AC12" s="602">
        <f t="shared" si="12"/>
        <v>0</v>
      </c>
      <c r="AD12" s="602">
        <f t="shared" si="12"/>
        <v>0</v>
      </c>
      <c r="AE12" s="602">
        <f t="shared" si="12"/>
        <v>0</v>
      </c>
      <c r="AF12" s="602">
        <f t="shared" si="12"/>
        <v>0</v>
      </c>
      <c r="AG12" s="602">
        <f t="shared" si="12"/>
        <v>0</v>
      </c>
      <c r="AH12" s="602">
        <f t="shared" si="12"/>
        <v>0</v>
      </c>
      <c r="AI12" s="602">
        <f t="shared" si="12"/>
        <v>0</v>
      </c>
      <c r="AJ12" s="602">
        <f t="shared" si="12"/>
        <v>0</v>
      </c>
      <c r="AK12" s="602">
        <f t="shared" si="12"/>
        <v>0</v>
      </c>
      <c r="AL12" s="602">
        <f t="shared" si="12"/>
        <v>0</v>
      </c>
      <c r="AM12" s="602">
        <f t="shared" si="12"/>
        <v>0</v>
      </c>
      <c r="AN12" s="602">
        <f t="shared" si="12"/>
        <v>0</v>
      </c>
      <c r="AO12" s="602">
        <f t="shared" si="12"/>
        <v>0</v>
      </c>
      <c r="AP12" s="602">
        <f t="shared" si="12"/>
        <v>0</v>
      </c>
      <c r="AQ12" s="602">
        <f t="shared" si="12"/>
        <v>0</v>
      </c>
      <c r="AR12" s="602">
        <f t="shared" si="12"/>
        <v>0</v>
      </c>
      <c r="AS12" s="602">
        <f t="shared" si="12"/>
        <v>0</v>
      </c>
      <c r="AT12" s="602">
        <f t="shared" si="12"/>
        <v>0</v>
      </c>
      <c r="AU12" s="602">
        <f t="shared" si="12"/>
        <v>0</v>
      </c>
      <c r="AV12" s="602">
        <f t="shared" si="12"/>
        <v>0</v>
      </c>
      <c r="AW12" s="602">
        <f t="shared" si="12"/>
        <v>0</v>
      </c>
      <c r="AX12" s="602">
        <f t="shared" si="12"/>
        <v>0</v>
      </c>
      <c r="AY12" s="602">
        <f t="shared" si="12"/>
        <v>0</v>
      </c>
      <c r="AZ12" s="602">
        <f t="shared" si="12"/>
        <v>0</v>
      </c>
      <c r="BA12" s="602">
        <f t="shared" si="12"/>
        <v>0</v>
      </c>
      <c r="BB12" s="602">
        <f t="shared" si="12"/>
        <v>0</v>
      </c>
      <c r="BC12" s="602">
        <f t="shared" si="12"/>
        <v>0</v>
      </c>
      <c r="BD12" s="602">
        <f t="shared" si="12"/>
        <v>0</v>
      </c>
      <c r="BE12" s="602">
        <f t="shared" si="12"/>
        <v>0</v>
      </c>
      <c r="BF12" s="602">
        <f t="shared" si="12"/>
        <v>0</v>
      </c>
      <c r="BG12" s="602">
        <f t="shared" si="12"/>
        <v>0</v>
      </c>
      <c r="BH12" s="602">
        <f t="shared" si="12"/>
        <v>0</v>
      </c>
      <c r="BI12" s="602">
        <f t="shared" si="12"/>
        <v>0</v>
      </c>
      <c r="BJ12" s="602">
        <f t="shared" si="12"/>
        <v>0</v>
      </c>
      <c r="BK12" s="602">
        <f t="shared" si="12"/>
        <v>0</v>
      </c>
      <c r="BL12" s="602">
        <f t="shared" si="12"/>
        <v>0</v>
      </c>
      <c r="BM12" s="602">
        <f t="shared" si="12"/>
        <v>0</v>
      </c>
      <c r="BN12" s="602">
        <f t="shared" si="12"/>
        <v>0</v>
      </c>
      <c r="BO12" s="602">
        <f t="shared" si="12"/>
        <v>0</v>
      </c>
      <c r="BP12" s="602">
        <f t="shared" si="12"/>
        <v>0</v>
      </c>
      <c r="BQ12" s="602">
        <f t="shared" si="12"/>
        <v>0</v>
      </c>
      <c r="BR12" s="602">
        <f t="shared" si="12"/>
        <v>0</v>
      </c>
      <c r="BS12" s="602">
        <f t="shared" si="12"/>
        <v>0</v>
      </c>
      <c r="BT12" s="602">
        <f t="shared" si="12"/>
        <v>0</v>
      </c>
      <c r="BU12" s="602">
        <f t="shared" si="12"/>
        <v>0</v>
      </c>
      <c r="BV12" s="602">
        <f t="shared" si="12"/>
        <v>0</v>
      </c>
      <c r="BW12" s="602">
        <f t="shared" ref="BW12:CK16" si="13">+IF(AND($B12&lt;BW$2, $E12&gt;BW$2), $A12/$D$4, 0)</f>
        <v>0</v>
      </c>
      <c r="BX12" s="602">
        <f t="shared" si="13"/>
        <v>0</v>
      </c>
      <c r="BY12" s="602">
        <f t="shared" si="13"/>
        <v>0</v>
      </c>
      <c r="BZ12" s="602">
        <f t="shared" si="13"/>
        <v>0</v>
      </c>
      <c r="CA12" s="602">
        <f t="shared" si="13"/>
        <v>0</v>
      </c>
      <c r="CB12" s="602">
        <f t="shared" si="13"/>
        <v>0</v>
      </c>
      <c r="CC12" s="602">
        <f t="shared" si="13"/>
        <v>0</v>
      </c>
      <c r="CD12" s="602">
        <f t="shared" si="13"/>
        <v>0</v>
      </c>
      <c r="CE12" s="602">
        <f t="shared" si="13"/>
        <v>0</v>
      </c>
      <c r="CF12" s="602">
        <f t="shared" si="13"/>
        <v>0</v>
      </c>
      <c r="CG12" s="602">
        <f t="shared" si="13"/>
        <v>0</v>
      </c>
      <c r="CH12" s="602">
        <f t="shared" si="13"/>
        <v>0</v>
      </c>
      <c r="CI12" s="602">
        <f t="shared" si="13"/>
        <v>0</v>
      </c>
      <c r="CJ12" s="602">
        <f t="shared" si="13"/>
        <v>0</v>
      </c>
      <c r="CK12" s="603">
        <f t="shared" si="13"/>
        <v>0</v>
      </c>
    </row>
    <row r="13" spans="1:89" s="519" customFormat="1" outlineLevel="1" x14ac:dyDescent="0.3">
      <c r="A13" s="598">
        <v>700</v>
      </c>
      <c r="B13" s="599">
        <v>45491</v>
      </c>
      <c r="C13" s="600">
        <f t="shared" si="7"/>
        <v>45504</v>
      </c>
      <c r="D13" s="519" t="s">
        <v>488</v>
      </c>
      <c r="E13" s="601">
        <f>+EOMONTH(B13, 1)</f>
        <v>45535</v>
      </c>
      <c r="F13" s="536">
        <v>0</v>
      </c>
      <c r="G13" s="537">
        <v>0</v>
      </c>
      <c r="H13" s="537">
        <v>0</v>
      </c>
      <c r="I13" s="537">
        <v>0</v>
      </c>
      <c r="J13" s="537">
        <v>0</v>
      </c>
      <c r="K13" s="537">
        <v>0</v>
      </c>
      <c r="L13" s="537">
        <v>700</v>
      </c>
      <c r="M13" s="537">
        <v>0</v>
      </c>
      <c r="N13" s="538">
        <v>0</v>
      </c>
      <c r="O13" s="602">
        <f t="shared" ref="O13:BV16" si="14">+IF(AND($B13&lt;O$2, $E13&gt;O$2), $A13/$D$4, 0)</f>
        <v>0</v>
      </c>
      <c r="P13" s="602">
        <f t="shared" si="14"/>
        <v>0</v>
      </c>
      <c r="Q13" s="602">
        <f t="shared" si="14"/>
        <v>0</v>
      </c>
      <c r="R13" s="602">
        <f t="shared" si="14"/>
        <v>0</v>
      </c>
      <c r="S13" s="602">
        <f t="shared" si="14"/>
        <v>0</v>
      </c>
      <c r="T13" s="602">
        <f t="shared" si="14"/>
        <v>0</v>
      </c>
      <c r="U13" s="602">
        <f t="shared" si="14"/>
        <v>0</v>
      </c>
      <c r="V13" s="602">
        <f t="shared" si="14"/>
        <v>0</v>
      </c>
      <c r="W13" s="602">
        <f t="shared" si="14"/>
        <v>0</v>
      </c>
      <c r="X13" s="602">
        <f t="shared" si="14"/>
        <v>0</v>
      </c>
      <c r="Y13" s="602">
        <f t="shared" si="14"/>
        <v>0</v>
      </c>
      <c r="Z13" s="602">
        <f t="shared" si="14"/>
        <v>0</v>
      </c>
      <c r="AA13" s="602">
        <f t="shared" si="14"/>
        <v>0</v>
      </c>
      <c r="AB13" s="602">
        <f t="shared" si="14"/>
        <v>0</v>
      </c>
      <c r="AC13" s="602">
        <f t="shared" si="14"/>
        <v>0</v>
      </c>
      <c r="AD13" s="602">
        <f t="shared" si="14"/>
        <v>0</v>
      </c>
      <c r="AE13" s="602">
        <f t="shared" si="14"/>
        <v>0</v>
      </c>
      <c r="AF13" s="602">
        <f t="shared" si="14"/>
        <v>0</v>
      </c>
      <c r="AG13" s="602">
        <f t="shared" si="14"/>
        <v>0</v>
      </c>
      <c r="AH13" s="602">
        <f t="shared" si="14"/>
        <v>0</v>
      </c>
      <c r="AI13" s="602">
        <f t="shared" si="14"/>
        <v>0</v>
      </c>
      <c r="AJ13" s="602">
        <f t="shared" si="14"/>
        <v>0</v>
      </c>
      <c r="AK13" s="602">
        <f t="shared" si="14"/>
        <v>0</v>
      </c>
      <c r="AL13" s="602">
        <f t="shared" si="14"/>
        <v>0</v>
      </c>
      <c r="AM13" s="602">
        <f t="shared" si="14"/>
        <v>0</v>
      </c>
      <c r="AN13" s="602">
        <f t="shared" si="14"/>
        <v>0</v>
      </c>
      <c r="AO13" s="602">
        <f t="shared" si="14"/>
        <v>0</v>
      </c>
      <c r="AP13" s="602">
        <f t="shared" si="14"/>
        <v>0</v>
      </c>
      <c r="AQ13" s="602">
        <f t="shared" si="14"/>
        <v>0</v>
      </c>
      <c r="AR13" s="602">
        <f t="shared" si="14"/>
        <v>0</v>
      </c>
      <c r="AS13" s="602">
        <f t="shared" si="14"/>
        <v>0</v>
      </c>
      <c r="AT13" s="602">
        <f t="shared" si="14"/>
        <v>0</v>
      </c>
      <c r="AU13" s="602">
        <f t="shared" si="14"/>
        <v>0</v>
      </c>
      <c r="AV13" s="602">
        <f t="shared" si="14"/>
        <v>0</v>
      </c>
      <c r="AW13" s="602">
        <f t="shared" si="14"/>
        <v>0</v>
      </c>
      <c r="AX13" s="602">
        <f t="shared" si="14"/>
        <v>0</v>
      </c>
      <c r="AY13" s="602">
        <f t="shared" si="14"/>
        <v>0</v>
      </c>
      <c r="AZ13" s="602">
        <f t="shared" si="14"/>
        <v>0</v>
      </c>
      <c r="BA13" s="602">
        <f t="shared" si="14"/>
        <v>0</v>
      </c>
      <c r="BB13" s="602">
        <f t="shared" si="14"/>
        <v>0</v>
      </c>
      <c r="BC13" s="602">
        <f t="shared" si="14"/>
        <v>0</v>
      </c>
      <c r="BD13" s="602">
        <f t="shared" si="14"/>
        <v>0</v>
      </c>
      <c r="BE13" s="602">
        <f t="shared" si="14"/>
        <v>0</v>
      </c>
      <c r="BF13" s="602">
        <f t="shared" si="14"/>
        <v>0</v>
      </c>
      <c r="BG13" s="602">
        <f t="shared" si="14"/>
        <v>0</v>
      </c>
      <c r="BH13" s="602">
        <f t="shared" si="14"/>
        <v>0</v>
      </c>
      <c r="BI13" s="602">
        <f t="shared" si="14"/>
        <v>0</v>
      </c>
      <c r="BJ13" s="602">
        <f t="shared" si="14"/>
        <v>0</v>
      </c>
      <c r="BK13" s="602">
        <f t="shared" si="14"/>
        <v>0</v>
      </c>
      <c r="BL13" s="602">
        <f t="shared" si="14"/>
        <v>0</v>
      </c>
      <c r="BM13" s="602">
        <f t="shared" si="14"/>
        <v>0</v>
      </c>
      <c r="BN13" s="602">
        <f t="shared" si="14"/>
        <v>0</v>
      </c>
      <c r="BO13" s="602">
        <f t="shared" si="14"/>
        <v>0</v>
      </c>
      <c r="BP13" s="602">
        <f t="shared" si="14"/>
        <v>0</v>
      </c>
      <c r="BQ13" s="602">
        <f t="shared" si="14"/>
        <v>0</v>
      </c>
      <c r="BR13" s="602">
        <f t="shared" si="14"/>
        <v>0</v>
      </c>
      <c r="BS13" s="602">
        <f t="shared" si="14"/>
        <v>0</v>
      </c>
      <c r="BT13" s="602">
        <f t="shared" si="14"/>
        <v>0</v>
      </c>
      <c r="BU13" s="602">
        <f t="shared" si="14"/>
        <v>0</v>
      </c>
      <c r="BV13" s="602">
        <f t="shared" si="14"/>
        <v>0</v>
      </c>
      <c r="BW13" s="602">
        <f t="shared" si="13"/>
        <v>0</v>
      </c>
      <c r="BX13" s="602">
        <f t="shared" si="13"/>
        <v>0</v>
      </c>
      <c r="BY13" s="602">
        <f t="shared" si="13"/>
        <v>0</v>
      </c>
      <c r="BZ13" s="602">
        <f t="shared" si="13"/>
        <v>0</v>
      </c>
      <c r="CA13" s="602">
        <f t="shared" si="13"/>
        <v>0</v>
      </c>
      <c r="CB13" s="602">
        <f t="shared" si="13"/>
        <v>0</v>
      </c>
      <c r="CC13" s="602">
        <f t="shared" si="13"/>
        <v>0</v>
      </c>
      <c r="CD13" s="602">
        <f t="shared" si="13"/>
        <v>0</v>
      </c>
      <c r="CE13" s="602">
        <f t="shared" si="13"/>
        <v>0</v>
      </c>
      <c r="CF13" s="602">
        <f t="shared" si="13"/>
        <v>0</v>
      </c>
      <c r="CG13" s="602">
        <f t="shared" si="13"/>
        <v>0</v>
      </c>
      <c r="CH13" s="602">
        <f t="shared" si="13"/>
        <v>0</v>
      </c>
      <c r="CI13" s="602">
        <f t="shared" si="13"/>
        <v>0</v>
      </c>
      <c r="CJ13" s="602">
        <f t="shared" si="13"/>
        <v>0</v>
      </c>
      <c r="CK13" s="603">
        <f t="shared" si="13"/>
        <v>0</v>
      </c>
    </row>
    <row r="14" spans="1:89" outlineLevel="1" x14ac:dyDescent="0.3">
      <c r="A14" s="330">
        <v>5000</v>
      </c>
      <c r="B14" s="344">
        <v>45504</v>
      </c>
      <c r="C14" s="345">
        <f t="shared" si="7"/>
        <v>45504</v>
      </c>
      <c r="D14" t="s">
        <v>452</v>
      </c>
      <c r="E14" s="550">
        <f>+EOMONTH(B14, 5)</f>
        <v>45657</v>
      </c>
      <c r="F14" s="536">
        <v>0</v>
      </c>
      <c r="G14" s="537">
        <v>0</v>
      </c>
      <c r="H14" s="537">
        <v>0</v>
      </c>
      <c r="I14" s="537">
        <v>0</v>
      </c>
      <c r="J14" s="537">
        <v>0</v>
      </c>
      <c r="K14" s="537">
        <v>0</v>
      </c>
      <c r="L14" s="537">
        <v>0</v>
      </c>
      <c r="M14" s="537">
        <v>1500</v>
      </c>
      <c r="N14" s="538">
        <v>0</v>
      </c>
      <c r="O14" s="147">
        <f>+IF(AND($B14&lt;O$2, $E14&gt;O$2), $A14/$D$4, 0)</f>
        <v>1666.6666666666667</v>
      </c>
      <c r="P14" s="147">
        <f t="shared" si="14"/>
        <v>1666.6666666666667</v>
      </c>
      <c r="Q14" s="147">
        <f t="shared" si="14"/>
        <v>0</v>
      </c>
      <c r="R14" s="147">
        <f t="shared" si="14"/>
        <v>0</v>
      </c>
      <c r="S14" s="147">
        <f t="shared" si="14"/>
        <v>0</v>
      </c>
      <c r="T14" s="147">
        <f t="shared" si="14"/>
        <v>0</v>
      </c>
      <c r="U14" s="147">
        <f t="shared" si="14"/>
        <v>0</v>
      </c>
      <c r="V14" s="147">
        <f t="shared" si="14"/>
        <v>0</v>
      </c>
      <c r="W14" s="147">
        <f t="shared" si="14"/>
        <v>0</v>
      </c>
      <c r="X14" s="147">
        <f t="shared" si="14"/>
        <v>0</v>
      </c>
      <c r="Y14" s="147">
        <f t="shared" si="14"/>
        <v>0</v>
      </c>
      <c r="Z14" s="147">
        <f t="shared" si="14"/>
        <v>0</v>
      </c>
      <c r="AA14" s="147">
        <f t="shared" si="14"/>
        <v>0</v>
      </c>
      <c r="AB14" s="147">
        <f t="shared" si="14"/>
        <v>0</v>
      </c>
      <c r="AC14" s="147">
        <f t="shared" si="14"/>
        <v>0</v>
      </c>
      <c r="AD14" s="147">
        <f t="shared" si="14"/>
        <v>0</v>
      </c>
      <c r="AE14" s="147">
        <f t="shared" si="14"/>
        <v>0</v>
      </c>
      <c r="AF14" s="147">
        <f t="shared" si="14"/>
        <v>0</v>
      </c>
      <c r="AG14" s="147">
        <f t="shared" si="14"/>
        <v>0</v>
      </c>
      <c r="AH14" s="147">
        <f t="shared" si="14"/>
        <v>0</v>
      </c>
      <c r="AI14" s="147">
        <f t="shared" si="14"/>
        <v>0</v>
      </c>
      <c r="AJ14" s="147">
        <f t="shared" si="14"/>
        <v>0</v>
      </c>
      <c r="AK14" s="147">
        <f t="shared" si="14"/>
        <v>0</v>
      </c>
      <c r="AL14" s="147">
        <f t="shared" si="14"/>
        <v>0</v>
      </c>
      <c r="AM14" s="147">
        <f t="shared" si="14"/>
        <v>0</v>
      </c>
      <c r="AN14" s="147">
        <f t="shared" si="14"/>
        <v>0</v>
      </c>
      <c r="AO14" s="147">
        <f t="shared" si="14"/>
        <v>0</v>
      </c>
      <c r="AP14" s="147">
        <f t="shared" si="14"/>
        <v>0</v>
      </c>
      <c r="AQ14" s="147">
        <f t="shared" si="14"/>
        <v>0</v>
      </c>
      <c r="AR14" s="147">
        <f t="shared" si="14"/>
        <v>0</v>
      </c>
      <c r="AS14" s="147">
        <f t="shared" si="14"/>
        <v>0</v>
      </c>
      <c r="AT14" s="147">
        <f t="shared" si="14"/>
        <v>0</v>
      </c>
      <c r="AU14" s="147">
        <f t="shared" si="14"/>
        <v>0</v>
      </c>
      <c r="AV14" s="147">
        <f t="shared" si="14"/>
        <v>0</v>
      </c>
      <c r="AW14" s="147">
        <f t="shared" si="14"/>
        <v>0</v>
      </c>
      <c r="AX14" s="147">
        <f t="shared" si="14"/>
        <v>0</v>
      </c>
      <c r="AY14" s="147">
        <f t="shared" si="14"/>
        <v>0</v>
      </c>
      <c r="AZ14" s="147">
        <f t="shared" si="14"/>
        <v>0</v>
      </c>
      <c r="BA14" s="147">
        <f t="shared" si="14"/>
        <v>0</v>
      </c>
      <c r="BB14" s="147">
        <f t="shared" si="14"/>
        <v>0</v>
      </c>
      <c r="BC14" s="147">
        <f t="shared" si="14"/>
        <v>0</v>
      </c>
      <c r="BD14" s="147">
        <f t="shared" si="14"/>
        <v>0</v>
      </c>
      <c r="BE14" s="147">
        <f t="shared" si="14"/>
        <v>0</v>
      </c>
      <c r="BF14" s="147">
        <f t="shared" si="14"/>
        <v>0</v>
      </c>
      <c r="BG14" s="147">
        <f t="shared" si="14"/>
        <v>0</v>
      </c>
      <c r="BH14" s="147">
        <f t="shared" si="14"/>
        <v>0</v>
      </c>
      <c r="BI14" s="147">
        <f t="shared" si="14"/>
        <v>0</v>
      </c>
      <c r="BJ14" s="147">
        <f t="shared" si="14"/>
        <v>0</v>
      </c>
      <c r="BK14" s="147">
        <f t="shared" si="14"/>
        <v>0</v>
      </c>
      <c r="BL14" s="147">
        <f t="shared" si="14"/>
        <v>0</v>
      </c>
      <c r="BM14" s="147">
        <f t="shared" si="14"/>
        <v>0</v>
      </c>
      <c r="BN14" s="147">
        <f t="shared" si="14"/>
        <v>0</v>
      </c>
      <c r="BO14" s="147">
        <f t="shared" si="14"/>
        <v>0</v>
      </c>
      <c r="BP14" s="147">
        <f t="shared" si="14"/>
        <v>0</v>
      </c>
      <c r="BQ14" s="147">
        <f t="shared" si="14"/>
        <v>0</v>
      </c>
      <c r="BR14" s="147">
        <f t="shared" si="14"/>
        <v>0</v>
      </c>
      <c r="BS14" s="147">
        <f t="shared" si="14"/>
        <v>0</v>
      </c>
      <c r="BT14" s="147">
        <f t="shared" si="14"/>
        <v>0</v>
      </c>
      <c r="BU14" s="147">
        <f t="shared" si="14"/>
        <v>0</v>
      </c>
      <c r="BV14" s="147">
        <f t="shared" si="14"/>
        <v>0</v>
      </c>
      <c r="BW14" s="147">
        <f t="shared" si="13"/>
        <v>0</v>
      </c>
      <c r="BX14" s="147">
        <f t="shared" si="13"/>
        <v>0</v>
      </c>
      <c r="BY14" s="147">
        <f t="shared" si="13"/>
        <v>0</v>
      </c>
      <c r="BZ14" s="147">
        <f t="shared" si="13"/>
        <v>0</v>
      </c>
      <c r="CA14" s="147">
        <f t="shared" si="13"/>
        <v>0</v>
      </c>
      <c r="CB14" s="147">
        <f t="shared" si="13"/>
        <v>0</v>
      </c>
      <c r="CC14" s="147">
        <f t="shared" si="13"/>
        <v>0</v>
      </c>
      <c r="CD14" s="147">
        <f t="shared" si="13"/>
        <v>0</v>
      </c>
      <c r="CE14" s="147">
        <f t="shared" si="13"/>
        <v>0</v>
      </c>
      <c r="CF14" s="147">
        <f t="shared" si="13"/>
        <v>0</v>
      </c>
      <c r="CG14" s="147">
        <f t="shared" si="13"/>
        <v>0</v>
      </c>
      <c r="CH14" s="147">
        <f t="shared" si="13"/>
        <v>0</v>
      </c>
      <c r="CI14" s="147">
        <f t="shared" si="13"/>
        <v>0</v>
      </c>
      <c r="CJ14" s="147">
        <f t="shared" si="13"/>
        <v>0</v>
      </c>
      <c r="CK14" s="347">
        <f t="shared" si="13"/>
        <v>0</v>
      </c>
    </row>
    <row r="15" spans="1:89" outlineLevel="1" x14ac:dyDescent="0.3">
      <c r="A15" s="330">
        <v>33150</v>
      </c>
      <c r="B15" s="344">
        <v>45499</v>
      </c>
      <c r="C15" s="345">
        <f>+EOMONTH(B15,0)</f>
        <v>45504</v>
      </c>
      <c r="D15" t="s">
        <v>494</v>
      </c>
      <c r="E15" s="550">
        <f>+EOMONTH(B15, 5)</f>
        <v>45657</v>
      </c>
      <c r="F15" s="536">
        <v>0</v>
      </c>
      <c r="G15" s="537">
        <v>0</v>
      </c>
      <c r="H15" s="537">
        <v>0</v>
      </c>
      <c r="I15" s="537">
        <v>0</v>
      </c>
      <c r="J15" s="537">
        <v>0</v>
      </c>
      <c r="K15" s="537">
        <v>0</v>
      </c>
      <c r="L15" s="537">
        <v>0</v>
      </c>
      <c r="M15" s="537">
        <v>0</v>
      </c>
      <c r="N15" s="538">
        <v>0</v>
      </c>
      <c r="O15" s="147">
        <f>+IF(AND($B15&lt;O$2, $E15&gt;O$2), $A15/$D$4, 0)</f>
        <v>11050</v>
      </c>
      <c r="P15" s="147">
        <f t="shared" ref="P15:AU15" si="15">+IF(AND($B15&lt;P$2, $E15&gt;P$2), $A15/$D$4, 0)</f>
        <v>11050</v>
      </c>
      <c r="Q15" s="147">
        <f t="shared" si="15"/>
        <v>0</v>
      </c>
      <c r="R15" s="147">
        <f t="shared" si="15"/>
        <v>0</v>
      </c>
      <c r="S15" s="147">
        <f t="shared" si="15"/>
        <v>0</v>
      </c>
      <c r="T15" s="147">
        <f t="shared" si="15"/>
        <v>0</v>
      </c>
      <c r="U15" s="147">
        <f t="shared" si="15"/>
        <v>0</v>
      </c>
      <c r="V15" s="147">
        <f t="shared" si="15"/>
        <v>0</v>
      </c>
      <c r="W15" s="147">
        <f t="shared" si="15"/>
        <v>0</v>
      </c>
      <c r="X15" s="147">
        <f t="shared" si="15"/>
        <v>0</v>
      </c>
      <c r="Y15" s="147">
        <f t="shared" si="15"/>
        <v>0</v>
      </c>
      <c r="Z15" s="147">
        <f t="shared" si="15"/>
        <v>0</v>
      </c>
      <c r="AA15" s="147">
        <f t="shared" si="15"/>
        <v>0</v>
      </c>
      <c r="AB15" s="147">
        <f t="shared" si="15"/>
        <v>0</v>
      </c>
      <c r="AC15" s="147">
        <f t="shared" si="15"/>
        <v>0</v>
      </c>
      <c r="AD15" s="147">
        <f t="shared" si="15"/>
        <v>0</v>
      </c>
      <c r="AE15" s="147">
        <f t="shared" si="15"/>
        <v>0</v>
      </c>
      <c r="AF15" s="147">
        <f t="shared" si="15"/>
        <v>0</v>
      </c>
      <c r="AG15" s="147">
        <f t="shared" si="15"/>
        <v>0</v>
      </c>
      <c r="AH15" s="147">
        <f t="shared" si="15"/>
        <v>0</v>
      </c>
      <c r="AI15" s="147">
        <f t="shared" si="15"/>
        <v>0</v>
      </c>
      <c r="AJ15" s="147">
        <f t="shared" si="15"/>
        <v>0</v>
      </c>
      <c r="AK15" s="147">
        <f t="shared" si="15"/>
        <v>0</v>
      </c>
      <c r="AL15" s="147">
        <f t="shared" si="15"/>
        <v>0</v>
      </c>
      <c r="AM15" s="147">
        <f t="shared" si="15"/>
        <v>0</v>
      </c>
      <c r="AN15" s="147">
        <f t="shared" si="15"/>
        <v>0</v>
      </c>
      <c r="AO15" s="147">
        <f t="shared" si="15"/>
        <v>0</v>
      </c>
      <c r="AP15" s="147">
        <f t="shared" si="15"/>
        <v>0</v>
      </c>
      <c r="AQ15" s="147">
        <f t="shared" si="15"/>
        <v>0</v>
      </c>
      <c r="AR15" s="147">
        <f t="shared" si="15"/>
        <v>0</v>
      </c>
      <c r="AS15" s="147">
        <f t="shared" si="15"/>
        <v>0</v>
      </c>
      <c r="AT15" s="147">
        <f t="shared" si="15"/>
        <v>0</v>
      </c>
      <c r="AU15" s="147">
        <f t="shared" si="15"/>
        <v>0</v>
      </c>
      <c r="AV15" s="147">
        <f t="shared" si="14"/>
        <v>0</v>
      </c>
      <c r="AW15" s="147">
        <f t="shared" si="14"/>
        <v>0</v>
      </c>
      <c r="AX15" s="147">
        <f t="shared" si="14"/>
        <v>0</v>
      </c>
      <c r="AY15" s="147">
        <f t="shared" si="14"/>
        <v>0</v>
      </c>
      <c r="AZ15" s="147">
        <f t="shared" si="14"/>
        <v>0</v>
      </c>
      <c r="BA15" s="147">
        <f t="shared" si="14"/>
        <v>0</v>
      </c>
      <c r="BB15" s="147">
        <f t="shared" si="14"/>
        <v>0</v>
      </c>
      <c r="BC15" s="147">
        <f t="shared" si="14"/>
        <v>0</v>
      </c>
      <c r="BD15" s="147">
        <f t="shared" si="14"/>
        <v>0</v>
      </c>
      <c r="BE15" s="147">
        <f t="shared" si="14"/>
        <v>0</v>
      </c>
      <c r="BF15" s="147">
        <f t="shared" si="14"/>
        <v>0</v>
      </c>
      <c r="BG15" s="147">
        <f t="shared" si="14"/>
        <v>0</v>
      </c>
      <c r="BH15" s="147">
        <f t="shared" si="14"/>
        <v>0</v>
      </c>
      <c r="BI15" s="147">
        <f t="shared" si="14"/>
        <v>0</v>
      </c>
      <c r="BJ15" s="147">
        <f t="shared" si="14"/>
        <v>0</v>
      </c>
      <c r="BK15" s="147">
        <f t="shared" si="14"/>
        <v>0</v>
      </c>
      <c r="BL15" s="147">
        <f t="shared" si="14"/>
        <v>0</v>
      </c>
      <c r="BM15" s="147">
        <f t="shared" si="14"/>
        <v>0</v>
      </c>
      <c r="BN15" s="147">
        <f t="shared" si="14"/>
        <v>0</v>
      </c>
      <c r="BO15" s="147">
        <f t="shared" si="14"/>
        <v>0</v>
      </c>
      <c r="BP15" s="147">
        <f t="shared" si="14"/>
        <v>0</v>
      </c>
      <c r="BQ15" s="147">
        <f t="shared" si="14"/>
        <v>0</v>
      </c>
      <c r="BR15" s="147">
        <f t="shared" si="14"/>
        <v>0</v>
      </c>
      <c r="BS15" s="147">
        <f t="shared" si="14"/>
        <v>0</v>
      </c>
      <c r="BT15" s="147">
        <f t="shared" si="14"/>
        <v>0</v>
      </c>
      <c r="BU15" s="147">
        <f t="shared" si="14"/>
        <v>0</v>
      </c>
      <c r="BV15" s="147">
        <f t="shared" si="14"/>
        <v>0</v>
      </c>
      <c r="BW15" s="147">
        <f t="shared" si="13"/>
        <v>0</v>
      </c>
      <c r="BX15" s="147">
        <f t="shared" si="13"/>
        <v>0</v>
      </c>
      <c r="BY15" s="147">
        <f t="shared" si="13"/>
        <v>0</v>
      </c>
      <c r="BZ15" s="147">
        <f t="shared" si="13"/>
        <v>0</v>
      </c>
      <c r="CA15" s="147">
        <f t="shared" si="13"/>
        <v>0</v>
      </c>
      <c r="CB15" s="147">
        <f t="shared" si="13"/>
        <v>0</v>
      </c>
      <c r="CC15" s="147">
        <f t="shared" si="13"/>
        <v>0</v>
      </c>
      <c r="CD15" s="147">
        <f t="shared" si="13"/>
        <v>0</v>
      </c>
      <c r="CE15" s="147">
        <f t="shared" si="13"/>
        <v>0</v>
      </c>
      <c r="CF15" s="147">
        <f t="shared" si="13"/>
        <v>0</v>
      </c>
      <c r="CG15" s="147">
        <f t="shared" si="13"/>
        <v>0</v>
      </c>
      <c r="CH15" s="147">
        <f t="shared" si="13"/>
        <v>0</v>
      </c>
      <c r="CI15" s="147">
        <f t="shared" si="13"/>
        <v>0</v>
      </c>
      <c r="CJ15" s="147">
        <f t="shared" si="13"/>
        <v>0</v>
      </c>
      <c r="CK15" s="347">
        <f t="shared" si="13"/>
        <v>0</v>
      </c>
    </row>
    <row r="16" spans="1:89" s="519" customFormat="1" outlineLevel="1" x14ac:dyDescent="0.3">
      <c r="A16" s="598">
        <v>13800</v>
      </c>
      <c r="B16" s="599">
        <v>45517</v>
      </c>
      <c r="C16" s="600">
        <f t="shared" si="7"/>
        <v>45535</v>
      </c>
      <c r="D16" s="519" t="s">
        <v>493</v>
      </c>
      <c r="E16" s="601">
        <f>+EOMONTH(B16, 0)</f>
        <v>45535</v>
      </c>
      <c r="F16" s="536">
        <v>0</v>
      </c>
      <c r="G16" s="537">
        <v>0</v>
      </c>
      <c r="H16" s="537">
        <v>0</v>
      </c>
      <c r="I16" s="537">
        <v>0</v>
      </c>
      <c r="J16" s="537">
        <v>0</v>
      </c>
      <c r="K16" s="537">
        <v>0</v>
      </c>
      <c r="L16" s="537">
        <v>0</v>
      </c>
      <c r="M16" s="537">
        <v>13800</v>
      </c>
      <c r="N16" s="538">
        <v>0</v>
      </c>
      <c r="O16" s="602">
        <f t="shared" si="14"/>
        <v>0</v>
      </c>
      <c r="P16" s="602">
        <f t="shared" si="14"/>
        <v>0</v>
      </c>
      <c r="Q16" s="602">
        <f t="shared" si="14"/>
        <v>0</v>
      </c>
      <c r="R16" s="602">
        <f t="shared" si="14"/>
        <v>0</v>
      </c>
      <c r="S16" s="602">
        <f t="shared" si="14"/>
        <v>0</v>
      </c>
      <c r="T16" s="602">
        <f t="shared" si="14"/>
        <v>0</v>
      </c>
      <c r="U16" s="602">
        <f t="shared" si="14"/>
        <v>0</v>
      </c>
      <c r="V16" s="602">
        <f t="shared" si="14"/>
        <v>0</v>
      </c>
      <c r="W16" s="602">
        <f t="shared" si="14"/>
        <v>0</v>
      </c>
      <c r="X16" s="602">
        <f t="shared" si="14"/>
        <v>0</v>
      </c>
      <c r="Y16" s="602">
        <f t="shared" si="14"/>
        <v>0</v>
      </c>
      <c r="Z16" s="602">
        <f t="shared" si="14"/>
        <v>0</v>
      </c>
      <c r="AA16" s="602">
        <f t="shared" si="14"/>
        <v>0</v>
      </c>
      <c r="AB16" s="602">
        <f t="shared" si="14"/>
        <v>0</v>
      </c>
      <c r="AC16" s="602">
        <f t="shared" si="14"/>
        <v>0</v>
      </c>
      <c r="AD16" s="602">
        <f t="shared" si="14"/>
        <v>0</v>
      </c>
      <c r="AE16" s="602">
        <f t="shared" si="14"/>
        <v>0</v>
      </c>
      <c r="AF16" s="602">
        <f t="shared" si="14"/>
        <v>0</v>
      </c>
      <c r="AG16" s="602">
        <f t="shared" si="14"/>
        <v>0</v>
      </c>
      <c r="AH16" s="602">
        <f t="shared" si="14"/>
        <v>0</v>
      </c>
      <c r="AI16" s="602">
        <f t="shared" si="14"/>
        <v>0</v>
      </c>
      <c r="AJ16" s="602">
        <f t="shared" si="14"/>
        <v>0</v>
      </c>
      <c r="AK16" s="602">
        <f t="shared" si="14"/>
        <v>0</v>
      </c>
      <c r="AL16" s="602">
        <f t="shared" si="14"/>
        <v>0</v>
      </c>
      <c r="AM16" s="602">
        <f t="shared" si="14"/>
        <v>0</v>
      </c>
      <c r="AN16" s="602">
        <f t="shared" si="14"/>
        <v>0</v>
      </c>
      <c r="AO16" s="602">
        <f t="shared" si="14"/>
        <v>0</v>
      </c>
      <c r="AP16" s="602">
        <f t="shared" si="14"/>
        <v>0</v>
      </c>
      <c r="AQ16" s="602">
        <f t="shared" si="14"/>
        <v>0</v>
      </c>
      <c r="AR16" s="602">
        <f t="shared" si="14"/>
        <v>0</v>
      </c>
      <c r="AS16" s="602">
        <f t="shared" si="14"/>
        <v>0</v>
      </c>
      <c r="AT16" s="602">
        <f t="shared" si="14"/>
        <v>0</v>
      </c>
      <c r="AU16" s="602">
        <f t="shared" si="14"/>
        <v>0</v>
      </c>
      <c r="AV16" s="602">
        <f t="shared" si="14"/>
        <v>0</v>
      </c>
      <c r="AW16" s="602">
        <f t="shared" si="14"/>
        <v>0</v>
      </c>
      <c r="AX16" s="602">
        <f t="shared" si="14"/>
        <v>0</v>
      </c>
      <c r="AY16" s="602">
        <f t="shared" si="14"/>
        <v>0</v>
      </c>
      <c r="AZ16" s="602">
        <f t="shared" si="14"/>
        <v>0</v>
      </c>
      <c r="BA16" s="602">
        <f t="shared" si="14"/>
        <v>0</v>
      </c>
      <c r="BB16" s="602">
        <f t="shared" si="14"/>
        <v>0</v>
      </c>
      <c r="BC16" s="602">
        <f t="shared" si="14"/>
        <v>0</v>
      </c>
      <c r="BD16" s="602">
        <f t="shared" si="14"/>
        <v>0</v>
      </c>
      <c r="BE16" s="602">
        <f t="shared" si="14"/>
        <v>0</v>
      </c>
      <c r="BF16" s="602">
        <f t="shared" si="14"/>
        <v>0</v>
      </c>
      <c r="BG16" s="602">
        <f t="shared" si="14"/>
        <v>0</v>
      </c>
      <c r="BH16" s="602">
        <f t="shared" si="14"/>
        <v>0</v>
      </c>
      <c r="BI16" s="602">
        <f t="shared" si="14"/>
        <v>0</v>
      </c>
      <c r="BJ16" s="602">
        <f t="shared" si="14"/>
        <v>0</v>
      </c>
      <c r="BK16" s="602">
        <f t="shared" si="14"/>
        <v>0</v>
      </c>
      <c r="BL16" s="602">
        <f t="shared" si="14"/>
        <v>0</v>
      </c>
      <c r="BM16" s="602">
        <f t="shared" si="14"/>
        <v>0</v>
      </c>
      <c r="BN16" s="602">
        <f t="shared" si="14"/>
        <v>0</v>
      </c>
      <c r="BO16" s="602">
        <f t="shared" si="14"/>
        <v>0</v>
      </c>
      <c r="BP16" s="602">
        <f t="shared" si="14"/>
        <v>0</v>
      </c>
      <c r="BQ16" s="602">
        <f t="shared" si="14"/>
        <v>0</v>
      </c>
      <c r="BR16" s="602">
        <f t="shared" si="14"/>
        <v>0</v>
      </c>
      <c r="BS16" s="602">
        <f t="shared" si="14"/>
        <v>0</v>
      </c>
      <c r="BT16" s="602">
        <f t="shared" si="14"/>
        <v>0</v>
      </c>
      <c r="BU16" s="602">
        <f t="shared" si="14"/>
        <v>0</v>
      </c>
      <c r="BV16" s="602">
        <f t="shared" si="14"/>
        <v>0</v>
      </c>
      <c r="BW16" s="602">
        <f t="shared" si="13"/>
        <v>0</v>
      </c>
      <c r="BX16" s="602">
        <f t="shared" si="13"/>
        <v>0</v>
      </c>
      <c r="BY16" s="602">
        <f t="shared" si="13"/>
        <v>0</v>
      </c>
      <c r="BZ16" s="602">
        <f t="shared" si="13"/>
        <v>0</v>
      </c>
      <c r="CA16" s="602">
        <f t="shared" si="13"/>
        <v>0</v>
      </c>
      <c r="CB16" s="602">
        <f t="shared" si="13"/>
        <v>0</v>
      </c>
      <c r="CC16" s="602">
        <f t="shared" si="13"/>
        <v>0</v>
      </c>
      <c r="CD16" s="602">
        <f t="shared" si="13"/>
        <v>0</v>
      </c>
      <c r="CE16" s="602">
        <f t="shared" si="13"/>
        <v>0</v>
      </c>
      <c r="CF16" s="602">
        <f t="shared" si="13"/>
        <v>0</v>
      </c>
      <c r="CG16" s="602">
        <f t="shared" si="13"/>
        <v>0</v>
      </c>
      <c r="CH16" s="602">
        <f t="shared" si="13"/>
        <v>0</v>
      </c>
      <c r="CI16" s="602">
        <f t="shared" si="13"/>
        <v>0</v>
      </c>
      <c r="CJ16" s="602">
        <f t="shared" si="13"/>
        <v>0</v>
      </c>
      <c r="CK16" s="603">
        <f t="shared" si="13"/>
        <v>0</v>
      </c>
    </row>
    <row r="17" spans="1:89" s="519" customFormat="1" outlineLevel="1" x14ac:dyDescent="0.3">
      <c r="A17" s="598">
        <v>1065</v>
      </c>
      <c r="B17" s="599">
        <v>45524</v>
      </c>
      <c r="C17" s="600">
        <f t="shared" si="7"/>
        <v>45535</v>
      </c>
      <c r="D17" s="519" t="s">
        <v>496</v>
      </c>
      <c r="E17" s="601">
        <f>+EOMONTH(B17, 2)</f>
        <v>45596</v>
      </c>
      <c r="F17" s="536">
        <v>0</v>
      </c>
      <c r="G17" s="537">
        <v>0</v>
      </c>
      <c r="H17" s="537">
        <v>0</v>
      </c>
      <c r="I17" s="537">
        <v>0</v>
      </c>
      <c r="J17" s="537">
        <v>0</v>
      </c>
      <c r="K17" s="537">
        <v>0</v>
      </c>
      <c r="L17" s="537">
        <v>0</v>
      </c>
      <c r="M17" s="537">
        <v>1065</v>
      </c>
      <c r="N17" s="538">
        <v>0</v>
      </c>
      <c r="O17" s="602">
        <f t="shared" ref="O17:BV20" si="16">+IF(AND($B17&lt;O$2, $E17&gt;O$2), $A17/$D$4, 0)</f>
        <v>0</v>
      </c>
      <c r="P17" s="602">
        <f t="shared" si="16"/>
        <v>0</v>
      </c>
      <c r="Q17" s="602">
        <f t="shared" si="16"/>
        <v>0</v>
      </c>
      <c r="R17" s="602">
        <f t="shared" si="16"/>
        <v>0</v>
      </c>
      <c r="S17" s="602">
        <f t="shared" si="16"/>
        <v>0</v>
      </c>
      <c r="T17" s="602">
        <f t="shared" si="16"/>
        <v>0</v>
      </c>
      <c r="U17" s="602">
        <f t="shared" si="16"/>
        <v>0</v>
      </c>
      <c r="V17" s="602">
        <f t="shared" si="16"/>
        <v>0</v>
      </c>
      <c r="W17" s="602">
        <f t="shared" si="16"/>
        <v>0</v>
      </c>
      <c r="X17" s="602">
        <f t="shared" si="16"/>
        <v>0</v>
      </c>
      <c r="Y17" s="602">
        <f t="shared" si="16"/>
        <v>0</v>
      </c>
      <c r="Z17" s="602">
        <f t="shared" si="16"/>
        <v>0</v>
      </c>
      <c r="AA17" s="602">
        <f t="shared" si="16"/>
        <v>0</v>
      </c>
      <c r="AB17" s="602">
        <f t="shared" si="16"/>
        <v>0</v>
      </c>
      <c r="AC17" s="602">
        <f t="shared" si="16"/>
        <v>0</v>
      </c>
      <c r="AD17" s="602">
        <f t="shared" si="16"/>
        <v>0</v>
      </c>
      <c r="AE17" s="602">
        <f t="shared" si="16"/>
        <v>0</v>
      </c>
      <c r="AF17" s="602">
        <f t="shared" si="16"/>
        <v>0</v>
      </c>
      <c r="AG17" s="602">
        <f t="shared" si="16"/>
        <v>0</v>
      </c>
      <c r="AH17" s="602">
        <f t="shared" si="16"/>
        <v>0</v>
      </c>
      <c r="AI17" s="602">
        <f t="shared" si="16"/>
        <v>0</v>
      </c>
      <c r="AJ17" s="602">
        <f t="shared" si="16"/>
        <v>0</v>
      </c>
      <c r="AK17" s="602">
        <f t="shared" si="16"/>
        <v>0</v>
      </c>
      <c r="AL17" s="602">
        <f t="shared" si="16"/>
        <v>0</v>
      </c>
      <c r="AM17" s="602">
        <f t="shared" si="16"/>
        <v>0</v>
      </c>
      <c r="AN17" s="602">
        <f t="shared" si="16"/>
        <v>0</v>
      </c>
      <c r="AO17" s="602">
        <f t="shared" si="16"/>
        <v>0</v>
      </c>
      <c r="AP17" s="602">
        <f t="shared" si="16"/>
        <v>0</v>
      </c>
      <c r="AQ17" s="602">
        <f t="shared" si="16"/>
        <v>0</v>
      </c>
      <c r="AR17" s="602">
        <f t="shared" si="16"/>
        <v>0</v>
      </c>
      <c r="AS17" s="602">
        <f t="shared" si="16"/>
        <v>0</v>
      </c>
      <c r="AT17" s="602">
        <f t="shared" si="16"/>
        <v>0</v>
      </c>
      <c r="AU17" s="602">
        <f t="shared" si="16"/>
        <v>0</v>
      </c>
      <c r="AV17" s="602">
        <f t="shared" si="16"/>
        <v>0</v>
      </c>
      <c r="AW17" s="602">
        <f t="shared" si="16"/>
        <v>0</v>
      </c>
      <c r="AX17" s="602">
        <f t="shared" si="16"/>
        <v>0</v>
      </c>
      <c r="AY17" s="602">
        <f t="shared" si="16"/>
        <v>0</v>
      </c>
      <c r="AZ17" s="602">
        <f t="shared" si="16"/>
        <v>0</v>
      </c>
      <c r="BA17" s="602">
        <f t="shared" si="16"/>
        <v>0</v>
      </c>
      <c r="BB17" s="602">
        <f t="shared" si="16"/>
        <v>0</v>
      </c>
      <c r="BC17" s="602">
        <f t="shared" si="16"/>
        <v>0</v>
      </c>
      <c r="BD17" s="602">
        <f t="shared" si="16"/>
        <v>0</v>
      </c>
      <c r="BE17" s="602">
        <f t="shared" si="16"/>
        <v>0</v>
      </c>
      <c r="BF17" s="602">
        <f t="shared" si="16"/>
        <v>0</v>
      </c>
      <c r="BG17" s="602">
        <f t="shared" si="16"/>
        <v>0</v>
      </c>
      <c r="BH17" s="602">
        <f t="shared" si="16"/>
        <v>0</v>
      </c>
      <c r="BI17" s="602">
        <f t="shared" si="16"/>
        <v>0</v>
      </c>
      <c r="BJ17" s="602">
        <f t="shared" si="16"/>
        <v>0</v>
      </c>
      <c r="BK17" s="602">
        <f t="shared" si="16"/>
        <v>0</v>
      </c>
      <c r="BL17" s="602">
        <f t="shared" si="16"/>
        <v>0</v>
      </c>
      <c r="BM17" s="602">
        <f t="shared" si="16"/>
        <v>0</v>
      </c>
      <c r="BN17" s="602">
        <f t="shared" si="16"/>
        <v>0</v>
      </c>
      <c r="BO17" s="602">
        <f t="shared" si="16"/>
        <v>0</v>
      </c>
      <c r="BP17" s="602">
        <f t="shared" si="16"/>
        <v>0</v>
      </c>
      <c r="BQ17" s="602">
        <f t="shared" si="16"/>
        <v>0</v>
      </c>
      <c r="BR17" s="602">
        <f t="shared" si="16"/>
        <v>0</v>
      </c>
      <c r="BS17" s="602">
        <f t="shared" si="16"/>
        <v>0</v>
      </c>
      <c r="BT17" s="602">
        <f t="shared" si="16"/>
        <v>0</v>
      </c>
      <c r="BU17" s="602">
        <f t="shared" si="16"/>
        <v>0</v>
      </c>
      <c r="BV17" s="602">
        <f t="shared" si="16"/>
        <v>0</v>
      </c>
      <c r="BW17" s="602">
        <f t="shared" ref="BW17:CK19" si="17">+IF(AND($B17&lt;BW$2, $E17&gt;BW$2), $A17/$D$4, 0)</f>
        <v>0</v>
      </c>
      <c r="BX17" s="602">
        <f t="shared" si="17"/>
        <v>0</v>
      </c>
      <c r="BY17" s="602">
        <f t="shared" si="17"/>
        <v>0</v>
      </c>
      <c r="BZ17" s="602">
        <f t="shared" si="17"/>
        <v>0</v>
      </c>
      <c r="CA17" s="602">
        <f t="shared" si="17"/>
        <v>0</v>
      </c>
      <c r="CB17" s="602">
        <f t="shared" si="17"/>
        <v>0</v>
      </c>
      <c r="CC17" s="602">
        <f t="shared" si="17"/>
        <v>0</v>
      </c>
      <c r="CD17" s="602">
        <f t="shared" si="17"/>
        <v>0</v>
      </c>
      <c r="CE17" s="602">
        <f t="shared" si="17"/>
        <v>0</v>
      </c>
      <c r="CF17" s="602">
        <f t="shared" si="17"/>
        <v>0</v>
      </c>
      <c r="CG17" s="602">
        <f t="shared" si="17"/>
        <v>0</v>
      </c>
      <c r="CH17" s="602">
        <f t="shared" si="17"/>
        <v>0</v>
      </c>
      <c r="CI17" s="602">
        <f t="shared" si="17"/>
        <v>0</v>
      </c>
      <c r="CJ17" s="602">
        <f t="shared" si="17"/>
        <v>0</v>
      </c>
      <c r="CK17" s="603">
        <f t="shared" si="17"/>
        <v>0</v>
      </c>
    </row>
    <row r="18" spans="1:89" outlineLevel="1" x14ac:dyDescent="0.3">
      <c r="A18" s="330">
        <v>64795.33</v>
      </c>
      <c r="B18" s="344">
        <v>45543</v>
      </c>
      <c r="C18" s="345">
        <f t="shared" si="7"/>
        <v>45565</v>
      </c>
      <c r="D18" t="s">
        <v>511</v>
      </c>
      <c r="E18" s="550">
        <f>+EOMONTH(B18, 2)</f>
        <v>45626</v>
      </c>
      <c r="F18" s="536">
        <v>0</v>
      </c>
      <c r="G18" s="537">
        <v>0</v>
      </c>
      <c r="H18" s="537">
        <v>0</v>
      </c>
      <c r="I18" s="537">
        <v>0</v>
      </c>
      <c r="J18" s="537">
        <v>0</v>
      </c>
      <c r="K18" s="537">
        <v>0</v>
      </c>
      <c r="L18" s="537">
        <v>0</v>
      </c>
      <c r="M18" s="537">
        <v>0</v>
      </c>
      <c r="N18" s="538">
        <v>45810.3</v>
      </c>
      <c r="O18" s="147">
        <f>+IF(AND($B18&lt;O$2, $E18&gt;O$2), $A18/$D$4, 0)</f>
        <v>21598.443333333333</v>
      </c>
      <c r="P18" s="147">
        <f t="shared" si="16"/>
        <v>0</v>
      </c>
      <c r="Q18" s="147">
        <f t="shared" si="16"/>
        <v>0</v>
      </c>
      <c r="R18" s="147">
        <f t="shared" si="16"/>
        <v>0</v>
      </c>
      <c r="S18" s="147">
        <f t="shared" si="16"/>
        <v>0</v>
      </c>
      <c r="T18" s="147">
        <f t="shared" si="16"/>
        <v>0</v>
      </c>
      <c r="U18" s="147">
        <f t="shared" si="16"/>
        <v>0</v>
      </c>
      <c r="V18" s="147">
        <f t="shared" si="16"/>
        <v>0</v>
      </c>
      <c r="W18" s="147">
        <f t="shared" si="16"/>
        <v>0</v>
      </c>
      <c r="X18" s="147">
        <f t="shared" si="16"/>
        <v>0</v>
      </c>
      <c r="Y18" s="147">
        <f t="shared" si="16"/>
        <v>0</v>
      </c>
      <c r="Z18" s="147">
        <f t="shared" si="16"/>
        <v>0</v>
      </c>
      <c r="AA18" s="147">
        <f t="shared" si="16"/>
        <v>0</v>
      </c>
      <c r="AB18" s="147">
        <f t="shared" si="16"/>
        <v>0</v>
      </c>
      <c r="AC18" s="147">
        <f t="shared" si="16"/>
        <v>0</v>
      </c>
      <c r="AD18" s="147">
        <f t="shared" si="16"/>
        <v>0</v>
      </c>
      <c r="AE18" s="147">
        <f t="shared" si="16"/>
        <v>0</v>
      </c>
      <c r="AF18" s="147">
        <f t="shared" si="16"/>
        <v>0</v>
      </c>
      <c r="AG18" s="147">
        <f t="shared" si="16"/>
        <v>0</v>
      </c>
      <c r="AH18" s="147">
        <f t="shared" si="16"/>
        <v>0</v>
      </c>
      <c r="AI18" s="147">
        <f t="shared" si="16"/>
        <v>0</v>
      </c>
      <c r="AJ18" s="147">
        <f t="shared" si="16"/>
        <v>0</v>
      </c>
      <c r="AK18" s="147">
        <f t="shared" si="16"/>
        <v>0</v>
      </c>
      <c r="AL18" s="147">
        <f t="shared" si="16"/>
        <v>0</v>
      </c>
      <c r="AM18" s="147">
        <f t="shared" si="16"/>
        <v>0</v>
      </c>
      <c r="AN18" s="147">
        <f t="shared" si="16"/>
        <v>0</v>
      </c>
      <c r="AO18" s="147">
        <f t="shared" si="16"/>
        <v>0</v>
      </c>
      <c r="AP18" s="147">
        <f t="shared" si="16"/>
        <v>0</v>
      </c>
      <c r="AQ18" s="147">
        <f t="shared" si="16"/>
        <v>0</v>
      </c>
      <c r="AR18" s="147">
        <f t="shared" si="16"/>
        <v>0</v>
      </c>
      <c r="AS18" s="147">
        <f t="shared" si="16"/>
        <v>0</v>
      </c>
      <c r="AT18" s="147">
        <f t="shared" si="16"/>
        <v>0</v>
      </c>
      <c r="AU18" s="147">
        <f t="shared" si="16"/>
        <v>0</v>
      </c>
      <c r="AV18" s="147">
        <f t="shared" si="16"/>
        <v>0</v>
      </c>
      <c r="AW18" s="147">
        <f t="shared" si="16"/>
        <v>0</v>
      </c>
      <c r="AX18" s="147">
        <f t="shared" si="16"/>
        <v>0</v>
      </c>
      <c r="AY18" s="147">
        <f t="shared" si="16"/>
        <v>0</v>
      </c>
      <c r="AZ18" s="147">
        <f t="shared" si="16"/>
        <v>0</v>
      </c>
      <c r="BA18" s="147">
        <f t="shared" si="16"/>
        <v>0</v>
      </c>
      <c r="BB18" s="147">
        <f t="shared" si="16"/>
        <v>0</v>
      </c>
      <c r="BC18" s="147">
        <f t="shared" si="16"/>
        <v>0</v>
      </c>
      <c r="BD18" s="147">
        <f t="shared" si="16"/>
        <v>0</v>
      </c>
      <c r="BE18" s="147">
        <f t="shared" si="16"/>
        <v>0</v>
      </c>
      <c r="BF18" s="147">
        <f t="shared" si="16"/>
        <v>0</v>
      </c>
      <c r="BG18" s="147">
        <f t="shared" si="16"/>
        <v>0</v>
      </c>
      <c r="BH18" s="147">
        <f t="shared" si="16"/>
        <v>0</v>
      </c>
      <c r="BI18" s="147">
        <f t="shared" si="16"/>
        <v>0</v>
      </c>
      <c r="BJ18" s="147">
        <f t="shared" si="16"/>
        <v>0</v>
      </c>
      <c r="BK18" s="147">
        <f t="shared" si="16"/>
        <v>0</v>
      </c>
      <c r="BL18" s="147">
        <f t="shared" si="16"/>
        <v>0</v>
      </c>
      <c r="BM18" s="147">
        <f t="shared" si="16"/>
        <v>0</v>
      </c>
      <c r="BN18" s="147">
        <f t="shared" si="16"/>
        <v>0</v>
      </c>
      <c r="BO18" s="147">
        <f t="shared" si="16"/>
        <v>0</v>
      </c>
      <c r="BP18" s="147">
        <f t="shared" si="16"/>
        <v>0</v>
      </c>
      <c r="BQ18" s="147">
        <f t="shared" si="16"/>
        <v>0</v>
      </c>
      <c r="BR18" s="147">
        <f t="shared" si="16"/>
        <v>0</v>
      </c>
      <c r="BS18" s="147">
        <f t="shared" si="16"/>
        <v>0</v>
      </c>
      <c r="BT18" s="147">
        <f t="shared" si="16"/>
        <v>0</v>
      </c>
      <c r="BU18" s="147">
        <f t="shared" si="16"/>
        <v>0</v>
      </c>
      <c r="BV18" s="147">
        <f t="shared" si="16"/>
        <v>0</v>
      </c>
      <c r="BW18" s="147">
        <f t="shared" si="17"/>
        <v>0</v>
      </c>
      <c r="BX18" s="147">
        <f t="shared" si="17"/>
        <v>0</v>
      </c>
      <c r="BY18" s="147">
        <f t="shared" si="17"/>
        <v>0</v>
      </c>
      <c r="BZ18" s="147">
        <f t="shared" si="17"/>
        <v>0</v>
      </c>
      <c r="CA18" s="147">
        <f t="shared" si="17"/>
        <v>0</v>
      </c>
      <c r="CB18" s="147">
        <f t="shared" si="17"/>
        <v>0</v>
      </c>
      <c r="CC18" s="147">
        <f t="shared" si="17"/>
        <v>0</v>
      </c>
      <c r="CD18" s="147">
        <f t="shared" si="17"/>
        <v>0</v>
      </c>
      <c r="CE18" s="147">
        <f t="shared" si="17"/>
        <v>0</v>
      </c>
      <c r="CF18" s="147">
        <f t="shared" si="17"/>
        <v>0</v>
      </c>
      <c r="CG18" s="147">
        <f t="shared" si="17"/>
        <v>0</v>
      </c>
      <c r="CH18" s="147">
        <f t="shared" si="17"/>
        <v>0</v>
      </c>
      <c r="CI18" s="147">
        <f t="shared" si="17"/>
        <v>0</v>
      </c>
      <c r="CJ18" s="147">
        <f t="shared" si="17"/>
        <v>0</v>
      </c>
      <c r="CK18" s="347">
        <f t="shared" si="17"/>
        <v>0</v>
      </c>
    </row>
    <row r="19" spans="1:89" outlineLevel="1" x14ac:dyDescent="0.3">
      <c r="A19" s="330">
        <v>3200</v>
      </c>
      <c r="B19" s="344">
        <v>45555</v>
      </c>
      <c r="C19" s="345">
        <f t="shared" si="7"/>
        <v>45565</v>
      </c>
      <c r="D19" t="s">
        <v>493</v>
      </c>
      <c r="E19" s="550">
        <f>+EOMONTH(B19, 1)</f>
        <v>45596</v>
      </c>
      <c r="F19" s="536">
        <v>0</v>
      </c>
      <c r="G19" s="537">
        <v>0</v>
      </c>
      <c r="H19" s="537">
        <v>0</v>
      </c>
      <c r="I19" s="537">
        <v>0</v>
      </c>
      <c r="J19" s="537">
        <v>0</v>
      </c>
      <c r="K19" s="537">
        <v>0</v>
      </c>
      <c r="L19" s="537">
        <v>0</v>
      </c>
      <c r="M19" s="537">
        <v>0</v>
      </c>
      <c r="N19" s="538">
        <v>3200</v>
      </c>
      <c r="O19" s="147">
        <f t="shared" si="16"/>
        <v>0</v>
      </c>
      <c r="P19" s="147">
        <f t="shared" si="16"/>
        <v>0</v>
      </c>
      <c r="Q19" s="147">
        <f t="shared" si="16"/>
        <v>0</v>
      </c>
      <c r="R19" s="147">
        <f t="shared" si="16"/>
        <v>0</v>
      </c>
      <c r="S19" s="147">
        <f t="shared" si="16"/>
        <v>0</v>
      </c>
      <c r="T19" s="147">
        <f t="shared" si="16"/>
        <v>0</v>
      </c>
      <c r="U19" s="147">
        <f t="shared" si="16"/>
        <v>0</v>
      </c>
      <c r="V19" s="147">
        <f t="shared" si="16"/>
        <v>0</v>
      </c>
      <c r="W19" s="147">
        <f t="shared" si="16"/>
        <v>0</v>
      </c>
      <c r="X19" s="147">
        <f t="shared" si="16"/>
        <v>0</v>
      </c>
      <c r="Y19" s="147">
        <f t="shared" si="16"/>
        <v>0</v>
      </c>
      <c r="Z19" s="147">
        <f t="shared" si="16"/>
        <v>0</v>
      </c>
      <c r="AA19" s="147">
        <f t="shared" si="16"/>
        <v>0</v>
      </c>
      <c r="AB19" s="147">
        <f t="shared" si="16"/>
        <v>0</v>
      </c>
      <c r="AC19" s="147">
        <f t="shared" si="16"/>
        <v>0</v>
      </c>
      <c r="AD19" s="147">
        <f t="shared" si="16"/>
        <v>0</v>
      </c>
      <c r="AE19" s="147">
        <f t="shared" si="16"/>
        <v>0</v>
      </c>
      <c r="AF19" s="147">
        <f t="shared" si="16"/>
        <v>0</v>
      </c>
      <c r="AG19" s="147">
        <f t="shared" si="16"/>
        <v>0</v>
      </c>
      <c r="AH19" s="147">
        <f t="shared" si="16"/>
        <v>0</v>
      </c>
      <c r="AI19" s="147">
        <f t="shared" si="16"/>
        <v>0</v>
      </c>
      <c r="AJ19" s="147">
        <f t="shared" si="16"/>
        <v>0</v>
      </c>
      <c r="AK19" s="147">
        <f t="shared" si="16"/>
        <v>0</v>
      </c>
      <c r="AL19" s="147">
        <f t="shared" si="16"/>
        <v>0</v>
      </c>
      <c r="AM19" s="147">
        <f t="shared" si="16"/>
        <v>0</v>
      </c>
      <c r="AN19" s="147">
        <f t="shared" si="16"/>
        <v>0</v>
      </c>
      <c r="AO19" s="147">
        <f t="shared" si="16"/>
        <v>0</v>
      </c>
      <c r="AP19" s="147">
        <f t="shared" si="16"/>
        <v>0</v>
      </c>
      <c r="AQ19" s="147">
        <f t="shared" si="16"/>
        <v>0</v>
      </c>
      <c r="AR19" s="147">
        <f t="shared" si="16"/>
        <v>0</v>
      </c>
      <c r="AS19" s="147">
        <f t="shared" si="16"/>
        <v>0</v>
      </c>
      <c r="AT19" s="147">
        <f t="shared" si="16"/>
        <v>0</v>
      </c>
      <c r="AU19" s="147">
        <f t="shared" si="16"/>
        <v>0</v>
      </c>
      <c r="AV19" s="147">
        <f t="shared" si="16"/>
        <v>0</v>
      </c>
      <c r="AW19" s="147">
        <f t="shared" si="16"/>
        <v>0</v>
      </c>
      <c r="AX19" s="147">
        <f t="shared" si="16"/>
        <v>0</v>
      </c>
      <c r="AY19" s="147">
        <f t="shared" si="16"/>
        <v>0</v>
      </c>
      <c r="AZ19" s="147">
        <f t="shared" si="16"/>
        <v>0</v>
      </c>
      <c r="BA19" s="147">
        <f t="shared" si="16"/>
        <v>0</v>
      </c>
      <c r="BB19" s="147">
        <f t="shared" si="16"/>
        <v>0</v>
      </c>
      <c r="BC19" s="147">
        <f t="shared" si="16"/>
        <v>0</v>
      </c>
      <c r="BD19" s="147">
        <f t="shared" si="16"/>
        <v>0</v>
      </c>
      <c r="BE19" s="147">
        <f t="shared" si="16"/>
        <v>0</v>
      </c>
      <c r="BF19" s="147">
        <f t="shared" si="16"/>
        <v>0</v>
      </c>
      <c r="BG19" s="147">
        <f t="shared" si="16"/>
        <v>0</v>
      </c>
      <c r="BH19" s="147">
        <f t="shared" si="16"/>
        <v>0</v>
      </c>
      <c r="BI19" s="147">
        <f t="shared" si="16"/>
        <v>0</v>
      </c>
      <c r="BJ19" s="147">
        <f t="shared" si="16"/>
        <v>0</v>
      </c>
      <c r="BK19" s="147">
        <f t="shared" si="16"/>
        <v>0</v>
      </c>
      <c r="BL19" s="147">
        <f t="shared" si="16"/>
        <v>0</v>
      </c>
      <c r="BM19" s="147">
        <f t="shared" si="16"/>
        <v>0</v>
      </c>
      <c r="BN19" s="147">
        <f t="shared" si="16"/>
        <v>0</v>
      </c>
      <c r="BO19" s="147">
        <f t="shared" si="16"/>
        <v>0</v>
      </c>
      <c r="BP19" s="147">
        <f t="shared" si="16"/>
        <v>0</v>
      </c>
      <c r="BQ19" s="147">
        <f t="shared" si="16"/>
        <v>0</v>
      </c>
      <c r="BR19" s="147">
        <f t="shared" si="16"/>
        <v>0</v>
      </c>
      <c r="BS19" s="147">
        <f t="shared" si="16"/>
        <v>0</v>
      </c>
      <c r="BT19" s="147">
        <f t="shared" si="16"/>
        <v>0</v>
      </c>
      <c r="BU19" s="147">
        <f t="shared" si="16"/>
        <v>0</v>
      </c>
      <c r="BV19" s="147">
        <f t="shared" si="16"/>
        <v>0</v>
      </c>
      <c r="BW19" s="147">
        <f t="shared" si="17"/>
        <v>0</v>
      </c>
      <c r="BX19" s="147">
        <f t="shared" si="17"/>
        <v>0</v>
      </c>
      <c r="BY19" s="147">
        <f t="shared" si="17"/>
        <v>0</v>
      </c>
      <c r="BZ19" s="147">
        <f t="shared" si="17"/>
        <v>0</v>
      </c>
      <c r="CA19" s="147">
        <f t="shared" si="17"/>
        <v>0</v>
      </c>
      <c r="CB19" s="147">
        <f t="shared" si="17"/>
        <v>0</v>
      </c>
      <c r="CC19" s="147">
        <f t="shared" si="17"/>
        <v>0</v>
      </c>
      <c r="CD19" s="147">
        <f t="shared" si="17"/>
        <v>0</v>
      </c>
      <c r="CE19" s="147">
        <f t="shared" si="17"/>
        <v>0</v>
      </c>
      <c r="CF19" s="147">
        <f t="shared" si="17"/>
        <v>0</v>
      </c>
      <c r="CG19" s="147">
        <f t="shared" si="17"/>
        <v>0</v>
      </c>
      <c r="CH19" s="147">
        <f t="shared" si="17"/>
        <v>0</v>
      </c>
      <c r="CI19" s="147">
        <f t="shared" si="17"/>
        <v>0</v>
      </c>
      <c r="CJ19" s="147">
        <f t="shared" si="17"/>
        <v>0</v>
      </c>
      <c r="CK19" s="347">
        <f t="shared" si="17"/>
        <v>0</v>
      </c>
    </row>
    <row r="20" spans="1:89" outlineLevel="1" x14ac:dyDescent="0.3">
      <c r="A20" s="329"/>
      <c r="B20" s="344">
        <v>0</v>
      </c>
      <c r="C20" s="345">
        <f t="shared" si="7"/>
        <v>31</v>
      </c>
      <c r="E20" s="145">
        <f>+EOMONTH(B20, $D$4)</f>
        <v>121</v>
      </c>
      <c r="F20" s="536">
        <v>0</v>
      </c>
      <c r="G20" s="537">
        <v>0</v>
      </c>
      <c r="H20" s="537">
        <v>0</v>
      </c>
      <c r="I20" s="537">
        <v>0</v>
      </c>
      <c r="J20" s="537">
        <v>0</v>
      </c>
      <c r="K20" s="537">
        <v>0</v>
      </c>
      <c r="L20" s="537">
        <v>0</v>
      </c>
      <c r="M20" s="537">
        <v>0</v>
      </c>
      <c r="N20" s="538">
        <v>0</v>
      </c>
      <c r="O20" s="147">
        <f t="shared" si="16"/>
        <v>0</v>
      </c>
      <c r="P20" s="147">
        <f t="shared" si="16"/>
        <v>0</v>
      </c>
      <c r="Q20" s="147">
        <f t="shared" si="16"/>
        <v>0</v>
      </c>
      <c r="R20" s="147">
        <f t="shared" si="16"/>
        <v>0</v>
      </c>
      <c r="S20" s="147">
        <f t="shared" si="16"/>
        <v>0</v>
      </c>
      <c r="T20" s="147">
        <f t="shared" si="16"/>
        <v>0</v>
      </c>
      <c r="U20" s="147">
        <f t="shared" si="16"/>
        <v>0</v>
      </c>
      <c r="V20" s="147">
        <f t="shared" si="16"/>
        <v>0</v>
      </c>
      <c r="W20" s="147">
        <f t="shared" si="16"/>
        <v>0</v>
      </c>
      <c r="X20" s="147">
        <f t="shared" si="16"/>
        <v>0</v>
      </c>
      <c r="Y20" s="147">
        <f t="shared" si="16"/>
        <v>0</v>
      </c>
      <c r="Z20" s="147">
        <f t="shared" si="16"/>
        <v>0</v>
      </c>
      <c r="AA20" s="147">
        <f t="shared" si="16"/>
        <v>0</v>
      </c>
      <c r="AB20" s="147">
        <f t="shared" si="16"/>
        <v>0</v>
      </c>
      <c r="AC20" s="147">
        <f t="shared" si="16"/>
        <v>0</v>
      </c>
      <c r="AD20" s="147">
        <f t="shared" si="16"/>
        <v>0</v>
      </c>
      <c r="AE20" s="147">
        <f t="shared" si="16"/>
        <v>0</v>
      </c>
      <c r="AF20" s="147">
        <f t="shared" si="16"/>
        <v>0</v>
      </c>
      <c r="AG20" s="147">
        <f t="shared" si="16"/>
        <v>0</v>
      </c>
      <c r="AH20" s="147">
        <f t="shared" si="16"/>
        <v>0</v>
      </c>
      <c r="AI20" s="147">
        <f t="shared" si="16"/>
        <v>0</v>
      </c>
      <c r="AJ20" s="147">
        <f t="shared" si="16"/>
        <v>0</v>
      </c>
      <c r="AK20" s="147">
        <f t="shared" si="16"/>
        <v>0</v>
      </c>
      <c r="AL20" s="147">
        <f t="shared" si="16"/>
        <v>0</v>
      </c>
      <c r="AM20" s="147">
        <f t="shared" si="16"/>
        <v>0</v>
      </c>
      <c r="AN20" s="147">
        <f t="shared" si="16"/>
        <v>0</v>
      </c>
      <c r="AO20" s="147">
        <f t="shared" si="16"/>
        <v>0</v>
      </c>
      <c r="AP20" s="147">
        <f t="shared" si="16"/>
        <v>0</v>
      </c>
      <c r="AQ20" s="147">
        <f t="shared" si="16"/>
        <v>0</v>
      </c>
      <c r="AR20" s="147">
        <f t="shared" si="16"/>
        <v>0</v>
      </c>
      <c r="AS20" s="147">
        <f t="shared" si="16"/>
        <v>0</v>
      </c>
      <c r="AT20" s="147">
        <f t="shared" si="16"/>
        <v>0</v>
      </c>
      <c r="AU20" s="147">
        <f t="shared" si="16"/>
        <v>0</v>
      </c>
      <c r="AV20" s="147">
        <f t="shared" si="16"/>
        <v>0</v>
      </c>
      <c r="AW20" s="147">
        <f t="shared" si="16"/>
        <v>0</v>
      </c>
      <c r="AX20" s="147">
        <f t="shared" si="16"/>
        <v>0</v>
      </c>
      <c r="AY20" s="147">
        <f t="shared" si="16"/>
        <v>0</v>
      </c>
      <c r="AZ20" s="147">
        <f t="shared" si="16"/>
        <v>0</v>
      </c>
      <c r="BA20" s="147">
        <f t="shared" si="16"/>
        <v>0</v>
      </c>
      <c r="BB20" s="147">
        <f t="shared" si="16"/>
        <v>0</v>
      </c>
      <c r="BC20" s="147">
        <f t="shared" si="16"/>
        <v>0</v>
      </c>
      <c r="BD20" s="147">
        <f t="shared" si="16"/>
        <v>0</v>
      </c>
      <c r="BE20" s="147">
        <f t="shared" si="16"/>
        <v>0</v>
      </c>
      <c r="BF20" s="147">
        <f t="shared" si="16"/>
        <v>0</v>
      </c>
      <c r="BG20" s="147">
        <f t="shared" si="16"/>
        <v>0</v>
      </c>
      <c r="BH20" s="147">
        <f t="shared" si="16"/>
        <v>0</v>
      </c>
      <c r="BI20" s="147">
        <f t="shared" si="16"/>
        <v>0</v>
      </c>
      <c r="BJ20" s="147">
        <f t="shared" si="16"/>
        <v>0</v>
      </c>
      <c r="BK20" s="147">
        <f t="shared" si="16"/>
        <v>0</v>
      </c>
      <c r="BL20" s="147">
        <f t="shared" si="16"/>
        <v>0</v>
      </c>
      <c r="BM20" s="147">
        <f t="shared" si="16"/>
        <v>0</v>
      </c>
      <c r="BN20" s="147">
        <f t="shared" si="16"/>
        <v>0</v>
      </c>
      <c r="BO20" s="147">
        <f t="shared" si="16"/>
        <v>0</v>
      </c>
      <c r="BP20" s="147">
        <f t="shared" si="16"/>
        <v>0</v>
      </c>
      <c r="BQ20" s="147">
        <f t="shared" si="16"/>
        <v>0</v>
      </c>
      <c r="BR20" s="147">
        <f t="shared" si="16"/>
        <v>0</v>
      </c>
      <c r="BS20" s="147">
        <f t="shared" si="16"/>
        <v>0</v>
      </c>
      <c r="BT20" s="147">
        <f t="shared" si="16"/>
        <v>0</v>
      </c>
      <c r="BU20" s="147">
        <f t="shared" si="16"/>
        <v>0</v>
      </c>
      <c r="BV20" s="147">
        <f t="shared" ref="BV20:CK23" si="18">+IF(AND($B20&lt;BV$2, $E20&gt;BV$2), $A20/$D$4, 0)</f>
        <v>0</v>
      </c>
      <c r="BW20" s="147">
        <f t="shared" si="18"/>
        <v>0</v>
      </c>
      <c r="BX20" s="147">
        <f t="shared" si="18"/>
        <v>0</v>
      </c>
      <c r="BY20" s="147">
        <f t="shared" si="18"/>
        <v>0</v>
      </c>
      <c r="BZ20" s="147">
        <f t="shared" si="18"/>
        <v>0</v>
      </c>
      <c r="CA20" s="147">
        <f t="shared" si="18"/>
        <v>0</v>
      </c>
      <c r="CB20" s="147">
        <f t="shared" si="18"/>
        <v>0</v>
      </c>
      <c r="CC20" s="147">
        <f t="shared" si="18"/>
        <v>0</v>
      </c>
      <c r="CD20" s="147">
        <f t="shared" si="18"/>
        <v>0</v>
      </c>
      <c r="CE20" s="147">
        <f t="shared" si="18"/>
        <v>0</v>
      </c>
      <c r="CF20" s="147">
        <f t="shared" si="18"/>
        <v>0</v>
      </c>
      <c r="CG20" s="147">
        <f t="shared" si="18"/>
        <v>0</v>
      </c>
      <c r="CH20" s="147">
        <f t="shared" si="18"/>
        <v>0</v>
      </c>
      <c r="CI20" s="147">
        <f t="shared" si="18"/>
        <v>0</v>
      </c>
      <c r="CJ20" s="147">
        <f t="shared" si="18"/>
        <v>0</v>
      </c>
      <c r="CK20" s="347">
        <f t="shared" si="18"/>
        <v>0</v>
      </c>
    </row>
    <row r="21" spans="1:89" outlineLevel="1" x14ac:dyDescent="0.3">
      <c r="A21" s="329"/>
      <c r="B21" s="344">
        <v>0</v>
      </c>
      <c r="C21" s="345">
        <f t="shared" si="7"/>
        <v>31</v>
      </c>
      <c r="E21" s="145">
        <f t="shared" ref="E21:E28" si="19">+EOMONTH(B21, $D$4)</f>
        <v>121</v>
      </c>
      <c r="F21" s="536">
        <v>0</v>
      </c>
      <c r="G21" s="537">
        <v>0</v>
      </c>
      <c r="H21" s="537">
        <v>0</v>
      </c>
      <c r="I21" s="537">
        <v>0</v>
      </c>
      <c r="J21" s="537">
        <v>0</v>
      </c>
      <c r="K21" s="537">
        <v>0</v>
      </c>
      <c r="L21" s="537">
        <v>0</v>
      </c>
      <c r="M21" s="537">
        <v>0</v>
      </c>
      <c r="N21" s="538">
        <v>0</v>
      </c>
      <c r="O21" s="147">
        <f t="shared" ref="O21:BV24" si="20">+IF(AND($B21&lt;O$2, $E21&gt;O$2), $A21/$D$4, 0)</f>
        <v>0</v>
      </c>
      <c r="P21" s="147">
        <f t="shared" si="20"/>
        <v>0</v>
      </c>
      <c r="Q21" s="147">
        <f t="shared" si="20"/>
        <v>0</v>
      </c>
      <c r="R21" s="147">
        <f t="shared" si="20"/>
        <v>0</v>
      </c>
      <c r="S21" s="147">
        <f t="shared" si="20"/>
        <v>0</v>
      </c>
      <c r="T21" s="147">
        <f t="shared" si="20"/>
        <v>0</v>
      </c>
      <c r="U21" s="147">
        <f t="shared" si="20"/>
        <v>0</v>
      </c>
      <c r="V21" s="147">
        <f t="shared" si="20"/>
        <v>0</v>
      </c>
      <c r="W21" s="147">
        <f t="shared" si="20"/>
        <v>0</v>
      </c>
      <c r="X21" s="147">
        <f t="shared" si="20"/>
        <v>0</v>
      </c>
      <c r="Y21" s="147">
        <f t="shared" si="20"/>
        <v>0</v>
      </c>
      <c r="Z21" s="147">
        <f t="shared" si="20"/>
        <v>0</v>
      </c>
      <c r="AA21" s="147">
        <f t="shared" si="20"/>
        <v>0</v>
      </c>
      <c r="AB21" s="147">
        <f t="shared" si="20"/>
        <v>0</v>
      </c>
      <c r="AC21" s="147">
        <f t="shared" si="20"/>
        <v>0</v>
      </c>
      <c r="AD21" s="147">
        <f t="shared" si="20"/>
        <v>0</v>
      </c>
      <c r="AE21" s="147">
        <f t="shared" si="20"/>
        <v>0</v>
      </c>
      <c r="AF21" s="147">
        <f t="shared" si="20"/>
        <v>0</v>
      </c>
      <c r="AG21" s="147">
        <f t="shared" si="20"/>
        <v>0</v>
      </c>
      <c r="AH21" s="147">
        <f t="shared" si="20"/>
        <v>0</v>
      </c>
      <c r="AI21" s="147">
        <f t="shared" si="20"/>
        <v>0</v>
      </c>
      <c r="AJ21" s="147">
        <f t="shared" si="20"/>
        <v>0</v>
      </c>
      <c r="AK21" s="147">
        <f t="shared" si="20"/>
        <v>0</v>
      </c>
      <c r="AL21" s="147">
        <f t="shared" si="20"/>
        <v>0</v>
      </c>
      <c r="AM21" s="147">
        <f t="shared" si="20"/>
        <v>0</v>
      </c>
      <c r="AN21" s="147">
        <f t="shared" si="20"/>
        <v>0</v>
      </c>
      <c r="AO21" s="147">
        <f t="shared" si="20"/>
        <v>0</v>
      </c>
      <c r="AP21" s="147">
        <f t="shared" si="20"/>
        <v>0</v>
      </c>
      <c r="AQ21" s="147">
        <f t="shared" si="20"/>
        <v>0</v>
      </c>
      <c r="AR21" s="147">
        <f t="shared" si="20"/>
        <v>0</v>
      </c>
      <c r="AS21" s="147">
        <f t="shared" si="20"/>
        <v>0</v>
      </c>
      <c r="AT21" s="147">
        <f t="shared" si="20"/>
        <v>0</v>
      </c>
      <c r="AU21" s="147">
        <f t="shared" si="20"/>
        <v>0</v>
      </c>
      <c r="AV21" s="147">
        <f t="shared" si="20"/>
        <v>0</v>
      </c>
      <c r="AW21" s="147">
        <f t="shared" si="20"/>
        <v>0</v>
      </c>
      <c r="AX21" s="147">
        <f t="shared" si="20"/>
        <v>0</v>
      </c>
      <c r="AY21" s="147">
        <f t="shared" si="20"/>
        <v>0</v>
      </c>
      <c r="AZ21" s="147">
        <f t="shared" si="20"/>
        <v>0</v>
      </c>
      <c r="BA21" s="147">
        <f t="shared" si="20"/>
        <v>0</v>
      </c>
      <c r="BB21" s="147">
        <f t="shared" si="20"/>
        <v>0</v>
      </c>
      <c r="BC21" s="147">
        <f t="shared" si="20"/>
        <v>0</v>
      </c>
      <c r="BD21" s="147">
        <f t="shared" si="20"/>
        <v>0</v>
      </c>
      <c r="BE21" s="147">
        <f t="shared" si="20"/>
        <v>0</v>
      </c>
      <c r="BF21" s="147">
        <f t="shared" si="20"/>
        <v>0</v>
      </c>
      <c r="BG21" s="147">
        <f t="shared" si="20"/>
        <v>0</v>
      </c>
      <c r="BH21" s="147">
        <f t="shared" si="20"/>
        <v>0</v>
      </c>
      <c r="BI21" s="147">
        <f t="shared" si="20"/>
        <v>0</v>
      </c>
      <c r="BJ21" s="147">
        <f t="shared" si="20"/>
        <v>0</v>
      </c>
      <c r="BK21" s="147">
        <f t="shared" si="20"/>
        <v>0</v>
      </c>
      <c r="BL21" s="147">
        <f t="shared" si="20"/>
        <v>0</v>
      </c>
      <c r="BM21" s="147">
        <f t="shared" si="20"/>
        <v>0</v>
      </c>
      <c r="BN21" s="147">
        <f t="shared" si="20"/>
        <v>0</v>
      </c>
      <c r="BO21" s="147">
        <f t="shared" si="20"/>
        <v>0</v>
      </c>
      <c r="BP21" s="147">
        <f t="shared" si="20"/>
        <v>0</v>
      </c>
      <c r="BQ21" s="147">
        <f t="shared" si="20"/>
        <v>0</v>
      </c>
      <c r="BR21" s="147">
        <f t="shared" si="20"/>
        <v>0</v>
      </c>
      <c r="BS21" s="147">
        <f t="shared" si="20"/>
        <v>0</v>
      </c>
      <c r="BT21" s="147">
        <f t="shared" si="20"/>
        <v>0</v>
      </c>
      <c r="BU21" s="147">
        <f t="shared" si="20"/>
        <v>0</v>
      </c>
      <c r="BV21" s="147">
        <f t="shared" si="20"/>
        <v>0</v>
      </c>
      <c r="BW21" s="147">
        <f t="shared" si="18"/>
        <v>0</v>
      </c>
      <c r="BX21" s="147">
        <f t="shared" si="18"/>
        <v>0</v>
      </c>
      <c r="BY21" s="147">
        <f t="shared" si="18"/>
        <v>0</v>
      </c>
      <c r="BZ21" s="147">
        <f t="shared" si="18"/>
        <v>0</v>
      </c>
      <c r="CA21" s="147">
        <f t="shared" si="18"/>
        <v>0</v>
      </c>
      <c r="CB21" s="147">
        <f t="shared" si="18"/>
        <v>0</v>
      </c>
      <c r="CC21" s="147">
        <f t="shared" si="18"/>
        <v>0</v>
      </c>
      <c r="CD21" s="147">
        <f t="shared" si="18"/>
        <v>0</v>
      </c>
      <c r="CE21" s="147">
        <f t="shared" si="18"/>
        <v>0</v>
      </c>
      <c r="CF21" s="147">
        <f t="shared" si="18"/>
        <v>0</v>
      </c>
      <c r="CG21" s="147">
        <f t="shared" si="18"/>
        <v>0</v>
      </c>
      <c r="CH21" s="147">
        <f t="shared" si="18"/>
        <v>0</v>
      </c>
      <c r="CI21" s="147">
        <f t="shared" si="18"/>
        <v>0</v>
      </c>
      <c r="CJ21" s="147">
        <f t="shared" si="18"/>
        <v>0</v>
      </c>
      <c r="CK21" s="347">
        <f t="shared" si="18"/>
        <v>0</v>
      </c>
    </row>
    <row r="22" spans="1:89" outlineLevel="1" x14ac:dyDescent="0.3">
      <c r="A22" s="329"/>
      <c r="B22" s="344">
        <v>0</v>
      </c>
      <c r="C22" s="345">
        <f t="shared" si="7"/>
        <v>31</v>
      </c>
      <c r="E22" s="145">
        <f t="shared" si="19"/>
        <v>121</v>
      </c>
      <c r="F22" s="536">
        <v>0</v>
      </c>
      <c r="G22" s="537">
        <v>0</v>
      </c>
      <c r="H22" s="537">
        <v>0</v>
      </c>
      <c r="I22" s="537">
        <v>0</v>
      </c>
      <c r="J22" s="537">
        <v>0</v>
      </c>
      <c r="K22" s="537">
        <v>0</v>
      </c>
      <c r="L22" s="537">
        <v>0</v>
      </c>
      <c r="M22" s="537">
        <v>0</v>
      </c>
      <c r="N22" s="538">
        <v>0</v>
      </c>
      <c r="O22" s="147">
        <f t="shared" si="20"/>
        <v>0</v>
      </c>
      <c r="P22" s="147">
        <f t="shared" si="20"/>
        <v>0</v>
      </c>
      <c r="Q22" s="147">
        <f t="shared" si="20"/>
        <v>0</v>
      </c>
      <c r="R22" s="147">
        <f t="shared" si="20"/>
        <v>0</v>
      </c>
      <c r="S22" s="147">
        <f t="shared" si="20"/>
        <v>0</v>
      </c>
      <c r="T22" s="147">
        <f t="shared" si="20"/>
        <v>0</v>
      </c>
      <c r="U22" s="147">
        <f t="shared" si="20"/>
        <v>0</v>
      </c>
      <c r="V22" s="147">
        <f t="shared" si="20"/>
        <v>0</v>
      </c>
      <c r="W22" s="147">
        <f t="shared" si="20"/>
        <v>0</v>
      </c>
      <c r="X22" s="147">
        <f t="shared" si="20"/>
        <v>0</v>
      </c>
      <c r="Y22" s="147">
        <f t="shared" si="20"/>
        <v>0</v>
      </c>
      <c r="Z22" s="147">
        <f t="shared" si="20"/>
        <v>0</v>
      </c>
      <c r="AA22" s="147">
        <f t="shared" si="20"/>
        <v>0</v>
      </c>
      <c r="AB22" s="147">
        <f t="shared" si="20"/>
        <v>0</v>
      </c>
      <c r="AC22" s="147">
        <f t="shared" si="20"/>
        <v>0</v>
      </c>
      <c r="AD22" s="147">
        <f t="shared" si="20"/>
        <v>0</v>
      </c>
      <c r="AE22" s="147">
        <f t="shared" si="20"/>
        <v>0</v>
      </c>
      <c r="AF22" s="147">
        <f t="shared" si="20"/>
        <v>0</v>
      </c>
      <c r="AG22" s="147">
        <f t="shared" si="20"/>
        <v>0</v>
      </c>
      <c r="AH22" s="147">
        <f t="shared" si="20"/>
        <v>0</v>
      </c>
      <c r="AI22" s="147">
        <f t="shared" si="20"/>
        <v>0</v>
      </c>
      <c r="AJ22" s="147">
        <f t="shared" si="20"/>
        <v>0</v>
      </c>
      <c r="AK22" s="147">
        <f t="shared" si="20"/>
        <v>0</v>
      </c>
      <c r="AL22" s="147">
        <f t="shared" si="20"/>
        <v>0</v>
      </c>
      <c r="AM22" s="147">
        <f t="shared" si="20"/>
        <v>0</v>
      </c>
      <c r="AN22" s="147">
        <f t="shared" si="20"/>
        <v>0</v>
      </c>
      <c r="AO22" s="147">
        <f t="shared" si="20"/>
        <v>0</v>
      </c>
      <c r="AP22" s="147">
        <f t="shared" si="20"/>
        <v>0</v>
      </c>
      <c r="AQ22" s="147">
        <f t="shared" si="20"/>
        <v>0</v>
      </c>
      <c r="AR22" s="147">
        <f t="shared" si="20"/>
        <v>0</v>
      </c>
      <c r="AS22" s="147">
        <f t="shared" si="20"/>
        <v>0</v>
      </c>
      <c r="AT22" s="147">
        <f t="shared" si="20"/>
        <v>0</v>
      </c>
      <c r="AU22" s="147">
        <f t="shared" si="20"/>
        <v>0</v>
      </c>
      <c r="AV22" s="147">
        <f t="shared" si="20"/>
        <v>0</v>
      </c>
      <c r="AW22" s="147">
        <f t="shared" si="20"/>
        <v>0</v>
      </c>
      <c r="AX22" s="147">
        <f t="shared" si="20"/>
        <v>0</v>
      </c>
      <c r="AY22" s="147">
        <f t="shared" si="20"/>
        <v>0</v>
      </c>
      <c r="AZ22" s="147">
        <f t="shared" si="20"/>
        <v>0</v>
      </c>
      <c r="BA22" s="147">
        <f t="shared" si="20"/>
        <v>0</v>
      </c>
      <c r="BB22" s="147">
        <f t="shared" si="20"/>
        <v>0</v>
      </c>
      <c r="BC22" s="147">
        <f t="shared" si="20"/>
        <v>0</v>
      </c>
      <c r="BD22" s="147">
        <f t="shared" si="20"/>
        <v>0</v>
      </c>
      <c r="BE22" s="147">
        <f t="shared" si="20"/>
        <v>0</v>
      </c>
      <c r="BF22" s="147">
        <f t="shared" si="20"/>
        <v>0</v>
      </c>
      <c r="BG22" s="147">
        <f t="shared" si="20"/>
        <v>0</v>
      </c>
      <c r="BH22" s="147">
        <f t="shared" si="20"/>
        <v>0</v>
      </c>
      <c r="BI22" s="147">
        <f t="shared" si="20"/>
        <v>0</v>
      </c>
      <c r="BJ22" s="147">
        <f t="shared" si="20"/>
        <v>0</v>
      </c>
      <c r="BK22" s="147">
        <f t="shared" si="20"/>
        <v>0</v>
      </c>
      <c r="BL22" s="147">
        <f t="shared" si="20"/>
        <v>0</v>
      </c>
      <c r="BM22" s="147">
        <f t="shared" si="20"/>
        <v>0</v>
      </c>
      <c r="BN22" s="147">
        <f t="shared" si="20"/>
        <v>0</v>
      </c>
      <c r="BO22" s="147">
        <f t="shared" si="20"/>
        <v>0</v>
      </c>
      <c r="BP22" s="147">
        <f t="shared" si="20"/>
        <v>0</v>
      </c>
      <c r="BQ22" s="147">
        <f t="shared" si="20"/>
        <v>0</v>
      </c>
      <c r="BR22" s="147">
        <f t="shared" si="20"/>
        <v>0</v>
      </c>
      <c r="BS22" s="147">
        <f t="shared" si="20"/>
        <v>0</v>
      </c>
      <c r="BT22" s="147">
        <f t="shared" si="20"/>
        <v>0</v>
      </c>
      <c r="BU22" s="147">
        <f t="shared" si="20"/>
        <v>0</v>
      </c>
      <c r="BV22" s="147">
        <f t="shared" si="20"/>
        <v>0</v>
      </c>
      <c r="BW22" s="147">
        <f t="shared" si="18"/>
        <v>0</v>
      </c>
      <c r="BX22" s="147">
        <f t="shared" si="18"/>
        <v>0</v>
      </c>
      <c r="BY22" s="147">
        <f t="shared" si="18"/>
        <v>0</v>
      </c>
      <c r="BZ22" s="147">
        <f t="shared" si="18"/>
        <v>0</v>
      </c>
      <c r="CA22" s="147">
        <f t="shared" si="18"/>
        <v>0</v>
      </c>
      <c r="CB22" s="147">
        <f t="shared" si="18"/>
        <v>0</v>
      </c>
      <c r="CC22" s="147">
        <f t="shared" si="18"/>
        <v>0</v>
      </c>
      <c r="CD22" s="147">
        <f t="shared" si="18"/>
        <v>0</v>
      </c>
      <c r="CE22" s="147">
        <f t="shared" si="18"/>
        <v>0</v>
      </c>
      <c r="CF22" s="147">
        <f t="shared" si="18"/>
        <v>0</v>
      </c>
      <c r="CG22" s="147">
        <f t="shared" si="18"/>
        <v>0</v>
      </c>
      <c r="CH22" s="147">
        <f t="shared" si="18"/>
        <v>0</v>
      </c>
      <c r="CI22" s="147">
        <f t="shared" si="18"/>
        <v>0</v>
      </c>
      <c r="CJ22" s="147">
        <f t="shared" si="18"/>
        <v>0</v>
      </c>
      <c r="CK22" s="347">
        <f t="shared" si="18"/>
        <v>0</v>
      </c>
    </row>
    <row r="23" spans="1:89" outlineLevel="1" x14ac:dyDescent="0.3">
      <c r="A23" s="329"/>
      <c r="B23" s="344">
        <v>0</v>
      </c>
      <c r="C23" s="345">
        <f t="shared" si="7"/>
        <v>31</v>
      </c>
      <c r="E23" s="145">
        <f t="shared" si="19"/>
        <v>121</v>
      </c>
      <c r="F23" s="536">
        <v>0</v>
      </c>
      <c r="G23" s="537">
        <v>0</v>
      </c>
      <c r="H23" s="537">
        <v>0</v>
      </c>
      <c r="I23" s="537">
        <v>0</v>
      </c>
      <c r="J23" s="537">
        <v>0</v>
      </c>
      <c r="K23" s="537">
        <v>0</v>
      </c>
      <c r="L23" s="537">
        <v>0</v>
      </c>
      <c r="M23" s="537">
        <v>0</v>
      </c>
      <c r="N23" s="538">
        <v>0</v>
      </c>
      <c r="O23" s="147">
        <f t="shared" si="20"/>
        <v>0</v>
      </c>
      <c r="P23" s="147">
        <f t="shared" si="20"/>
        <v>0</v>
      </c>
      <c r="Q23" s="147">
        <f t="shared" si="20"/>
        <v>0</v>
      </c>
      <c r="R23" s="147">
        <f t="shared" si="20"/>
        <v>0</v>
      </c>
      <c r="S23" s="147">
        <f t="shared" si="20"/>
        <v>0</v>
      </c>
      <c r="T23" s="147">
        <f t="shared" si="20"/>
        <v>0</v>
      </c>
      <c r="U23" s="147">
        <f t="shared" si="20"/>
        <v>0</v>
      </c>
      <c r="V23" s="147">
        <f t="shared" si="20"/>
        <v>0</v>
      </c>
      <c r="W23" s="147">
        <f t="shared" si="20"/>
        <v>0</v>
      </c>
      <c r="X23" s="147">
        <f t="shared" si="20"/>
        <v>0</v>
      </c>
      <c r="Y23" s="147">
        <f t="shared" si="20"/>
        <v>0</v>
      </c>
      <c r="Z23" s="147">
        <f t="shared" si="20"/>
        <v>0</v>
      </c>
      <c r="AA23" s="147">
        <f t="shared" si="20"/>
        <v>0</v>
      </c>
      <c r="AB23" s="147">
        <f t="shared" si="20"/>
        <v>0</v>
      </c>
      <c r="AC23" s="147">
        <f t="shared" si="20"/>
        <v>0</v>
      </c>
      <c r="AD23" s="147">
        <f t="shared" si="20"/>
        <v>0</v>
      </c>
      <c r="AE23" s="147">
        <f t="shared" si="20"/>
        <v>0</v>
      </c>
      <c r="AF23" s="147">
        <f t="shared" si="20"/>
        <v>0</v>
      </c>
      <c r="AG23" s="147">
        <f t="shared" si="20"/>
        <v>0</v>
      </c>
      <c r="AH23" s="147">
        <f t="shared" si="20"/>
        <v>0</v>
      </c>
      <c r="AI23" s="147">
        <f t="shared" si="20"/>
        <v>0</v>
      </c>
      <c r="AJ23" s="147">
        <f t="shared" si="20"/>
        <v>0</v>
      </c>
      <c r="AK23" s="147">
        <f t="shared" si="20"/>
        <v>0</v>
      </c>
      <c r="AL23" s="147">
        <f t="shared" si="20"/>
        <v>0</v>
      </c>
      <c r="AM23" s="147">
        <f t="shared" si="20"/>
        <v>0</v>
      </c>
      <c r="AN23" s="147">
        <f t="shared" si="20"/>
        <v>0</v>
      </c>
      <c r="AO23" s="147">
        <f t="shared" si="20"/>
        <v>0</v>
      </c>
      <c r="AP23" s="147">
        <f t="shared" si="20"/>
        <v>0</v>
      </c>
      <c r="AQ23" s="147">
        <f t="shared" si="20"/>
        <v>0</v>
      </c>
      <c r="AR23" s="147">
        <f t="shared" si="20"/>
        <v>0</v>
      </c>
      <c r="AS23" s="147">
        <f t="shared" si="20"/>
        <v>0</v>
      </c>
      <c r="AT23" s="147">
        <f t="shared" si="20"/>
        <v>0</v>
      </c>
      <c r="AU23" s="147">
        <f t="shared" si="20"/>
        <v>0</v>
      </c>
      <c r="AV23" s="147">
        <f t="shared" si="20"/>
        <v>0</v>
      </c>
      <c r="AW23" s="147">
        <f t="shared" si="20"/>
        <v>0</v>
      </c>
      <c r="AX23" s="147">
        <f t="shared" si="20"/>
        <v>0</v>
      </c>
      <c r="AY23" s="147">
        <f t="shared" si="20"/>
        <v>0</v>
      </c>
      <c r="AZ23" s="147">
        <f t="shared" si="20"/>
        <v>0</v>
      </c>
      <c r="BA23" s="147">
        <f t="shared" si="20"/>
        <v>0</v>
      </c>
      <c r="BB23" s="147">
        <f t="shared" si="20"/>
        <v>0</v>
      </c>
      <c r="BC23" s="147">
        <f t="shared" si="20"/>
        <v>0</v>
      </c>
      <c r="BD23" s="147">
        <f t="shared" si="20"/>
        <v>0</v>
      </c>
      <c r="BE23" s="147">
        <f t="shared" si="20"/>
        <v>0</v>
      </c>
      <c r="BF23" s="147">
        <f t="shared" si="20"/>
        <v>0</v>
      </c>
      <c r="BG23" s="147">
        <f t="shared" si="20"/>
        <v>0</v>
      </c>
      <c r="BH23" s="147">
        <f t="shared" si="20"/>
        <v>0</v>
      </c>
      <c r="BI23" s="147">
        <f t="shared" si="20"/>
        <v>0</v>
      </c>
      <c r="BJ23" s="147">
        <f t="shared" si="20"/>
        <v>0</v>
      </c>
      <c r="BK23" s="147">
        <f t="shared" si="20"/>
        <v>0</v>
      </c>
      <c r="BL23" s="147">
        <f t="shared" si="20"/>
        <v>0</v>
      </c>
      <c r="BM23" s="147">
        <f t="shared" si="20"/>
        <v>0</v>
      </c>
      <c r="BN23" s="147">
        <f t="shared" si="20"/>
        <v>0</v>
      </c>
      <c r="BO23" s="147">
        <f t="shared" si="20"/>
        <v>0</v>
      </c>
      <c r="BP23" s="147">
        <f t="shared" si="20"/>
        <v>0</v>
      </c>
      <c r="BQ23" s="147">
        <f t="shared" si="20"/>
        <v>0</v>
      </c>
      <c r="BR23" s="147">
        <f t="shared" si="20"/>
        <v>0</v>
      </c>
      <c r="BS23" s="147">
        <f t="shared" si="20"/>
        <v>0</v>
      </c>
      <c r="BT23" s="147">
        <f t="shared" si="20"/>
        <v>0</v>
      </c>
      <c r="BU23" s="147">
        <f t="shared" si="20"/>
        <v>0</v>
      </c>
      <c r="BV23" s="147">
        <f t="shared" si="20"/>
        <v>0</v>
      </c>
      <c r="BW23" s="147">
        <f t="shared" si="18"/>
        <v>0</v>
      </c>
      <c r="BX23" s="147">
        <f t="shared" si="18"/>
        <v>0</v>
      </c>
      <c r="BY23" s="147">
        <f t="shared" si="18"/>
        <v>0</v>
      </c>
      <c r="BZ23" s="147">
        <f t="shared" si="18"/>
        <v>0</v>
      </c>
      <c r="CA23" s="147">
        <f t="shared" si="18"/>
        <v>0</v>
      </c>
      <c r="CB23" s="147">
        <f t="shared" si="18"/>
        <v>0</v>
      </c>
      <c r="CC23" s="147">
        <f t="shared" si="18"/>
        <v>0</v>
      </c>
      <c r="CD23" s="147">
        <f t="shared" si="18"/>
        <v>0</v>
      </c>
      <c r="CE23" s="147">
        <f t="shared" si="18"/>
        <v>0</v>
      </c>
      <c r="CF23" s="147">
        <f t="shared" si="18"/>
        <v>0</v>
      </c>
      <c r="CG23" s="147">
        <f t="shared" si="18"/>
        <v>0</v>
      </c>
      <c r="CH23" s="147">
        <f t="shared" si="18"/>
        <v>0</v>
      </c>
      <c r="CI23" s="147">
        <f t="shared" si="18"/>
        <v>0</v>
      </c>
      <c r="CJ23" s="147">
        <f t="shared" si="18"/>
        <v>0</v>
      </c>
      <c r="CK23" s="347">
        <f t="shared" si="18"/>
        <v>0</v>
      </c>
    </row>
    <row r="24" spans="1:89" outlineLevel="1" x14ac:dyDescent="0.3">
      <c r="A24" s="329"/>
      <c r="B24" s="344">
        <v>0</v>
      </c>
      <c r="C24" s="345">
        <f t="shared" si="7"/>
        <v>31</v>
      </c>
      <c r="E24" s="145">
        <f t="shared" si="19"/>
        <v>121</v>
      </c>
      <c r="F24" s="536">
        <v>0</v>
      </c>
      <c r="G24" s="537">
        <v>0</v>
      </c>
      <c r="H24" s="537">
        <v>0</v>
      </c>
      <c r="I24" s="537">
        <v>0</v>
      </c>
      <c r="J24" s="537">
        <v>0</v>
      </c>
      <c r="K24" s="537">
        <v>0</v>
      </c>
      <c r="L24" s="537">
        <v>0</v>
      </c>
      <c r="M24" s="537">
        <v>0</v>
      </c>
      <c r="N24" s="538">
        <v>0</v>
      </c>
      <c r="O24" s="147">
        <f t="shared" si="20"/>
        <v>0</v>
      </c>
      <c r="P24" s="147">
        <f t="shared" si="20"/>
        <v>0</v>
      </c>
      <c r="Q24" s="147">
        <f t="shared" si="20"/>
        <v>0</v>
      </c>
      <c r="R24" s="147">
        <f t="shared" si="20"/>
        <v>0</v>
      </c>
      <c r="S24" s="147">
        <f t="shared" si="20"/>
        <v>0</v>
      </c>
      <c r="T24" s="147">
        <f t="shared" si="20"/>
        <v>0</v>
      </c>
      <c r="U24" s="147">
        <f t="shared" si="20"/>
        <v>0</v>
      </c>
      <c r="V24" s="147">
        <f t="shared" si="20"/>
        <v>0</v>
      </c>
      <c r="W24" s="147">
        <f t="shared" si="20"/>
        <v>0</v>
      </c>
      <c r="X24" s="147">
        <f t="shared" si="20"/>
        <v>0</v>
      </c>
      <c r="Y24" s="147">
        <f t="shared" si="20"/>
        <v>0</v>
      </c>
      <c r="Z24" s="147">
        <f t="shared" si="20"/>
        <v>0</v>
      </c>
      <c r="AA24" s="147">
        <f t="shared" si="20"/>
        <v>0</v>
      </c>
      <c r="AB24" s="147">
        <f t="shared" si="20"/>
        <v>0</v>
      </c>
      <c r="AC24" s="147">
        <f t="shared" si="20"/>
        <v>0</v>
      </c>
      <c r="AD24" s="147">
        <f t="shared" si="20"/>
        <v>0</v>
      </c>
      <c r="AE24" s="147">
        <f t="shared" si="20"/>
        <v>0</v>
      </c>
      <c r="AF24" s="147">
        <f t="shared" si="20"/>
        <v>0</v>
      </c>
      <c r="AG24" s="147">
        <f t="shared" si="20"/>
        <v>0</v>
      </c>
      <c r="AH24" s="147">
        <f t="shared" si="20"/>
        <v>0</v>
      </c>
      <c r="AI24" s="147">
        <f t="shared" si="20"/>
        <v>0</v>
      </c>
      <c r="AJ24" s="147">
        <f t="shared" si="20"/>
        <v>0</v>
      </c>
      <c r="AK24" s="147">
        <f t="shared" si="20"/>
        <v>0</v>
      </c>
      <c r="AL24" s="147">
        <f t="shared" si="20"/>
        <v>0</v>
      </c>
      <c r="AM24" s="147">
        <f t="shared" si="20"/>
        <v>0</v>
      </c>
      <c r="AN24" s="147">
        <f t="shared" si="20"/>
        <v>0</v>
      </c>
      <c r="AO24" s="147">
        <f t="shared" si="20"/>
        <v>0</v>
      </c>
      <c r="AP24" s="147">
        <f t="shared" si="20"/>
        <v>0</v>
      </c>
      <c r="AQ24" s="147">
        <f t="shared" si="20"/>
        <v>0</v>
      </c>
      <c r="AR24" s="147">
        <f t="shared" si="20"/>
        <v>0</v>
      </c>
      <c r="AS24" s="147">
        <f t="shared" si="20"/>
        <v>0</v>
      </c>
      <c r="AT24" s="147">
        <f t="shared" si="20"/>
        <v>0</v>
      </c>
      <c r="AU24" s="147">
        <f t="shared" si="20"/>
        <v>0</v>
      </c>
      <c r="AV24" s="147">
        <f t="shared" si="20"/>
        <v>0</v>
      </c>
      <c r="AW24" s="147">
        <f t="shared" si="20"/>
        <v>0</v>
      </c>
      <c r="AX24" s="147">
        <f t="shared" si="20"/>
        <v>0</v>
      </c>
      <c r="AY24" s="147">
        <f t="shared" si="20"/>
        <v>0</v>
      </c>
      <c r="AZ24" s="147">
        <f t="shared" si="20"/>
        <v>0</v>
      </c>
      <c r="BA24" s="147">
        <f t="shared" si="20"/>
        <v>0</v>
      </c>
      <c r="BB24" s="147">
        <f t="shared" si="20"/>
        <v>0</v>
      </c>
      <c r="BC24" s="147">
        <f t="shared" si="20"/>
        <v>0</v>
      </c>
      <c r="BD24" s="147">
        <f t="shared" si="20"/>
        <v>0</v>
      </c>
      <c r="BE24" s="147">
        <f t="shared" si="20"/>
        <v>0</v>
      </c>
      <c r="BF24" s="147">
        <f t="shared" si="20"/>
        <v>0</v>
      </c>
      <c r="BG24" s="147">
        <f t="shared" si="20"/>
        <v>0</v>
      </c>
      <c r="BH24" s="147">
        <f t="shared" si="20"/>
        <v>0</v>
      </c>
      <c r="BI24" s="147">
        <f t="shared" si="20"/>
        <v>0</v>
      </c>
      <c r="BJ24" s="147">
        <f t="shared" si="20"/>
        <v>0</v>
      </c>
      <c r="BK24" s="147">
        <f t="shared" si="20"/>
        <v>0</v>
      </c>
      <c r="BL24" s="147">
        <f t="shared" si="20"/>
        <v>0</v>
      </c>
      <c r="BM24" s="147">
        <f t="shared" si="20"/>
        <v>0</v>
      </c>
      <c r="BN24" s="147">
        <f t="shared" si="20"/>
        <v>0</v>
      </c>
      <c r="BO24" s="147">
        <f t="shared" si="20"/>
        <v>0</v>
      </c>
      <c r="BP24" s="147">
        <f t="shared" si="20"/>
        <v>0</v>
      </c>
      <c r="BQ24" s="147">
        <f t="shared" si="20"/>
        <v>0</v>
      </c>
      <c r="BR24" s="147">
        <f t="shared" si="20"/>
        <v>0</v>
      </c>
      <c r="BS24" s="147">
        <f t="shared" si="20"/>
        <v>0</v>
      </c>
      <c r="BT24" s="147">
        <f t="shared" si="20"/>
        <v>0</v>
      </c>
      <c r="BU24" s="147">
        <f t="shared" si="20"/>
        <v>0</v>
      </c>
      <c r="BV24" s="147">
        <f t="shared" ref="BV24:CK27" si="21">+IF(AND($B24&lt;BV$2, $E24&gt;BV$2), $A24/$D$4, 0)</f>
        <v>0</v>
      </c>
      <c r="BW24" s="147">
        <f t="shared" si="21"/>
        <v>0</v>
      </c>
      <c r="BX24" s="147">
        <f t="shared" si="21"/>
        <v>0</v>
      </c>
      <c r="BY24" s="147">
        <f t="shared" si="21"/>
        <v>0</v>
      </c>
      <c r="BZ24" s="147">
        <f t="shared" si="21"/>
        <v>0</v>
      </c>
      <c r="CA24" s="147">
        <f t="shared" si="21"/>
        <v>0</v>
      </c>
      <c r="CB24" s="147">
        <f t="shared" si="21"/>
        <v>0</v>
      </c>
      <c r="CC24" s="147">
        <f t="shared" si="21"/>
        <v>0</v>
      </c>
      <c r="CD24" s="147">
        <f t="shared" si="21"/>
        <v>0</v>
      </c>
      <c r="CE24" s="147">
        <f t="shared" si="21"/>
        <v>0</v>
      </c>
      <c r="CF24" s="147">
        <f t="shared" si="21"/>
        <v>0</v>
      </c>
      <c r="CG24" s="147">
        <f t="shared" si="21"/>
        <v>0</v>
      </c>
      <c r="CH24" s="147">
        <f t="shared" si="21"/>
        <v>0</v>
      </c>
      <c r="CI24" s="147">
        <f t="shared" si="21"/>
        <v>0</v>
      </c>
      <c r="CJ24" s="147">
        <f t="shared" si="21"/>
        <v>0</v>
      </c>
      <c r="CK24" s="347">
        <f t="shared" si="21"/>
        <v>0</v>
      </c>
    </row>
    <row r="25" spans="1:89" outlineLevel="1" x14ac:dyDescent="0.3">
      <c r="A25" s="329"/>
      <c r="B25" s="344">
        <v>0</v>
      </c>
      <c r="C25" s="345">
        <f t="shared" si="7"/>
        <v>31</v>
      </c>
      <c r="E25" s="145">
        <f t="shared" si="19"/>
        <v>121</v>
      </c>
      <c r="F25" s="536">
        <v>0</v>
      </c>
      <c r="G25" s="537">
        <v>0</v>
      </c>
      <c r="H25" s="537">
        <v>0</v>
      </c>
      <c r="I25" s="537">
        <v>0</v>
      </c>
      <c r="J25" s="537">
        <v>0</v>
      </c>
      <c r="K25" s="537">
        <v>0</v>
      </c>
      <c r="L25" s="537">
        <v>0</v>
      </c>
      <c r="M25" s="537">
        <v>0</v>
      </c>
      <c r="N25" s="538">
        <v>0</v>
      </c>
      <c r="O25" s="147">
        <f t="shared" ref="O25:BV28" si="22">+IF(AND($B25&lt;O$2, $E25&gt;O$2), $A25/$D$4, 0)</f>
        <v>0</v>
      </c>
      <c r="P25" s="147">
        <f t="shared" si="22"/>
        <v>0</v>
      </c>
      <c r="Q25" s="147">
        <f t="shared" si="22"/>
        <v>0</v>
      </c>
      <c r="R25" s="147">
        <f t="shared" si="22"/>
        <v>0</v>
      </c>
      <c r="S25" s="147">
        <f t="shared" si="22"/>
        <v>0</v>
      </c>
      <c r="T25" s="147">
        <f t="shared" si="22"/>
        <v>0</v>
      </c>
      <c r="U25" s="147">
        <f t="shared" si="22"/>
        <v>0</v>
      </c>
      <c r="V25" s="147">
        <f t="shared" si="22"/>
        <v>0</v>
      </c>
      <c r="W25" s="147">
        <f t="shared" si="22"/>
        <v>0</v>
      </c>
      <c r="X25" s="147">
        <f t="shared" si="22"/>
        <v>0</v>
      </c>
      <c r="Y25" s="147">
        <f t="shared" si="22"/>
        <v>0</v>
      </c>
      <c r="Z25" s="147">
        <f t="shared" si="22"/>
        <v>0</v>
      </c>
      <c r="AA25" s="147">
        <f t="shared" si="22"/>
        <v>0</v>
      </c>
      <c r="AB25" s="147">
        <f t="shared" si="22"/>
        <v>0</v>
      </c>
      <c r="AC25" s="147">
        <f t="shared" si="22"/>
        <v>0</v>
      </c>
      <c r="AD25" s="147">
        <f t="shared" si="22"/>
        <v>0</v>
      </c>
      <c r="AE25" s="147">
        <f t="shared" si="22"/>
        <v>0</v>
      </c>
      <c r="AF25" s="147">
        <f t="shared" si="22"/>
        <v>0</v>
      </c>
      <c r="AG25" s="147">
        <f t="shared" si="22"/>
        <v>0</v>
      </c>
      <c r="AH25" s="147">
        <f t="shared" si="22"/>
        <v>0</v>
      </c>
      <c r="AI25" s="147">
        <f t="shared" si="22"/>
        <v>0</v>
      </c>
      <c r="AJ25" s="147">
        <f t="shared" si="22"/>
        <v>0</v>
      </c>
      <c r="AK25" s="147">
        <f t="shared" si="22"/>
        <v>0</v>
      </c>
      <c r="AL25" s="147">
        <f t="shared" si="22"/>
        <v>0</v>
      </c>
      <c r="AM25" s="147">
        <f t="shared" si="22"/>
        <v>0</v>
      </c>
      <c r="AN25" s="147">
        <f t="shared" si="22"/>
        <v>0</v>
      </c>
      <c r="AO25" s="147">
        <f t="shared" si="22"/>
        <v>0</v>
      </c>
      <c r="AP25" s="147">
        <f t="shared" si="22"/>
        <v>0</v>
      </c>
      <c r="AQ25" s="147">
        <f t="shared" si="22"/>
        <v>0</v>
      </c>
      <c r="AR25" s="147">
        <f t="shared" si="22"/>
        <v>0</v>
      </c>
      <c r="AS25" s="147">
        <f t="shared" si="22"/>
        <v>0</v>
      </c>
      <c r="AT25" s="147">
        <f t="shared" si="22"/>
        <v>0</v>
      </c>
      <c r="AU25" s="147">
        <f t="shared" si="22"/>
        <v>0</v>
      </c>
      <c r="AV25" s="147">
        <f t="shared" si="22"/>
        <v>0</v>
      </c>
      <c r="AW25" s="147">
        <f t="shared" si="22"/>
        <v>0</v>
      </c>
      <c r="AX25" s="147">
        <f t="shared" si="22"/>
        <v>0</v>
      </c>
      <c r="AY25" s="147">
        <f t="shared" si="22"/>
        <v>0</v>
      </c>
      <c r="AZ25" s="147">
        <f t="shared" si="22"/>
        <v>0</v>
      </c>
      <c r="BA25" s="147">
        <f t="shared" si="22"/>
        <v>0</v>
      </c>
      <c r="BB25" s="147">
        <f t="shared" si="22"/>
        <v>0</v>
      </c>
      <c r="BC25" s="147">
        <f t="shared" si="22"/>
        <v>0</v>
      </c>
      <c r="BD25" s="147">
        <f t="shared" si="22"/>
        <v>0</v>
      </c>
      <c r="BE25" s="147">
        <f t="shared" si="22"/>
        <v>0</v>
      </c>
      <c r="BF25" s="147">
        <f t="shared" si="22"/>
        <v>0</v>
      </c>
      <c r="BG25" s="147">
        <f t="shared" si="22"/>
        <v>0</v>
      </c>
      <c r="BH25" s="147">
        <f t="shared" si="22"/>
        <v>0</v>
      </c>
      <c r="BI25" s="147">
        <f t="shared" si="22"/>
        <v>0</v>
      </c>
      <c r="BJ25" s="147">
        <f t="shared" si="22"/>
        <v>0</v>
      </c>
      <c r="BK25" s="147">
        <f t="shared" si="22"/>
        <v>0</v>
      </c>
      <c r="BL25" s="147">
        <f t="shared" si="22"/>
        <v>0</v>
      </c>
      <c r="BM25" s="147">
        <f t="shared" si="22"/>
        <v>0</v>
      </c>
      <c r="BN25" s="147">
        <f t="shared" si="22"/>
        <v>0</v>
      </c>
      <c r="BO25" s="147">
        <f t="shared" si="22"/>
        <v>0</v>
      </c>
      <c r="BP25" s="147">
        <f t="shared" si="22"/>
        <v>0</v>
      </c>
      <c r="BQ25" s="147">
        <f t="shared" si="22"/>
        <v>0</v>
      </c>
      <c r="BR25" s="147">
        <f t="shared" si="22"/>
        <v>0</v>
      </c>
      <c r="BS25" s="147">
        <f t="shared" si="22"/>
        <v>0</v>
      </c>
      <c r="BT25" s="147">
        <f t="shared" si="22"/>
        <v>0</v>
      </c>
      <c r="BU25" s="147">
        <f t="shared" si="22"/>
        <v>0</v>
      </c>
      <c r="BV25" s="147">
        <f t="shared" si="22"/>
        <v>0</v>
      </c>
      <c r="BW25" s="147">
        <f t="shared" si="21"/>
        <v>0</v>
      </c>
      <c r="BX25" s="147">
        <f t="shared" si="21"/>
        <v>0</v>
      </c>
      <c r="BY25" s="147">
        <f t="shared" si="21"/>
        <v>0</v>
      </c>
      <c r="BZ25" s="147">
        <f t="shared" si="21"/>
        <v>0</v>
      </c>
      <c r="CA25" s="147">
        <f t="shared" si="21"/>
        <v>0</v>
      </c>
      <c r="CB25" s="147">
        <f t="shared" si="21"/>
        <v>0</v>
      </c>
      <c r="CC25" s="147">
        <f t="shared" si="21"/>
        <v>0</v>
      </c>
      <c r="CD25" s="147">
        <f t="shared" si="21"/>
        <v>0</v>
      </c>
      <c r="CE25" s="147">
        <f t="shared" si="21"/>
        <v>0</v>
      </c>
      <c r="CF25" s="147">
        <f t="shared" si="21"/>
        <v>0</v>
      </c>
      <c r="CG25" s="147">
        <f t="shared" si="21"/>
        <v>0</v>
      </c>
      <c r="CH25" s="147">
        <f t="shared" si="21"/>
        <v>0</v>
      </c>
      <c r="CI25" s="147">
        <f t="shared" si="21"/>
        <v>0</v>
      </c>
      <c r="CJ25" s="147">
        <f t="shared" si="21"/>
        <v>0</v>
      </c>
      <c r="CK25" s="347">
        <f t="shared" si="21"/>
        <v>0</v>
      </c>
    </row>
    <row r="26" spans="1:89" outlineLevel="1" x14ac:dyDescent="0.3">
      <c r="A26" s="329"/>
      <c r="B26" s="344">
        <v>0</v>
      </c>
      <c r="C26" s="345">
        <f t="shared" si="7"/>
        <v>31</v>
      </c>
      <c r="E26" s="145">
        <f t="shared" si="19"/>
        <v>121</v>
      </c>
      <c r="F26" s="536">
        <v>0</v>
      </c>
      <c r="G26" s="537">
        <v>0</v>
      </c>
      <c r="H26" s="537">
        <v>0</v>
      </c>
      <c r="I26" s="537">
        <v>0</v>
      </c>
      <c r="J26" s="537">
        <v>0</v>
      </c>
      <c r="K26" s="537">
        <v>0</v>
      </c>
      <c r="L26" s="537">
        <v>0</v>
      </c>
      <c r="M26" s="537">
        <v>0</v>
      </c>
      <c r="N26" s="538">
        <v>0</v>
      </c>
      <c r="O26" s="147">
        <f t="shared" si="22"/>
        <v>0</v>
      </c>
      <c r="P26" s="147">
        <f t="shared" si="22"/>
        <v>0</v>
      </c>
      <c r="Q26" s="147">
        <f t="shared" si="22"/>
        <v>0</v>
      </c>
      <c r="R26" s="147">
        <f t="shared" si="22"/>
        <v>0</v>
      </c>
      <c r="S26" s="147">
        <f t="shared" si="22"/>
        <v>0</v>
      </c>
      <c r="T26" s="147">
        <f t="shared" si="22"/>
        <v>0</v>
      </c>
      <c r="U26" s="147">
        <f t="shared" si="22"/>
        <v>0</v>
      </c>
      <c r="V26" s="147">
        <f t="shared" si="22"/>
        <v>0</v>
      </c>
      <c r="W26" s="147">
        <f t="shared" si="22"/>
        <v>0</v>
      </c>
      <c r="X26" s="147">
        <f t="shared" si="22"/>
        <v>0</v>
      </c>
      <c r="Y26" s="147">
        <f t="shared" si="22"/>
        <v>0</v>
      </c>
      <c r="Z26" s="147">
        <f t="shared" si="22"/>
        <v>0</v>
      </c>
      <c r="AA26" s="147">
        <f t="shared" si="22"/>
        <v>0</v>
      </c>
      <c r="AB26" s="147">
        <f t="shared" si="22"/>
        <v>0</v>
      </c>
      <c r="AC26" s="147">
        <f t="shared" si="22"/>
        <v>0</v>
      </c>
      <c r="AD26" s="147">
        <f t="shared" si="22"/>
        <v>0</v>
      </c>
      <c r="AE26" s="147">
        <f t="shared" si="22"/>
        <v>0</v>
      </c>
      <c r="AF26" s="147">
        <f t="shared" si="22"/>
        <v>0</v>
      </c>
      <c r="AG26" s="147">
        <f t="shared" si="22"/>
        <v>0</v>
      </c>
      <c r="AH26" s="147">
        <f t="shared" si="22"/>
        <v>0</v>
      </c>
      <c r="AI26" s="147">
        <f t="shared" si="22"/>
        <v>0</v>
      </c>
      <c r="AJ26" s="147">
        <f t="shared" si="22"/>
        <v>0</v>
      </c>
      <c r="AK26" s="147">
        <f t="shared" si="22"/>
        <v>0</v>
      </c>
      <c r="AL26" s="147">
        <f t="shared" si="22"/>
        <v>0</v>
      </c>
      <c r="AM26" s="147">
        <f t="shared" si="22"/>
        <v>0</v>
      </c>
      <c r="AN26" s="147">
        <f t="shared" si="22"/>
        <v>0</v>
      </c>
      <c r="AO26" s="147">
        <f t="shared" si="22"/>
        <v>0</v>
      </c>
      <c r="AP26" s="147">
        <f t="shared" si="22"/>
        <v>0</v>
      </c>
      <c r="AQ26" s="147">
        <f t="shared" si="22"/>
        <v>0</v>
      </c>
      <c r="AR26" s="147">
        <f t="shared" si="22"/>
        <v>0</v>
      </c>
      <c r="AS26" s="147">
        <f t="shared" si="22"/>
        <v>0</v>
      </c>
      <c r="AT26" s="147">
        <f t="shared" si="22"/>
        <v>0</v>
      </c>
      <c r="AU26" s="147">
        <f t="shared" si="22"/>
        <v>0</v>
      </c>
      <c r="AV26" s="147">
        <f t="shared" si="22"/>
        <v>0</v>
      </c>
      <c r="AW26" s="147">
        <f t="shared" si="22"/>
        <v>0</v>
      </c>
      <c r="AX26" s="147">
        <f t="shared" si="22"/>
        <v>0</v>
      </c>
      <c r="AY26" s="147">
        <f t="shared" si="22"/>
        <v>0</v>
      </c>
      <c r="AZ26" s="147">
        <f t="shared" si="22"/>
        <v>0</v>
      </c>
      <c r="BA26" s="147">
        <f t="shared" si="22"/>
        <v>0</v>
      </c>
      <c r="BB26" s="147">
        <f t="shared" si="22"/>
        <v>0</v>
      </c>
      <c r="BC26" s="147">
        <f t="shared" si="22"/>
        <v>0</v>
      </c>
      <c r="BD26" s="147">
        <f t="shared" si="22"/>
        <v>0</v>
      </c>
      <c r="BE26" s="147">
        <f t="shared" si="22"/>
        <v>0</v>
      </c>
      <c r="BF26" s="147">
        <f t="shared" si="22"/>
        <v>0</v>
      </c>
      <c r="BG26" s="147">
        <f t="shared" si="22"/>
        <v>0</v>
      </c>
      <c r="BH26" s="147">
        <f t="shared" si="22"/>
        <v>0</v>
      </c>
      <c r="BI26" s="147">
        <f t="shared" si="22"/>
        <v>0</v>
      </c>
      <c r="BJ26" s="147">
        <f t="shared" si="22"/>
        <v>0</v>
      </c>
      <c r="BK26" s="147">
        <f t="shared" si="22"/>
        <v>0</v>
      </c>
      <c r="BL26" s="147">
        <f t="shared" si="22"/>
        <v>0</v>
      </c>
      <c r="BM26" s="147">
        <f t="shared" si="22"/>
        <v>0</v>
      </c>
      <c r="BN26" s="147">
        <f t="shared" si="22"/>
        <v>0</v>
      </c>
      <c r="BO26" s="147">
        <f t="shared" si="22"/>
        <v>0</v>
      </c>
      <c r="BP26" s="147">
        <f t="shared" si="22"/>
        <v>0</v>
      </c>
      <c r="BQ26" s="147">
        <f t="shared" si="22"/>
        <v>0</v>
      </c>
      <c r="BR26" s="147">
        <f t="shared" si="22"/>
        <v>0</v>
      </c>
      <c r="BS26" s="147">
        <f t="shared" si="22"/>
        <v>0</v>
      </c>
      <c r="BT26" s="147">
        <f t="shared" si="22"/>
        <v>0</v>
      </c>
      <c r="BU26" s="147">
        <f t="shared" si="22"/>
        <v>0</v>
      </c>
      <c r="BV26" s="147">
        <f t="shared" si="22"/>
        <v>0</v>
      </c>
      <c r="BW26" s="147">
        <f t="shared" si="21"/>
        <v>0</v>
      </c>
      <c r="BX26" s="147">
        <f t="shared" si="21"/>
        <v>0</v>
      </c>
      <c r="BY26" s="147">
        <f t="shared" si="21"/>
        <v>0</v>
      </c>
      <c r="BZ26" s="147">
        <f t="shared" si="21"/>
        <v>0</v>
      </c>
      <c r="CA26" s="147">
        <f t="shared" si="21"/>
        <v>0</v>
      </c>
      <c r="CB26" s="147">
        <f t="shared" si="21"/>
        <v>0</v>
      </c>
      <c r="CC26" s="147">
        <f t="shared" si="21"/>
        <v>0</v>
      </c>
      <c r="CD26" s="147">
        <f t="shared" si="21"/>
        <v>0</v>
      </c>
      <c r="CE26" s="147">
        <f t="shared" si="21"/>
        <v>0</v>
      </c>
      <c r="CF26" s="147">
        <f t="shared" si="21"/>
        <v>0</v>
      </c>
      <c r="CG26" s="147">
        <f t="shared" si="21"/>
        <v>0</v>
      </c>
      <c r="CH26" s="147">
        <f t="shared" si="21"/>
        <v>0</v>
      </c>
      <c r="CI26" s="147">
        <f t="shared" si="21"/>
        <v>0</v>
      </c>
      <c r="CJ26" s="147">
        <f t="shared" si="21"/>
        <v>0</v>
      </c>
      <c r="CK26" s="347">
        <f t="shared" si="21"/>
        <v>0</v>
      </c>
    </row>
    <row r="27" spans="1:89" outlineLevel="1" x14ac:dyDescent="0.3">
      <c r="A27" s="329"/>
      <c r="B27" s="344">
        <v>0</v>
      </c>
      <c r="C27" s="345">
        <f t="shared" si="7"/>
        <v>31</v>
      </c>
      <c r="E27" s="145">
        <f t="shared" si="19"/>
        <v>121</v>
      </c>
      <c r="F27" s="536">
        <v>0</v>
      </c>
      <c r="G27" s="537">
        <v>0</v>
      </c>
      <c r="H27" s="537">
        <v>0</v>
      </c>
      <c r="I27" s="537">
        <v>0</v>
      </c>
      <c r="J27" s="537">
        <v>0</v>
      </c>
      <c r="K27" s="537">
        <v>0</v>
      </c>
      <c r="L27" s="537">
        <v>0</v>
      </c>
      <c r="M27" s="537">
        <v>0</v>
      </c>
      <c r="N27" s="538">
        <v>0</v>
      </c>
      <c r="O27" s="147">
        <f t="shared" si="22"/>
        <v>0</v>
      </c>
      <c r="P27" s="147">
        <f t="shared" si="22"/>
        <v>0</v>
      </c>
      <c r="Q27" s="147">
        <f t="shared" si="22"/>
        <v>0</v>
      </c>
      <c r="R27" s="147">
        <f t="shared" si="22"/>
        <v>0</v>
      </c>
      <c r="S27" s="147">
        <f t="shared" si="22"/>
        <v>0</v>
      </c>
      <c r="T27" s="147">
        <f t="shared" si="22"/>
        <v>0</v>
      </c>
      <c r="U27" s="147">
        <f t="shared" si="22"/>
        <v>0</v>
      </c>
      <c r="V27" s="147">
        <f t="shared" si="22"/>
        <v>0</v>
      </c>
      <c r="W27" s="147">
        <f t="shared" si="22"/>
        <v>0</v>
      </c>
      <c r="X27" s="147">
        <f t="shared" si="22"/>
        <v>0</v>
      </c>
      <c r="Y27" s="147">
        <f t="shared" si="22"/>
        <v>0</v>
      </c>
      <c r="Z27" s="147">
        <f t="shared" si="22"/>
        <v>0</v>
      </c>
      <c r="AA27" s="147">
        <f t="shared" si="22"/>
        <v>0</v>
      </c>
      <c r="AB27" s="147">
        <f t="shared" si="22"/>
        <v>0</v>
      </c>
      <c r="AC27" s="147">
        <f t="shared" si="22"/>
        <v>0</v>
      </c>
      <c r="AD27" s="147">
        <f t="shared" si="22"/>
        <v>0</v>
      </c>
      <c r="AE27" s="147">
        <f t="shared" si="22"/>
        <v>0</v>
      </c>
      <c r="AF27" s="147">
        <f t="shared" si="22"/>
        <v>0</v>
      </c>
      <c r="AG27" s="147">
        <f t="shared" si="22"/>
        <v>0</v>
      </c>
      <c r="AH27" s="147">
        <f t="shared" si="22"/>
        <v>0</v>
      </c>
      <c r="AI27" s="147">
        <f t="shared" si="22"/>
        <v>0</v>
      </c>
      <c r="AJ27" s="147">
        <f t="shared" si="22"/>
        <v>0</v>
      </c>
      <c r="AK27" s="147">
        <f t="shared" si="22"/>
        <v>0</v>
      </c>
      <c r="AL27" s="147">
        <f t="shared" si="22"/>
        <v>0</v>
      </c>
      <c r="AM27" s="147">
        <f t="shared" si="22"/>
        <v>0</v>
      </c>
      <c r="AN27" s="147">
        <f t="shared" si="22"/>
        <v>0</v>
      </c>
      <c r="AO27" s="147">
        <f t="shared" si="22"/>
        <v>0</v>
      </c>
      <c r="AP27" s="147">
        <f t="shared" si="22"/>
        <v>0</v>
      </c>
      <c r="AQ27" s="147">
        <f t="shared" si="22"/>
        <v>0</v>
      </c>
      <c r="AR27" s="147">
        <f t="shared" si="22"/>
        <v>0</v>
      </c>
      <c r="AS27" s="147">
        <f t="shared" si="22"/>
        <v>0</v>
      </c>
      <c r="AT27" s="147">
        <f t="shared" si="22"/>
        <v>0</v>
      </c>
      <c r="AU27" s="147">
        <f t="shared" si="22"/>
        <v>0</v>
      </c>
      <c r="AV27" s="147">
        <f t="shared" si="22"/>
        <v>0</v>
      </c>
      <c r="AW27" s="147">
        <f t="shared" si="22"/>
        <v>0</v>
      </c>
      <c r="AX27" s="147">
        <f t="shared" si="22"/>
        <v>0</v>
      </c>
      <c r="AY27" s="147">
        <f t="shared" si="22"/>
        <v>0</v>
      </c>
      <c r="AZ27" s="147">
        <f t="shared" si="22"/>
        <v>0</v>
      </c>
      <c r="BA27" s="147">
        <f t="shared" si="22"/>
        <v>0</v>
      </c>
      <c r="BB27" s="147">
        <f t="shared" si="22"/>
        <v>0</v>
      </c>
      <c r="BC27" s="147">
        <f t="shared" si="22"/>
        <v>0</v>
      </c>
      <c r="BD27" s="147">
        <f t="shared" si="22"/>
        <v>0</v>
      </c>
      <c r="BE27" s="147">
        <f t="shared" si="22"/>
        <v>0</v>
      </c>
      <c r="BF27" s="147">
        <f t="shared" si="22"/>
        <v>0</v>
      </c>
      <c r="BG27" s="147">
        <f t="shared" si="22"/>
        <v>0</v>
      </c>
      <c r="BH27" s="147">
        <f t="shared" si="22"/>
        <v>0</v>
      </c>
      <c r="BI27" s="147">
        <f t="shared" si="22"/>
        <v>0</v>
      </c>
      <c r="BJ27" s="147">
        <f t="shared" si="22"/>
        <v>0</v>
      </c>
      <c r="BK27" s="147">
        <f t="shared" si="22"/>
        <v>0</v>
      </c>
      <c r="BL27" s="147">
        <f t="shared" si="22"/>
        <v>0</v>
      </c>
      <c r="BM27" s="147">
        <f t="shared" si="22"/>
        <v>0</v>
      </c>
      <c r="BN27" s="147">
        <f t="shared" si="22"/>
        <v>0</v>
      </c>
      <c r="BO27" s="147">
        <f t="shared" si="22"/>
        <v>0</v>
      </c>
      <c r="BP27" s="147">
        <f t="shared" si="22"/>
        <v>0</v>
      </c>
      <c r="BQ27" s="147">
        <f t="shared" si="22"/>
        <v>0</v>
      </c>
      <c r="BR27" s="147">
        <f t="shared" si="22"/>
        <v>0</v>
      </c>
      <c r="BS27" s="147">
        <f t="shared" si="22"/>
        <v>0</v>
      </c>
      <c r="BT27" s="147">
        <f t="shared" si="22"/>
        <v>0</v>
      </c>
      <c r="BU27" s="147">
        <f t="shared" si="22"/>
        <v>0</v>
      </c>
      <c r="BV27" s="147">
        <f t="shared" si="22"/>
        <v>0</v>
      </c>
      <c r="BW27" s="147">
        <f t="shared" si="21"/>
        <v>0</v>
      </c>
      <c r="BX27" s="147">
        <f t="shared" si="21"/>
        <v>0</v>
      </c>
      <c r="BY27" s="147">
        <f t="shared" si="21"/>
        <v>0</v>
      </c>
      <c r="BZ27" s="147">
        <f t="shared" si="21"/>
        <v>0</v>
      </c>
      <c r="CA27" s="147">
        <f t="shared" si="21"/>
        <v>0</v>
      </c>
      <c r="CB27" s="147">
        <f t="shared" si="21"/>
        <v>0</v>
      </c>
      <c r="CC27" s="147">
        <f t="shared" si="21"/>
        <v>0</v>
      </c>
      <c r="CD27" s="147">
        <f t="shared" si="21"/>
        <v>0</v>
      </c>
      <c r="CE27" s="147">
        <f t="shared" si="21"/>
        <v>0</v>
      </c>
      <c r="CF27" s="147">
        <f t="shared" si="21"/>
        <v>0</v>
      </c>
      <c r="CG27" s="147">
        <f t="shared" si="21"/>
        <v>0</v>
      </c>
      <c r="CH27" s="147">
        <f t="shared" si="21"/>
        <v>0</v>
      </c>
      <c r="CI27" s="147">
        <f t="shared" si="21"/>
        <v>0</v>
      </c>
      <c r="CJ27" s="147">
        <f t="shared" si="21"/>
        <v>0</v>
      </c>
      <c r="CK27" s="347">
        <f t="shared" si="21"/>
        <v>0</v>
      </c>
    </row>
    <row r="28" spans="1:89" outlineLevel="1" x14ac:dyDescent="0.3">
      <c r="A28" s="329"/>
      <c r="B28" s="344">
        <v>0</v>
      </c>
      <c r="C28" s="345">
        <f t="shared" si="7"/>
        <v>31</v>
      </c>
      <c r="E28" s="145">
        <f t="shared" si="19"/>
        <v>121</v>
      </c>
      <c r="F28" s="536">
        <v>0</v>
      </c>
      <c r="G28" s="537">
        <v>0</v>
      </c>
      <c r="H28" s="537">
        <v>0</v>
      </c>
      <c r="I28" s="537">
        <v>0</v>
      </c>
      <c r="J28" s="537">
        <v>0</v>
      </c>
      <c r="K28" s="537">
        <v>0</v>
      </c>
      <c r="L28" s="537">
        <v>0</v>
      </c>
      <c r="M28" s="537">
        <v>0</v>
      </c>
      <c r="N28" s="538">
        <v>0</v>
      </c>
      <c r="O28" s="147">
        <f t="shared" si="22"/>
        <v>0</v>
      </c>
      <c r="P28" s="147">
        <f t="shared" si="22"/>
        <v>0</v>
      </c>
      <c r="Q28" s="147">
        <f t="shared" si="22"/>
        <v>0</v>
      </c>
      <c r="R28" s="147">
        <f t="shared" si="22"/>
        <v>0</v>
      </c>
      <c r="S28" s="147">
        <f t="shared" si="22"/>
        <v>0</v>
      </c>
      <c r="T28" s="147">
        <f t="shared" si="22"/>
        <v>0</v>
      </c>
      <c r="U28" s="147">
        <f t="shared" si="22"/>
        <v>0</v>
      </c>
      <c r="V28" s="147">
        <f t="shared" si="22"/>
        <v>0</v>
      </c>
      <c r="W28" s="147">
        <f t="shared" si="22"/>
        <v>0</v>
      </c>
      <c r="X28" s="147">
        <f t="shared" si="22"/>
        <v>0</v>
      </c>
      <c r="Y28" s="147">
        <f t="shared" si="22"/>
        <v>0</v>
      </c>
      <c r="Z28" s="147">
        <f t="shared" si="22"/>
        <v>0</v>
      </c>
      <c r="AA28" s="147">
        <f t="shared" si="22"/>
        <v>0</v>
      </c>
      <c r="AB28" s="147">
        <f t="shared" si="22"/>
        <v>0</v>
      </c>
      <c r="AC28" s="147">
        <f t="shared" si="22"/>
        <v>0</v>
      </c>
      <c r="AD28" s="147">
        <f t="shared" si="22"/>
        <v>0</v>
      </c>
      <c r="AE28" s="147">
        <f t="shared" si="22"/>
        <v>0</v>
      </c>
      <c r="AF28" s="147">
        <f t="shared" si="22"/>
        <v>0</v>
      </c>
      <c r="AG28" s="147">
        <f t="shared" si="22"/>
        <v>0</v>
      </c>
      <c r="AH28" s="147">
        <f t="shared" si="22"/>
        <v>0</v>
      </c>
      <c r="AI28" s="147">
        <f t="shared" si="22"/>
        <v>0</v>
      </c>
      <c r="AJ28" s="147">
        <f t="shared" si="22"/>
        <v>0</v>
      </c>
      <c r="AK28" s="147">
        <f t="shared" si="22"/>
        <v>0</v>
      </c>
      <c r="AL28" s="147">
        <f t="shared" si="22"/>
        <v>0</v>
      </c>
      <c r="AM28" s="147">
        <f t="shared" si="22"/>
        <v>0</v>
      </c>
      <c r="AN28" s="147">
        <f t="shared" si="22"/>
        <v>0</v>
      </c>
      <c r="AO28" s="147">
        <f t="shared" si="22"/>
        <v>0</v>
      </c>
      <c r="AP28" s="147">
        <f t="shared" si="22"/>
        <v>0</v>
      </c>
      <c r="AQ28" s="147">
        <f t="shared" si="22"/>
        <v>0</v>
      </c>
      <c r="AR28" s="147">
        <f t="shared" si="22"/>
        <v>0</v>
      </c>
      <c r="AS28" s="147">
        <f t="shared" si="22"/>
        <v>0</v>
      </c>
      <c r="AT28" s="147">
        <f t="shared" si="22"/>
        <v>0</v>
      </c>
      <c r="AU28" s="147">
        <f t="shared" si="22"/>
        <v>0</v>
      </c>
      <c r="AV28" s="147">
        <f t="shared" si="22"/>
        <v>0</v>
      </c>
      <c r="AW28" s="147">
        <f t="shared" si="22"/>
        <v>0</v>
      </c>
      <c r="AX28" s="147">
        <f t="shared" si="22"/>
        <v>0</v>
      </c>
      <c r="AY28" s="147">
        <f t="shared" si="22"/>
        <v>0</v>
      </c>
      <c r="AZ28" s="147">
        <f t="shared" si="22"/>
        <v>0</v>
      </c>
      <c r="BA28" s="147">
        <f t="shared" si="22"/>
        <v>0</v>
      </c>
      <c r="BB28" s="147">
        <f t="shared" si="22"/>
        <v>0</v>
      </c>
      <c r="BC28" s="147">
        <f t="shared" si="22"/>
        <v>0</v>
      </c>
      <c r="BD28" s="147">
        <f t="shared" si="22"/>
        <v>0</v>
      </c>
      <c r="BE28" s="147">
        <f t="shared" si="22"/>
        <v>0</v>
      </c>
      <c r="BF28" s="147">
        <f t="shared" si="22"/>
        <v>0</v>
      </c>
      <c r="BG28" s="147">
        <f t="shared" si="22"/>
        <v>0</v>
      </c>
      <c r="BH28" s="147">
        <f t="shared" si="22"/>
        <v>0</v>
      </c>
      <c r="BI28" s="147">
        <f t="shared" si="22"/>
        <v>0</v>
      </c>
      <c r="BJ28" s="147">
        <f t="shared" si="22"/>
        <v>0</v>
      </c>
      <c r="BK28" s="147">
        <f t="shared" si="22"/>
        <v>0</v>
      </c>
      <c r="BL28" s="147">
        <f t="shared" si="22"/>
        <v>0</v>
      </c>
      <c r="BM28" s="147">
        <f t="shared" si="22"/>
        <v>0</v>
      </c>
      <c r="BN28" s="147">
        <f t="shared" si="22"/>
        <v>0</v>
      </c>
      <c r="BO28" s="147">
        <f t="shared" si="22"/>
        <v>0</v>
      </c>
      <c r="BP28" s="147">
        <f t="shared" si="22"/>
        <v>0</v>
      </c>
      <c r="BQ28" s="147">
        <f t="shared" si="22"/>
        <v>0</v>
      </c>
      <c r="BR28" s="147">
        <f t="shared" si="22"/>
        <v>0</v>
      </c>
      <c r="BS28" s="147">
        <f t="shared" si="22"/>
        <v>0</v>
      </c>
      <c r="BT28" s="147">
        <f t="shared" si="22"/>
        <v>0</v>
      </c>
      <c r="BU28" s="147">
        <f t="shared" si="22"/>
        <v>0</v>
      </c>
      <c r="BV28" s="147">
        <f t="shared" ref="BV28:CK31" si="23">+IF(AND($B28&lt;BV$2, $E28&gt;BV$2), $A28/$D$4, 0)</f>
        <v>0</v>
      </c>
      <c r="BW28" s="147">
        <f t="shared" si="23"/>
        <v>0</v>
      </c>
      <c r="BX28" s="147">
        <f t="shared" si="23"/>
        <v>0</v>
      </c>
      <c r="BY28" s="147">
        <f t="shared" si="23"/>
        <v>0</v>
      </c>
      <c r="BZ28" s="147">
        <f t="shared" si="23"/>
        <v>0</v>
      </c>
      <c r="CA28" s="147">
        <f t="shared" si="23"/>
        <v>0</v>
      </c>
      <c r="CB28" s="147">
        <f t="shared" si="23"/>
        <v>0</v>
      </c>
      <c r="CC28" s="147">
        <f t="shared" si="23"/>
        <v>0</v>
      </c>
      <c r="CD28" s="147">
        <f t="shared" si="23"/>
        <v>0</v>
      </c>
      <c r="CE28" s="147">
        <f t="shared" si="23"/>
        <v>0</v>
      </c>
      <c r="CF28" s="147">
        <f t="shared" si="23"/>
        <v>0</v>
      </c>
      <c r="CG28" s="147">
        <f t="shared" si="23"/>
        <v>0</v>
      </c>
      <c r="CH28" s="147">
        <f t="shared" si="23"/>
        <v>0</v>
      </c>
      <c r="CI28" s="147">
        <f t="shared" si="23"/>
        <v>0</v>
      </c>
      <c r="CJ28" s="147">
        <f t="shared" si="23"/>
        <v>0</v>
      </c>
      <c r="CK28" s="347">
        <f t="shared" si="23"/>
        <v>0</v>
      </c>
    </row>
    <row r="29" spans="1:89" outlineLevel="1" x14ac:dyDescent="0.3">
      <c r="A29" s="329"/>
      <c r="B29" s="344">
        <v>0</v>
      </c>
      <c r="C29" s="345">
        <f t="shared" si="7"/>
        <v>31</v>
      </c>
      <c r="E29" s="145">
        <f>+EOMONTH(B29, $D$4)</f>
        <v>121</v>
      </c>
      <c r="F29" s="536">
        <v>0</v>
      </c>
      <c r="G29" s="537">
        <v>0</v>
      </c>
      <c r="H29" s="537">
        <v>0</v>
      </c>
      <c r="I29" s="537">
        <v>0</v>
      </c>
      <c r="J29" s="537">
        <v>0</v>
      </c>
      <c r="K29" s="537">
        <v>0</v>
      </c>
      <c r="L29" s="537">
        <v>0</v>
      </c>
      <c r="M29" s="537">
        <v>0</v>
      </c>
      <c r="N29" s="538">
        <v>0</v>
      </c>
      <c r="O29" s="147">
        <f t="shared" ref="O29:BV32" si="24">+IF(AND($B29&lt;O$2, $E29&gt;O$2), $A29/$D$4, 0)</f>
        <v>0</v>
      </c>
      <c r="P29" s="147">
        <f t="shared" si="24"/>
        <v>0</v>
      </c>
      <c r="Q29" s="147">
        <f t="shared" si="24"/>
        <v>0</v>
      </c>
      <c r="R29" s="147">
        <f t="shared" si="24"/>
        <v>0</v>
      </c>
      <c r="S29" s="147">
        <f t="shared" si="24"/>
        <v>0</v>
      </c>
      <c r="T29" s="147">
        <f t="shared" si="24"/>
        <v>0</v>
      </c>
      <c r="U29" s="147">
        <f t="shared" si="24"/>
        <v>0</v>
      </c>
      <c r="V29" s="147">
        <f t="shared" si="24"/>
        <v>0</v>
      </c>
      <c r="W29" s="147">
        <f t="shared" si="24"/>
        <v>0</v>
      </c>
      <c r="X29" s="147">
        <f t="shared" si="24"/>
        <v>0</v>
      </c>
      <c r="Y29" s="147">
        <f t="shared" si="24"/>
        <v>0</v>
      </c>
      <c r="Z29" s="147">
        <f t="shared" si="24"/>
        <v>0</v>
      </c>
      <c r="AA29" s="147">
        <f t="shared" si="24"/>
        <v>0</v>
      </c>
      <c r="AB29" s="147">
        <f t="shared" si="24"/>
        <v>0</v>
      </c>
      <c r="AC29" s="147">
        <f t="shared" si="24"/>
        <v>0</v>
      </c>
      <c r="AD29" s="147">
        <f t="shared" si="24"/>
        <v>0</v>
      </c>
      <c r="AE29" s="147">
        <f t="shared" si="24"/>
        <v>0</v>
      </c>
      <c r="AF29" s="147">
        <f t="shared" si="24"/>
        <v>0</v>
      </c>
      <c r="AG29" s="147">
        <f t="shared" si="24"/>
        <v>0</v>
      </c>
      <c r="AH29" s="147">
        <f t="shared" si="24"/>
        <v>0</v>
      </c>
      <c r="AI29" s="147">
        <f t="shared" si="24"/>
        <v>0</v>
      </c>
      <c r="AJ29" s="147">
        <f t="shared" si="24"/>
        <v>0</v>
      </c>
      <c r="AK29" s="147">
        <f t="shared" si="24"/>
        <v>0</v>
      </c>
      <c r="AL29" s="147">
        <f t="shared" si="24"/>
        <v>0</v>
      </c>
      <c r="AM29" s="147">
        <f t="shared" si="24"/>
        <v>0</v>
      </c>
      <c r="AN29" s="147">
        <f t="shared" si="24"/>
        <v>0</v>
      </c>
      <c r="AO29" s="147">
        <f t="shared" si="24"/>
        <v>0</v>
      </c>
      <c r="AP29" s="147">
        <f t="shared" si="24"/>
        <v>0</v>
      </c>
      <c r="AQ29" s="147">
        <f t="shared" si="24"/>
        <v>0</v>
      </c>
      <c r="AR29" s="147">
        <f t="shared" si="24"/>
        <v>0</v>
      </c>
      <c r="AS29" s="147">
        <f t="shared" si="24"/>
        <v>0</v>
      </c>
      <c r="AT29" s="147">
        <f t="shared" si="24"/>
        <v>0</v>
      </c>
      <c r="AU29" s="147">
        <f t="shared" si="24"/>
        <v>0</v>
      </c>
      <c r="AV29" s="147">
        <f t="shared" si="24"/>
        <v>0</v>
      </c>
      <c r="AW29" s="147">
        <f t="shared" si="24"/>
        <v>0</v>
      </c>
      <c r="AX29" s="147">
        <f t="shared" si="24"/>
        <v>0</v>
      </c>
      <c r="AY29" s="147">
        <f t="shared" si="24"/>
        <v>0</v>
      </c>
      <c r="AZ29" s="147">
        <f t="shared" si="24"/>
        <v>0</v>
      </c>
      <c r="BA29" s="147">
        <f t="shared" si="24"/>
        <v>0</v>
      </c>
      <c r="BB29" s="147">
        <f t="shared" si="24"/>
        <v>0</v>
      </c>
      <c r="BC29" s="147">
        <f t="shared" si="24"/>
        <v>0</v>
      </c>
      <c r="BD29" s="147">
        <f t="shared" si="24"/>
        <v>0</v>
      </c>
      <c r="BE29" s="147">
        <f t="shared" si="24"/>
        <v>0</v>
      </c>
      <c r="BF29" s="147">
        <f t="shared" si="24"/>
        <v>0</v>
      </c>
      <c r="BG29" s="147">
        <f t="shared" si="24"/>
        <v>0</v>
      </c>
      <c r="BH29" s="147">
        <f t="shared" si="24"/>
        <v>0</v>
      </c>
      <c r="BI29" s="147">
        <f t="shared" si="24"/>
        <v>0</v>
      </c>
      <c r="BJ29" s="147">
        <f t="shared" si="24"/>
        <v>0</v>
      </c>
      <c r="BK29" s="147">
        <f t="shared" si="24"/>
        <v>0</v>
      </c>
      <c r="BL29" s="147">
        <f t="shared" si="24"/>
        <v>0</v>
      </c>
      <c r="BM29" s="147">
        <f t="shared" si="24"/>
        <v>0</v>
      </c>
      <c r="BN29" s="147">
        <f t="shared" si="24"/>
        <v>0</v>
      </c>
      <c r="BO29" s="147">
        <f t="shared" si="24"/>
        <v>0</v>
      </c>
      <c r="BP29" s="147">
        <f t="shared" si="24"/>
        <v>0</v>
      </c>
      <c r="BQ29" s="147">
        <f t="shared" si="24"/>
        <v>0</v>
      </c>
      <c r="BR29" s="147">
        <f t="shared" si="24"/>
        <v>0</v>
      </c>
      <c r="BS29" s="147">
        <f t="shared" si="24"/>
        <v>0</v>
      </c>
      <c r="BT29" s="147">
        <f t="shared" si="24"/>
        <v>0</v>
      </c>
      <c r="BU29" s="147">
        <f t="shared" si="24"/>
        <v>0</v>
      </c>
      <c r="BV29" s="147">
        <f t="shared" si="24"/>
        <v>0</v>
      </c>
      <c r="BW29" s="147">
        <f t="shared" si="23"/>
        <v>0</v>
      </c>
      <c r="BX29" s="147">
        <f t="shared" si="23"/>
        <v>0</v>
      </c>
      <c r="BY29" s="147">
        <f t="shared" si="23"/>
        <v>0</v>
      </c>
      <c r="BZ29" s="147">
        <f t="shared" si="23"/>
        <v>0</v>
      </c>
      <c r="CA29" s="147">
        <f t="shared" si="23"/>
        <v>0</v>
      </c>
      <c r="CB29" s="147">
        <f t="shared" si="23"/>
        <v>0</v>
      </c>
      <c r="CC29" s="147">
        <f t="shared" si="23"/>
        <v>0</v>
      </c>
      <c r="CD29" s="147">
        <f t="shared" si="23"/>
        <v>0</v>
      </c>
      <c r="CE29" s="147">
        <f t="shared" si="23"/>
        <v>0</v>
      </c>
      <c r="CF29" s="147">
        <f t="shared" si="23"/>
        <v>0</v>
      </c>
      <c r="CG29" s="147">
        <f t="shared" si="23"/>
        <v>0</v>
      </c>
      <c r="CH29" s="147">
        <f t="shared" si="23"/>
        <v>0</v>
      </c>
      <c r="CI29" s="147">
        <f t="shared" si="23"/>
        <v>0</v>
      </c>
      <c r="CJ29" s="147">
        <f t="shared" si="23"/>
        <v>0</v>
      </c>
      <c r="CK29" s="347">
        <f t="shared" si="23"/>
        <v>0</v>
      </c>
    </row>
    <row r="30" spans="1:89" outlineLevel="1" x14ac:dyDescent="0.3">
      <c r="A30" s="329"/>
      <c r="B30" s="344">
        <v>0</v>
      </c>
      <c r="C30" s="345">
        <f t="shared" si="7"/>
        <v>31</v>
      </c>
      <c r="E30" s="145">
        <f t="shared" ref="E30:E31" si="25">+EOMONTH(B30, $D$4)</f>
        <v>121</v>
      </c>
      <c r="F30" s="536">
        <v>0</v>
      </c>
      <c r="G30" s="537">
        <v>0</v>
      </c>
      <c r="H30" s="537">
        <v>0</v>
      </c>
      <c r="I30" s="537">
        <v>0</v>
      </c>
      <c r="J30" s="537">
        <v>0</v>
      </c>
      <c r="K30" s="537">
        <v>0</v>
      </c>
      <c r="L30" s="537">
        <v>0</v>
      </c>
      <c r="M30" s="537">
        <v>0</v>
      </c>
      <c r="N30" s="538">
        <v>0</v>
      </c>
      <c r="O30" s="147">
        <f t="shared" si="24"/>
        <v>0</v>
      </c>
      <c r="P30" s="147">
        <f t="shared" si="24"/>
        <v>0</v>
      </c>
      <c r="Q30" s="147">
        <f t="shared" si="24"/>
        <v>0</v>
      </c>
      <c r="R30" s="147">
        <f t="shared" si="24"/>
        <v>0</v>
      </c>
      <c r="S30" s="147">
        <f t="shared" si="24"/>
        <v>0</v>
      </c>
      <c r="T30" s="147">
        <f t="shared" si="24"/>
        <v>0</v>
      </c>
      <c r="U30" s="147">
        <f t="shared" si="24"/>
        <v>0</v>
      </c>
      <c r="V30" s="147">
        <f t="shared" si="24"/>
        <v>0</v>
      </c>
      <c r="W30" s="147">
        <f t="shared" si="24"/>
        <v>0</v>
      </c>
      <c r="X30" s="147">
        <f t="shared" si="24"/>
        <v>0</v>
      </c>
      <c r="Y30" s="147">
        <f t="shared" si="24"/>
        <v>0</v>
      </c>
      <c r="Z30" s="147">
        <f t="shared" si="24"/>
        <v>0</v>
      </c>
      <c r="AA30" s="147">
        <f t="shared" si="24"/>
        <v>0</v>
      </c>
      <c r="AB30" s="147">
        <f t="shared" si="24"/>
        <v>0</v>
      </c>
      <c r="AC30" s="147">
        <f t="shared" si="24"/>
        <v>0</v>
      </c>
      <c r="AD30" s="147">
        <f t="shared" si="24"/>
        <v>0</v>
      </c>
      <c r="AE30" s="147">
        <f t="shared" si="24"/>
        <v>0</v>
      </c>
      <c r="AF30" s="147">
        <f t="shared" si="24"/>
        <v>0</v>
      </c>
      <c r="AG30" s="147">
        <f t="shared" si="24"/>
        <v>0</v>
      </c>
      <c r="AH30" s="147">
        <f t="shared" si="24"/>
        <v>0</v>
      </c>
      <c r="AI30" s="147">
        <f t="shared" si="24"/>
        <v>0</v>
      </c>
      <c r="AJ30" s="147">
        <f t="shared" si="24"/>
        <v>0</v>
      </c>
      <c r="AK30" s="147">
        <f t="shared" si="24"/>
        <v>0</v>
      </c>
      <c r="AL30" s="147">
        <f t="shared" si="24"/>
        <v>0</v>
      </c>
      <c r="AM30" s="147">
        <f t="shared" si="24"/>
        <v>0</v>
      </c>
      <c r="AN30" s="147">
        <f t="shared" si="24"/>
        <v>0</v>
      </c>
      <c r="AO30" s="147">
        <f t="shared" si="24"/>
        <v>0</v>
      </c>
      <c r="AP30" s="147">
        <f t="shared" si="24"/>
        <v>0</v>
      </c>
      <c r="AQ30" s="147">
        <f t="shared" si="24"/>
        <v>0</v>
      </c>
      <c r="AR30" s="147">
        <f t="shared" si="24"/>
        <v>0</v>
      </c>
      <c r="AS30" s="147">
        <f t="shared" si="24"/>
        <v>0</v>
      </c>
      <c r="AT30" s="147">
        <f t="shared" si="24"/>
        <v>0</v>
      </c>
      <c r="AU30" s="147">
        <f t="shared" si="24"/>
        <v>0</v>
      </c>
      <c r="AV30" s="147">
        <f t="shared" si="24"/>
        <v>0</v>
      </c>
      <c r="AW30" s="147">
        <f t="shared" si="24"/>
        <v>0</v>
      </c>
      <c r="AX30" s="147">
        <f t="shared" si="24"/>
        <v>0</v>
      </c>
      <c r="AY30" s="147">
        <f t="shared" si="24"/>
        <v>0</v>
      </c>
      <c r="AZ30" s="147">
        <f t="shared" si="24"/>
        <v>0</v>
      </c>
      <c r="BA30" s="147">
        <f t="shared" si="24"/>
        <v>0</v>
      </c>
      <c r="BB30" s="147">
        <f t="shared" si="24"/>
        <v>0</v>
      </c>
      <c r="BC30" s="147">
        <f t="shared" si="24"/>
        <v>0</v>
      </c>
      <c r="BD30" s="147">
        <f t="shared" si="24"/>
        <v>0</v>
      </c>
      <c r="BE30" s="147">
        <f t="shared" si="24"/>
        <v>0</v>
      </c>
      <c r="BF30" s="147">
        <f t="shared" si="24"/>
        <v>0</v>
      </c>
      <c r="BG30" s="147">
        <f t="shared" si="24"/>
        <v>0</v>
      </c>
      <c r="BH30" s="147">
        <f t="shared" si="24"/>
        <v>0</v>
      </c>
      <c r="BI30" s="147">
        <f t="shared" si="24"/>
        <v>0</v>
      </c>
      <c r="BJ30" s="147">
        <f t="shared" si="24"/>
        <v>0</v>
      </c>
      <c r="BK30" s="147">
        <f t="shared" si="24"/>
        <v>0</v>
      </c>
      <c r="BL30" s="147">
        <f t="shared" si="24"/>
        <v>0</v>
      </c>
      <c r="BM30" s="147">
        <f t="shared" si="24"/>
        <v>0</v>
      </c>
      <c r="BN30" s="147">
        <f t="shared" si="24"/>
        <v>0</v>
      </c>
      <c r="BO30" s="147">
        <f t="shared" si="24"/>
        <v>0</v>
      </c>
      <c r="BP30" s="147">
        <f t="shared" si="24"/>
        <v>0</v>
      </c>
      <c r="BQ30" s="147">
        <f t="shared" si="24"/>
        <v>0</v>
      </c>
      <c r="BR30" s="147">
        <f t="shared" si="24"/>
        <v>0</v>
      </c>
      <c r="BS30" s="147">
        <f t="shared" si="24"/>
        <v>0</v>
      </c>
      <c r="BT30" s="147">
        <f t="shared" si="24"/>
        <v>0</v>
      </c>
      <c r="BU30" s="147">
        <f t="shared" si="24"/>
        <v>0</v>
      </c>
      <c r="BV30" s="147">
        <f t="shared" si="24"/>
        <v>0</v>
      </c>
      <c r="BW30" s="147">
        <f t="shared" si="23"/>
        <v>0</v>
      </c>
      <c r="BX30" s="147">
        <f t="shared" si="23"/>
        <v>0</v>
      </c>
      <c r="BY30" s="147">
        <f t="shared" si="23"/>
        <v>0</v>
      </c>
      <c r="BZ30" s="147">
        <f t="shared" si="23"/>
        <v>0</v>
      </c>
      <c r="CA30" s="147">
        <f t="shared" si="23"/>
        <v>0</v>
      </c>
      <c r="CB30" s="147">
        <f t="shared" si="23"/>
        <v>0</v>
      </c>
      <c r="CC30" s="147">
        <f t="shared" si="23"/>
        <v>0</v>
      </c>
      <c r="CD30" s="147">
        <f t="shared" si="23"/>
        <v>0</v>
      </c>
      <c r="CE30" s="147">
        <f t="shared" si="23"/>
        <v>0</v>
      </c>
      <c r="CF30" s="147">
        <f t="shared" si="23"/>
        <v>0</v>
      </c>
      <c r="CG30" s="147">
        <f t="shared" si="23"/>
        <v>0</v>
      </c>
      <c r="CH30" s="147">
        <f t="shared" si="23"/>
        <v>0</v>
      </c>
      <c r="CI30" s="147">
        <f t="shared" si="23"/>
        <v>0</v>
      </c>
      <c r="CJ30" s="147">
        <f t="shared" si="23"/>
        <v>0</v>
      </c>
      <c r="CK30" s="347">
        <f t="shared" si="23"/>
        <v>0</v>
      </c>
    </row>
    <row r="31" spans="1:89" outlineLevel="1" x14ac:dyDescent="0.3">
      <c r="A31" s="329"/>
      <c r="B31" s="344">
        <v>0</v>
      </c>
      <c r="C31" s="345">
        <f t="shared" si="7"/>
        <v>31</v>
      </c>
      <c r="E31" s="145">
        <f t="shared" si="25"/>
        <v>121</v>
      </c>
      <c r="F31" s="536">
        <v>0</v>
      </c>
      <c r="G31" s="537">
        <v>0</v>
      </c>
      <c r="H31" s="537">
        <v>0</v>
      </c>
      <c r="I31" s="537">
        <v>0</v>
      </c>
      <c r="J31" s="537">
        <v>0</v>
      </c>
      <c r="K31" s="537">
        <v>0</v>
      </c>
      <c r="L31" s="537">
        <v>0</v>
      </c>
      <c r="M31" s="537">
        <v>0</v>
      </c>
      <c r="N31" s="538">
        <v>0</v>
      </c>
      <c r="O31" s="147">
        <f t="shared" si="24"/>
        <v>0</v>
      </c>
      <c r="P31" s="147">
        <f t="shared" si="24"/>
        <v>0</v>
      </c>
      <c r="Q31" s="147">
        <f t="shared" si="24"/>
        <v>0</v>
      </c>
      <c r="R31" s="147">
        <f t="shared" si="24"/>
        <v>0</v>
      </c>
      <c r="S31" s="147">
        <f t="shared" si="24"/>
        <v>0</v>
      </c>
      <c r="T31" s="147">
        <f t="shared" si="24"/>
        <v>0</v>
      </c>
      <c r="U31" s="147">
        <f t="shared" si="24"/>
        <v>0</v>
      </c>
      <c r="V31" s="147">
        <f t="shared" si="24"/>
        <v>0</v>
      </c>
      <c r="W31" s="147">
        <f t="shared" si="24"/>
        <v>0</v>
      </c>
      <c r="X31" s="147">
        <f t="shared" si="24"/>
        <v>0</v>
      </c>
      <c r="Y31" s="147">
        <f t="shared" si="24"/>
        <v>0</v>
      </c>
      <c r="Z31" s="147">
        <f t="shared" si="24"/>
        <v>0</v>
      </c>
      <c r="AA31" s="147">
        <f t="shared" si="24"/>
        <v>0</v>
      </c>
      <c r="AB31" s="147">
        <f t="shared" si="24"/>
        <v>0</v>
      </c>
      <c r="AC31" s="147">
        <f t="shared" si="24"/>
        <v>0</v>
      </c>
      <c r="AD31" s="147">
        <f t="shared" si="24"/>
        <v>0</v>
      </c>
      <c r="AE31" s="147">
        <f t="shared" si="24"/>
        <v>0</v>
      </c>
      <c r="AF31" s="147">
        <f t="shared" si="24"/>
        <v>0</v>
      </c>
      <c r="AG31" s="147">
        <f t="shared" si="24"/>
        <v>0</v>
      </c>
      <c r="AH31" s="147">
        <f t="shared" si="24"/>
        <v>0</v>
      </c>
      <c r="AI31" s="147">
        <f t="shared" si="24"/>
        <v>0</v>
      </c>
      <c r="AJ31" s="147">
        <f t="shared" si="24"/>
        <v>0</v>
      </c>
      <c r="AK31" s="147">
        <f t="shared" si="24"/>
        <v>0</v>
      </c>
      <c r="AL31" s="147">
        <f t="shared" si="24"/>
        <v>0</v>
      </c>
      <c r="AM31" s="147">
        <f t="shared" si="24"/>
        <v>0</v>
      </c>
      <c r="AN31" s="147">
        <f t="shared" si="24"/>
        <v>0</v>
      </c>
      <c r="AO31" s="147">
        <f t="shared" si="24"/>
        <v>0</v>
      </c>
      <c r="AP31" s="147">
        <f t="shared" si="24"/>
        <v>0</v>
      </c>
      <c r="AQ31" s="147">
        <f t="shared" si="24"/>
        <v>0</v>
      </c>
      <c r="AR31" s="147">
        <f t="shared" si="24"/>
        <v>0</v>
      </c>
      <c r="AS31" s="147">
        <f t="shared" si="24"/>
        <v>0</v>
      </c>
      <c r="AT31" s="147">
        <f t="shared" si="24"/>
        <v>0</v>
      </c>
      <c r="AU31" s="147">
        <f t="shared" si="24"/>
        <v>0</v>
      </c>
      <c r="AV31" s="147">
        <f t="shared" si="24"/>
        <v>0</v>
      </c>
      <c r="AW31" s="147">
        <f t="shared" si="24"/>
        <v>0</v>
      </c>
      <c r="AX31" s="147">
        <f t="shared" si="24"/>
        <v>0</v>
      </c>
      <c r="AY31" s="147">
        <f t="shared" si="24"/>
        <v>0</v>
      </c>
      <c r="AZ31" s="147">
        <f t="shared" si="24"/>
        <v>0</v>
      </c>
      <c r="BA31" s="147">
        <f t="shared" si="24"/>
        <v>0</v>
      </c>
      <c r="BB31" s="147">
        <f t="shared" si="24"/>
        <v>0</v>
      </c>
      <c r="BC31" s="147">
        <f t="shared" si="24"/>
        <v>0</v>
      </c>
      <c r="BD31" s="147">
        <f t="shared" si="24"/>
        <v>0</v>
      </c>
      <c r="BE31" s="147">
        <f t="shared" si="24"/>
        <v>0</v>
      </c>
      <c r="BF31" s="147">
        <f t="shared" si="24"/>
        <v>0</v>
      </c>
      <c r="BG31" s="147">
        <f t="shared" si="24"/>
        <v>0</v>
      </c>
      <c r="BH31" s="147">
        <f t="shared" si="24"/>
        <v>0</v>
      </c>
      <c r="BI31" s="147">
        <f t="shared" si="24"/>
        <v>0</v>
      </c>
      <c r="BJ31" s="147">
        <f t="shared" si="24"/>
        <v>0</v>
      </c>
      <c r="BK31" s="147">
        <f t="shared" si="24"/>
        <v>0</v>
      </c>
      <c r="BL31" s="147">
        <f t="shared" si="24"/>
        <v>0</v>
      </c>
      <c r="BM31" s="147">
        <f t="shared" si="24"/>
        <v>0</v>
      </c>
      <c r="BN31" s="147">
        <f t="shared" si="24"/>
        <v>0</v>
      </c>
      <c r="BO31" s="147">
        <f t="shared" si="24"/>
        <v>0</v>
      </c>
      <c r="BP31" s="147">
        <f t="shared" si="24"/>
        <v>0</v>
      </c>
      <c r="BQ31" s="147">
        <f t="shared" si="24"/>
        <v>0</v>
      </c>
      <c r="BR31" s="147">
        <f t="shared" si="24"/>
        <v>0</v>
      </c>
      <c r="BS31" s="147">
        <f t="shared" si="24"/>
        <v>0</v>
      </c>
      <c r="BT31" s="147">
        <f t="shared" si="24"/>
        <v>0</v>
      </c>
      <c r="BU31" s="147">
        <f t="shared" si="24"/>
        <v>0</v>
      </c>
      <c r="BV31" s="147">
        <f t="shared" si="24"/>
        <v>0</v>
      </c>
      <c r="BW31" s="147">
        <f t="shared" si="23"/>
        <v>0</v>
      </c>
      <c r="BX31" s="147">
        <f t="shared" si="23"/>
        <v>0</v>
      </c>
      <c r="BY31" s="147">
        <f t="shared" si="23"/>
        <v>0</v>
      </c>
      <c r="BZ31" s="147">
        <f t="shared" si="23"/>
        <v>0</v>
      </c>
      <c r="CA31" s="147">
        <f t="shared" si="23"/>
        <v>0</v>
      </c>
      <c r="CB31" s="147">
        <f t="shared" si="23"/>
        <v>0</v>
      </c>
      <c r="CC31" s="147">
        <f t="shared" si="23"/>
        <v>0</v>
      </c>
      <c r="CD31" s="147">
        <f t="shared" si="23"/>
        <v>0</v>
      </c>
      <c r="CE31" s="147">
        <f t="shared" si="23"/>
        <v>0</v>
      </c>
      <c r="CF31" s="147">
        <f t="shared" si="23"/>
        <v>0</v>
      </c>
      <c r="CG31" s="147">
        <f t="shared" si="23"/>
        <v>0</v>
      </c>
      <c r="CH31" s="147">
        <f t="shared" si="23"/>
        <v>0</v>
      </c>
      <c r="CI31" s="147">
        <f t="shared" si="23"/>
        <v>0</v>
      </c>
      <c r="CJ31" s="147">
        <f t="shared" si="23"/>
        <v>0</v>
      </c>
      <c r="CK31" s="347">
        <f t="shared" si="23"/>
        <v>0</v>
      </c>
    </row>
    <row r="32" spans="1:89" outlineLevel="1" x14ac:dyDescent="0.3">
      <c r="A32" s="329"/>
      <c r="B32" s="344">
        <v>0</v>
      </c>
      <c r="C32" s="345">
        <f t="shared" si="7"/>
        <v>31</v>
      </c>
      <c r="E32" s="145">
        <f>+EOMONTH(B32, $D$4)</f>
        <v>121</v>
      </c>
      <c r="F32" s="536">
        <v>0</v>
      </c>
      <c r="G32" s="537">
        <v>0</v>
      </c>
      <c r="H32" s="537">
        <v>0</v>
      </c>
      <c r="I32" s="537">
        <v>0</v>
      </c>
      <c r="J32" s="537">
        <v>0</v>
      </c>
      <c r="K32" s="537">
        <v>0</v>
      </c>
      <c r="L32" s="537">
        <v>0</v>
      </c>
      <c r="M32" s="537">
        <v>0</v>
      </c>
      <c r="N32" s="538">
        <v>0</v>
      </c>
      <c r="O32" s="147">
        <f t="shared" si="24"/>
        <v>0</v>
      </c>
      <c r="P32" s="147">
        <f t="shared" si="24"/>
        <v>0</v>
      </c>
      <c r="Q32" s="147">
        <f t="shared" si="24"/>
        <v>0</v>
      </c>
      <c r="R32" s="147">
        <f t="shared" si="24"/>
        <v>0</v>
      </c>
      <c r="S32" s="147">
        <f t="shared" si="24"/>
        <v>0</v>
      </c>
      <c r="T32" s="147">
        <f t="shared" si="24"/>
        <v>0</v>
      </c>
      <c r="U32" s="147">
        <f t="shared" si="24"/>
        <v>0</v>
      </c>
      <c r="V32" s="147">
        <f t="shared" si="24"/>
        <v>0</v>
      </c>
      <c r="W32" s="147">
        <f t="shared" si="24"/>
        <v>0</v>
      </c>
      <c r="X32" s="147">
        <f t="shared" si="24"/>
        <v>0</v>
      </c>
      <c r="Y32" s="147">
        <f t="shared" si="24"/>
        <v>0</v>
      </c>
      <c r="Z32" s="147">
        <f t="shared" si="24"/>
        <v>0</v>
      </c>
      <c r="AA32" s="147">
        <f t="shared" si="24"/>
        <v>0</v>
      </c>
      <c r="AB32" s="147">
        <f t="shared" si="24"/>
        <v>0</v>
      </c>
      <c r="AC32" s="147">
        <f t="shared" si="24"/>
        <v>0</v>
      </c>
      <c r="AD32" s="147">
        <f t="shared" si="24"/>
        <v>0</v>
      </c>
      <c r="AE32" s="147">
        <f t="shared" si="24"/>
        <v>0</v>
      </c>
      <c r="AF32" s="147">
        <f t="shared" si="24"/>
        <v>0</v>
      </c>
      <c r="AG32" s="147">
        <f t="shared" si="24"/>
        <v>0</v>
      </c>
      <c r="AH32" s="147">
        <f t="shared" si="24"/>
        <v>0</v>
      </c>
      <c r="AI32" s="147">
        <f t="shared" si="24"/>
        <v>0</v>
      </c>
      <c r="AJ32" s="147">
        <f t="shared" si="24"/>
        <v>0</v>
      </c>
      <c r="AK32" s="147">
        <f t="shared" si="24"/>
        <v>0</v>
      </c>
      <c r="AL32" s="147">
        <f t="shared" si="24"/>
        <v>0</v>
      </c>
      <c r="AM32" s="147">
        <f t="shared" si="24"/>
        <v>0</v>
      </c>
      <c r="AN32" s="147">
        <f t="shared" si="24"/>
        <v>0</v>
      </c>
      <c r="AO32" s="147">
        <f t="shared" si="24"/>
        <v>0</v>
      </c>
      <c r="AP32" s="147">
        <f t="shared" si="24"/>
        <v>0</v>
      </c>
      <c r="AQ32" s="147">
        <f t="shared" si="24"/>
        <v>0</v>
      </c>
      <c r="AR32" s="147">
        <f t="shared" si="24"/>
        <v>0</v>
      </c>
      <c r="AS32" s="147">
        <f t="shared" si="24"/>
        <v>0</v>
      </c>
      <c r="AT32" s="147">
        <f t="shared" si="24"/>
        <v>0</v>
      </c>
      <c r="AU32" s="147">
        <f t="shared" si="24"/>
        <v>0</v>
      </c>
      <c r="AV32" s="147">
        <f t="shared" si="24"/>
        <v>0</v>
      </c>
      <c r="AW32" s="147">
        <f t="shared" si="24"/>
        <v>0</v>
      </c>
      <c r="AX32" s="147">
        <f t="shared" si="24"/>
        <v>0</v>
      </c>
      <c r="AY32" s="147">
        <f t="shared" si="24"/>
        <v>0</v>
      </c>
      <c r="AZ32" s="147">
        <f t="shared" si="24"/>
        <v>0</v>
      </c>
      <c r="BA32" s="147">
        <f t="shared" si="24"/>
        <v>0</v>
      </c>
      <c r="BB32" s="147">
        <f t="shared" si="24"/>
        <v>0</v>
      </c>
      <c r="BC32" s="147">
        <f t="shared" si="24"/>
        <v>0</v>
      </c>
      <c r="BD32" s="147">
        <f t="shared" si="24"/>
        <v>0</v>
      </c>
      <c r="BE32" s="147">
        <f t="shared" si="24"/>
        <v>0</v>
      </c>
      <c r="BF32" s="147">
        <f t="shared" si="24"/>
        <v>0</v>
      </c>
      <c r="BG32" s="147">
        <f t="shared" si="24"/>
        <v>0</v>
      </c>
      <c r="BH32" s="147">
        <f t="shared" si="24"/>
        <v>0</v>
      </c>
      <c r="BI32" s="147">
        <f t="shared" si="24"/>
        <v>0</v>
      </c>
      <c r="BJ32" s="147">
        <f t="shared" si="24"/>
        <v>0</v>
      </c>
      <c r="BK32" s="147">
        <f t="shared" si="24"/>
        <v>0</v>
      </c>
      <c r="BL32" s="147">
        <f t="shared" si="24"/>
        <v>0</v>
      </c>
      <c r="BM32" s="147">
        <f t="shared" si="24"/>
        <v>0</v>
      </c>
      <c r="BN32" s="147">
        <f t="shared" si="24"/>
        <v>0</v>
      </c>
      <c r="BO32" s="147">
        <f t="shared" si="24"/>
        <v>0</v>
      </c>
      <c r="BP32" s="147">
        <f t="shared" si="24"/>
        <v>0</v>
      </c>
      <c r="BQ32" s="147">
        <f t="shared" si="24"/>
        <v>0</v>
      </c>
      <c r="BR32" s="147">
        <f t="shared" si="24"/>
        <v>0</v>
      </c>
      <c r="BS32" s="147">
        <f t="shared" si="24"/>
        <v>0</v>
      </c>
      <c r="BT32" s="147">
        <f t="shared" si="24"/>
        <v>0</v>
      </c>
      <c r="BU32" s="147">
        <f t="shared" si="24"/>
        <v>0</v>
      </c>
      <c r="BV32" s="147">
        <f t="shared" ref="BV32:CK35" si="26">+IF(AND($B32&lt;BV$2, $E32&gt;BV$2), $A32/$D$4, 0)</f>
        <v>0</v>
      </c>
      <c r="BW32" s="147">
        <f t="shared" si="26"/>
        <v>0</v>
      </c>
      <c r="BX32" s="147">
        <f t="shared" si="26"/>
        <v>0</v>
      </c>
      <c r="BY32" s="147">
        <f t="shared" si="26"/>
        <v>0</v>
      </c>
      <c r="BZ32" s="147">
        <f t="shared" si="26"/>
        <v>0</v>
      </c>
      <c r="CA32" s="147">
        <f t="shared" si="26"/>
        <v>0</v>
      </c>
      <c r="CB32" s="147">
        <f t="shared" si="26"/>
        <v>0</v>
      </c>
      <c r="CC32" s="147">
        <f t="shared" si="26"/>
        <v>0</v>
      </c>
      <c r="CD32" s="147">
        <f t="shared" si="26"/>
        <v>0</v>
      </c>
      <c r="CE32" s="147">
        <f t="shared" si="26"/>
        <v>0</v>
      </c>
      <c r="CF32" s="147">
        <f t="shared" si="26"/>
        <v>0</v>
      </c>
      <c r="CG32" s="147">
        <f t="shared" si="26"/>
        <v>0</v>
      </c>
      <c r="CH32" s="147">
        <f t="shared" si="26"/>
        <v>0</v>
      </c>
      <c r="CI32" s="147">
        <f t="shared" si="26"/>
        <v>0</v>
      </c>
      <c r="CJ32" s="147">
        <f t="shared" si="26"/>
        <v>0</v>
      </c>
      <c r="CK32" s="347">
        <f t="shared" si="26"/>
        <v>0</v>
      </c>
    </row>
    <row r="33" spans="1:89" outlineLevel="1" x14ac:dyDescent="0.3">
      <c r="A33" s="329"/>
      <c r="B33" s="344">
        <v>0</v>
      </c>
      <c r="C33" s="345">
        <f t="shared" si="7"/>
        <v>31</v>
      </c>
      <c r="E33" s="145">
        <f t="shared" ref="E33" si="27">+EOMONTH(B33, $D$4)</f>
        <v>121</v>
      </c>
      <c r="F33" s="536">
        <v>0</v>
      </c>
      <c r="G33" s="537">
        <v>0</v>
      </c>
      <c r="H33" s="537">
        <v>0</v>
      </c>
      <c r="I33" s="537">
        <v>0</v>
      </c>
      <c r="J33" s="537">
        <v>0</v>
      </c>
      <c r="K33" s="537">
        <v>0</v>
      </c>
      <c r="L33" s="537">
        <v>0</v>
      </c>
      <c r="M33" s="537">
        <v>0</v>
      </c>
      <c r="N33" s="538">
        <v>0</v>
      </c>
      <c r="O33" s="147">
        <f t="shared" ref="O33:BV35" si="28">+IF(AND($B33&lt;O$2, $E33&gt;O$2), $A33/$D$4, 0)</f>
        <v>0</v>
      </c>
      <c r="P33" s="147">
        <f t="shared" si="28"/>
        <v>0</v>
      </c>
      <c r="Q33" s="147">
        <f t="shared" si="28"/>
        <v>0</v>
      </c>
      <c r="R33" s="147">
        <f t="shared" si="28"/>
        <v>0</v>
      </c>
      <c r="S33" s="147">
        <f t="shared" si="28"/>
        <v>0</v>
      </c>
      <c r="T33" s="147">
        <f t="shared" si="28"/>
        <v>0</v>
      </c>
      <c r="U33" s="147">
        <f t="shared" si="28"/>
        <v>0</v>
      </c>
      <c r="V33" s="147">
        <f t="shared" si="28"/>
        <v>0</v>
      </c>
      <c r="W33" s="147">
        <f t="shared" si="28"/>
        <v>0</v>
      </c>
      <c r="X33" s="147">
        <f t="shared" si="28"/>
        <v>0</v>
      </c>
      <c r="Y33" s="147">
        <f t="shared" si="28"/>
        <v>0</v>
      </c>
      <c r="Z33" s="147">
        <f t="shared" si="28"/>
        <v>0</v>
      </c>
      <c r="AA33" s="147">
        <f t="shared" si="28"/>
        <v>0</v>
      </c>
      <c r="AB33" s="147">
        <f t="shared" si="28"/>
        <v>0</v>
      </c>
      <c r="AC33" s="147">
        <f t="shared" si="28"/>
        <v>0</v>
      </c>
      <c r="AD33" s="147">
        <f t="shared" si="28"/>
        <v>0</v>
      </c>
      <c r="AE33" s="147">
        <f t="shared" si="28"/>
        <v>0</v>
      </c>
      <c r="AF33" s="147">
        <f t="shared" si="28"/>
        <v>0</v>
      </c>
      <c r="AG33" s="147">
        <f t="shared" si="28"/>
        <v>0</v>
      </c>
      <c r="AH33" s="147">
        <f t="shared" si="28"/>
        <v>0</v>
      </c>
      <c r="AI33" s="147">
        <f t="shared" si="28"/>
        <v>0</v>
      </c>
      <c r="AJ33" s="147">
        <f t="shared" si="28"/>
        <v>0</v>
      </c>
      <c r="AK33" s="147">
        <f t="shared" si="28"/>
        <v>0</v>
      </c>
      <c r="AL33" s="147">
        <f t="shared" si="28"/>
        <v>0</v>
      </c>
      <c r="AM33" s="147">
        <f t="shared" si="28"/>
        <v>0</v>
      </c>
      <c r="AN33" s="147">
        <f t="shared" si="28"/>
        <v>0</v>
      </c>
      <c r="AO33" s="147">
        <f t="shared" si="28"/>
        <v>0</v>
      </c>
      <c r="AP33" s="147">
        <f t="shared" si="28"/>
        <v>0</v>
      </c>
      <c r="AQ33" s="147">
        <f t="shared" si="28"/>
        <v>0</v>
      </c>
      <c r="AR33" s="147">
        <f t="shared" si="28"/>
        <v>0</v>
      </c>
      <c r="AS33" s="147">
        <f t="shared" si="28"/>
        <v>0</v>
      </c>
      <c r="AT33" s="147">
        <f t="shared" si="28"/>
        <v>0</v>
      </c>
      <c r="AU33" s="147">
        <f t="shared" si="28"/>
        <v>0</v>
      </c>
      <c r="AV33" s="147">
        <f t="shared" si="28"/>
        <v>0</v>
      </c>
      <c r="AW33" s="147">
        <f t="shared" si="28"/>
        <v>0</v>
      </c>
      <c r="AX33" s="147">
        <f t="shared" si="28"/>
        <v>0</v>
      </c>
      <c r="AY33" s="147">
        <f t="shared" si="28"/>
        <v>0</v>
      </c>
      <c r="AZ33" s="147">
        <f t="shared" si="28"/>
        <v>0</v>
      </c>
      <c r="BA33" s="147">
        <f t="shared" si="28"/>
        <v>0</v>
      </c>
      <c r="BB33" s="147">
        <f t="shared" si="28"/>
        <v>0</v>
      </c>
      <c r="BC33" s="147">
        <f t="shared" si="28"/>
        <v>0</v>
      </c>
      <c r="BD33" s="147">
        <f t="shared" si="28"/>
        <v>0</v>
      </c>
      <c r="BE33" s="147">
        <f t="shared" si="28"/>
        <v>0</v>
      </c>
      <c r="BF33" s="147">
        <f t="shared" si="28"/>
        <v>0</v>
      </c>
      <c r="BG33" s="147">
        <f t="shared" si="28"/>
        <v>0</v>
      </c>
      <c r="BH33" s="147">
        <f t="shared" si="28"/>
        <v>0</v>
      </c>
      <c r="BI33" s="147">
        <f t="shared" si="28"/>
        <v>0</v>
      </c>
      <c r="BJ33" s="147">
        <f t="shared" si="28"/>
        <v>0</v>
      </c>
      <c r="BK33" s="147">
        <f t="shared" si="28"/>
        <v>0</v>
      </c>
      <c r="BL33" s="147">
        <f t="shared" si="28"/>
        <v>0</v>
      </c>
      <c r="BM33" s="147">
        <f t="shared" si="28"/>
        <v>0</v>
      </c>
      <c r="BN33" s="147">
        <f t="shared" si="28"/>
        <v>0</v>
      </c>
      <c r="BO33" s="147">
        <f t="shared" si="28"/>
        <v>0</v>
      </c>
      <c r="BP33" s="147">
        <f t="shared" si="28"/>
        <v>0</v>
      </c>
      <c r="BQ33" s="147">
        <f t="shared" si="28"/>
        <v>0</v>
      </c>
      <c r="BR33" s="147">
        <f t="shared" si="28"/>
        <v>0</v>
      </c>
      <c r="BS33" s="147">
        <f t="shared" si="28"/>
        <v>0</v>
      </c>
      <c r="BT33" s="147">
        <f t="shared" si="28"/>
        <v>0</v>
      </c>
      <c r="BU33" s="147">
        <f t="shared" si="28"/>
        <v>0</v>
      </c>
      <c r="BV33" s="147">
        <f t="shared" si="28"/>
        <v>0</v>
      </c>
      <c r="BW33" s="147">
        <f t="shared" si="26"/>
        <v>0</v>
      </c>
      <c r="BX33" s="147">
        <f t="shared" si="26"/>
        <v>0</v>
      </c>
      <c r="BY33" s="147">
        <f t="shared" si="26"/>
        <v>0</v>
      </c>
      <c r="BZ33" s="147">
        <f t="shared" si="26"/>
        <v>0</v>
      </c>
      <c r="CA33" s="147">
        <f t="shared" si="26"/>
        <v>0</v>
      </c>
      <c r="CB33" s="147">
        <f t="shared" si="26"/>
        <v>0</v>
      </c>
      <c r="CC33" s="147">
        <f t="shared" si="26"/>
        <v>0</v>
      </c>
      <c r="CD33" s="147">
        <f t="shared" si="26"/>
        <v>0</v>
      </c>
      <c r="CE33" s="147">
        <f t="shared" si="26"/>
        <v>0</v>
      </c>
      <c r="CF33" s="147">
        <f t="shared" si="26"/>
        <v>0</v>
      </c>
      <c r="CG33" s="147">
        <f t="shared" si="26"/>
        <v>0</v>
      </c>
      <c r="CH33" s="147">
        <f t="shared" si="26"/>
        <v>0</v>
      </c>
      <c r="CI33" s="147">
        <f t="shared" si="26"/>
        <v>0</v>
      </c>
      <c r="CJ33" s="147">
        <f t="shared" si="26"/>
        <v>0</v>
      </c>
      <c r="CK33" s="347">
        <f t="shared" si="26"/>
        <v>0</v>
      </c>
    </row>
    <row r="34" spans="1:89" outlineLevel="1" x14ac:dyDescent="0.3">
      <c r="A34" s="329"/>
      <c r="B34" s="344">
        <v>0</v>
      </c>
      <c r="C34" s="345">
        <f t="shared" si="7"/>
        <v>31</v>
      </c>
      <c r="E34" s="145">
        <f>+EOMONTH(B34, $D$4)</f>
        <v>121</v>
      </c>
      <c r="F34" s="536">
        <v>0</v>
      </c>
      <c r="G34" s="537">
        <v>0</v>
      </c>
      <c r="H34" s="537">
        <v>0</v>
      </c>
      <c r="I34" s="537">
        <v>0</v>
      </c>
      <c r="J34" s="537">
        <v>0</v>
      </c>
      <c r="K34" s="537">
        <v>0</v>
      </c>
      <c r="L34" s="537">
        <v>0</v>
      </c>
      <c r="M34" s="537">
        <v>0</v>
      </c>
      <c r="N34" s="538">
        <v>0</v>
      </c>
      <c r="O34" s="147">
        <f t="shared" si="28"/>
        <v>0</v>
      </c>
      <c r="P34" s="147">
        <f t="shared" si="28"/>
        <v>0</v>
      </c>
      <c r="Q34" s="147">
        <f t="shared" si="28"/>
        <v>0</v>
      </c>
      <c r="R34" s="147">
        <f t="shared" si="28"/>
        <v>0</v>
      </c>
      <c r="S34" s="147">
        <f t="shared" si="28"/>
        <v>0</v>
      </c>
      <c r="T34" s="147">
        <f t="shared" si="28"/>
        <v>0</v>
      </c>
      <c r="U34" s="147">
        <f t="shared" si="28"/>
        <v>0</v>
      </c>
      <c r="V34" s="147">
        <f t="shared" si="28"/>
        <v>0</v>
      </c>
      <c r="W34" s="147">
        <f t="shared" si="28"/>
        <v>0</v>
      </c>
      <c r="X34" s="147">
        <f t="shared" si="28"/>
        <v>0</v>
      </c>
      <c r="Y34" s="147">
        <f t="shared" si="28"/>
        <v>0</v>
      </c>
      <c r="Z34" s="147">
        <f t="shared" si="28"/>
        <v>0</v>
      </c>
      <c r="AA34" s="147">
        <f t="shared" si="28"/>
        <v>0</v>
      </c>
      <c r="AB34" s="147">
        <f t="shared" si="28"/>
        <v>0</v>
      </c>
      <c r="AC34" s="147">
        <f t="shared" si="28"/>
        <v>0</v>
      </c>
      <c r="AD34" s="147">
        <f t="shared" si="28"/>
        <v>0</v>
      </c>
      <c r="AE34" s="147">
        <f t="shared" si="28"/>
        <v>0</v>
      </c>
      <c r="AF34" s="147">
        <f t="shared" si="28"/>
        <v>0</v>
      </c>
      <c r="AG34" s="147">
        <f t="shared" si="28"/>
        <v>0</v>
      </c>
      <c r="AH34" s="147">
        <f t="shared" si="28"/>
        <v>0</v>
      </c>
      <c r="AI34" s="147">
        <f t="shared" si="28"/>
        <v>0</v>
      </c>
      <c r="AJ34" s="147">
        <f t="shared" si="28"/>
        <v>0</v>
      </c>
      <c r="AK34" s="147">
        <f t="shared" si="28"/>
        <v>0</v>
      </c>
      <c r="AL34" s="147">
        <f t="shared" si="28"/>
        <v>0</v>
      </c>
      <c r="AM34" s="147">
        <f t="shared" si="28"/>
        <v>0</v>
      </c>
      <c r="AN34" s="147">
        <f t="shared" si="28"/>
        <v>0</v>
      </c>
      <c r="AO34" s="147">
        <f t="shared" si="28"/>
        <v>0</v>
      </c>
      <c r="AP34" s="147">
        <f t="shared" si="28"/>
        <v>0</v>
      </c>
      <c r="AQ34" s="147">
        <f t="shared" si="28"/>
        <v>0</v>
      </c>
      <c r="AR34" s="147">
        <f t="shared" si="28"/>
        <v>0</v>
      </c>
      <c r="AS34" s="147">
        <f t="shared" si="28"/>
        <v>0</v>
      </c>
      <c r="AT34" s="147">
        <f t="shared" si="28"/>
        <v>0</v>
      </c>
      <c r="AU34" s="147">
        <f t="shared" si="28"/>
        <v>0</v>
      </c>
      <c r="AV34" s="147">
        <f t="shared" si="28"/>
        <v>0</v>
      </c>
      <c r="AW34" s="147">
        <f t="shared" si="28"/>
        <v>0</v>
      </c>
      <c r="AX34" s="147">
        <f t="shared" si="28"/>
        <v>0</v>
      </c>
      <c r="AY34" s="147">
        <f t="shared" si="28"/>
        <v>0</v>
      </c>
      <c r="AZ34" s="147">
        <f t="shared" si="28"/>
        <v>0</v>
      </c>
      <c r="BA34" s="147">
        <f t="shared" si="28"/>
        <v>0</v>
      </c>
      <c r="BB34" s="147">
        <f t="shared" si="28"/>
        <v>0</v>
      </c>
      <c r="BC34" s="147">
        <f t="shared" si="28"/>
        <v>0</v>
      </c>
      <c r="BD34" s="147">
        <f t="shared" si="28"/>
        <v>0</v>
      </c>
      <c r="BE34" s="147">
        <f t="shared" si="28"/>
        <v>0</v>
      </c>
      <c r="BF34" s="147">
        <f t="shared" si="28"/>
        <v>0</v>
      </c>
      <c r="BG34" s="147">
        <f t="shared" si="28"/>
        <v>0</v>
      </c>
      <c r="BH34" s="147">
        <f t="shared" si="28"/>
        <v>0</v>
      </c>
      <c r="BI34" s="147">
        <f t="shared" si="28"/>
        <v>0</v>
      </c>
      <c r="BJ34" s="147">
        <f t="shared" si="28"/>
        <v>0</v>
      </c>
      <c r="BK34" s="147">
        <f t="shared" si="28"/>
        <v>0</v>
      </c>
      <c r="BL34" s="147">
        <f t="shared" si="28"/>
        <v>0</v>
      </c>
      <c r="BM34" s="147">
        <f t="shared" si="28"/>
        <v>0</v>
      </c>
      <c r="BN34" s="147">
        <f t="shared" si="28"/>
        <v>0</v>
      </c>
      <c r="BO34" s="147">
        <f t="shared" si="28"/>
        <v>0</v>
      </c>
      <c r="BP34" s="147">
        <f t="shared" si="28"/>
        <v>0</v>
      </c>
      <c r="BQ34" s="147">
        <f t="shared" si="28"/>
        <v>0</v>
      </c>
      <c r="BR34" s="147">
        <f t="shared" si="28"/>
        <v>0</v>
      </c>
      <c r="BS34" s="147">
        <f t="shared" si="28"/>
        <v>0</v>
      </c>
      <c r="BT34" s="147">
        <f t="shared" si="28"/>
        <v>0</v>
      </c>
      <c r="BU34" s="147">
        <f t="shared" si="28"/>
        <v>0</v>
      </c>
      <c r="BV34" s="147">
        <f t="shared" si="28"/>
        <v>0</v>
      </c>
      <c r="BW34" s="147">
        <f t="shared" si="26"/>
        <v>0</v>
      </c>
      <c r="BX34" s="147">
        <f t="shared" si="26"/>
        <v>0</v>
      </c>
      <c r="BY34" s="147">
        <f t="shared" si="26"/>
        <v>0</v>
      </c>
      <c r="BZ34" s="147">
        <f t="shared" si="26"/>
        <v>0</v>
      </c>
      <c r="CA34" s="147">
        <f t="shared" si="26"/>
        <v>0</v>
      </c>
      <c r="CB34" s="147">
        <f t="shared" si="26"/>
        <v>0</v>
      </c>
      <c r="CC34" s="147">
        <f t="shared" si="26"/>
        <v>0</v>
      </c>
      <c r="CD34" s="147">
        <f t="shared" si="26"/>
        <v>0</v>
      </c>
      <c r="CE34" s="147">
        <f t="shared" si="26"/>
        <v>0</v>
      </c>
      <c r="CF34" s="147">
        <f t="shared" si="26"/>
        <v>0</v>
      </c>
      <c r="CG34" s="147">
        <f t="shared" si="26"/>
        <v>0</v>
      </c>
      <c r="CH34" s="147">
        <f t="shared" si="26"/>
        <v>0</v>
      </c>
      <c r="CI34" s="147">
        <f t="shared" si="26"/>
        <v>0</v>
      </c>
      <c r="CJ34" s="147">
        <f t="shared" si="26"/>
        <v>0</v>
      </c>
      <c r="CK34" s="347">
        <f t="shared" si="26"/>
        <v>0</v>
      </c>
    </row>
    <row r="35" spans="1:89" outlineLevel="1" x14ac:dyDescent="0.3">
      <c r="A35" s="329"/>
      <c r="B35" s="344">
        <v>0</v>
      </c>
      <c r="C35" s="345">
        <f t="shared" si="7"/>
        <v>31</v>
      </c>
      <c r="E35" s="145">
        <f t="shared" ref="E35" si="29">+EOMONTH(B35, $D$4)</f>
        <v>121</v>
      </c>
      <c r="F35" s="536">
        <v>0</v>
      </c>
      <c r="G35" s="537">
        <v>0</v>
      </c>
      <c r="H35" s="537">
        <v>0</v>
      </c>
      <c r="I35" s="537">
        <v>0</v>
      </c>
      <c r="J35" s="537">
        <v>0</v>
      </c>
      <c r="K35" s="537">
        <v>0</v>
      </c>
      <c r="L35" s="537">
        <v>0</v>
      </c>
      <c r="M35" s="537">
        <v>0</v>
      </c>
      <c r="N35" s="538">
        <v>0</v>
      </c>
      <c r="O35" s="147">
        <f t="shared" si="28"/>
        <v>0</v>
      </c>
      <c r="P35" s="147">
        <f t="shared" si="28"/>
        <v>0</v>
      </c>
      <c r="Q35" s="147">
        <f t="shared" si="28"/>
        <v>0</v>
      </c>
      <c r="R35" s="147">
        <f t="shared" si="28"/>
        <v>0</v>
      </c>
      <c r="S35" s="147">
        <f t="shared" si="28"/>
        <v>0</v>
      </c>
      <c r="T35" s="147">
        <f t="shared" si="28"/>
        <v>0</v>
      </c>
      <c r="U35" s="147">
        <f t="shared" si="28"/>
        <v>0</v>
      </c>
      <c r="V35" s="147">
        <f t="shared" si="28"/>
        <v>0</v>
      </c>
      <c r="W35" s="147">
        <f t="shared" si="28"/>
        <v>0</v>
      </c>
      <c r="X35" s="147">
        <f t="shared" si="28"/>
        <v>0</v>
      </c>
      <c r="Y35" s="147">
        <f t="shared" si="28"/>
        <v>0</v>
      </c>
      <c r="Z35" s="147">
        <f t="shared" si="28"/>
        <v>0</v>
      </c>
      <c r="AA35" s="147">
        <f t="shared" si="28"/>
        <v>0</v>
      </c>
      <c r="AB35" s="147">
        <f t="shared" si="28"/>
        <v>0</v>
      </c>
      <c r="AC35" s="147">
        <f t="shared" si="28"/>
        <v>0</v>
      </c>
      <c r="AD35" s="147">
        <f t="shared" si="28"/>
        <v>0</v>
      </c>
      <c r="AE35" s="147">
        <f t="shared" si="28"/>
        <v>0</v>
      </c>
      <c r="AF35" s="147">
        <f t="shared" si="28"/>
        <v>0</v>
      </c>
      <c r="AG35" s="147">
        <f t="shared" si="28"/>
        <v>0</v>
      </c>
      <c r="AH35" s="147">
        <f t="shared" si="28"/>
        <v>0</v>
      </c>
      <c r="AI35" s="147">
        <f t="shared" si="28"/>
        <v>0</v>
      </c>
      <c r="AJ35" s="147">
        <f t="shared" si="28"/>
        <v>0</v>
      </c>
      <c r="AK35" s="147">
        <f t="shared" si="28"/>
        <v>0</v>
      </c>
      <c r="AL35" s="147">
        <f t="shared" si="28"/>
        <v>0</v>
      </c>
      <c r="AM35" s="147">
        <f t="shared" si="28"/>
        <v>0</v>
      </c>
      <c r="AN35" s="147">
        <f t="shared" si="28"/>
        <v>0</v>
      </c>
      <c r="AO35" s="147">
        <f t="shared" si="28"/>
        <v>0</v>
      </c>
      <c r="AP35" s="147">
        <f t="shared" si="28"/>
        <v>0</v>
      </c>
      <c r="AQ35" s="147">
        <f t="shared" si="28"/>
        <v>0</v>
      </c>
      <c r="AR35" s="147">
        <f t="shared" si="28"/>
        <v>0</v>
      </c>
      <c r="AS35" s="147">
        <f t="shared" si="28"/>
        <v>0</v>
      </c>
      <c r="AT35" s="147">
        <f t="shared" si="28"/>
        <v>0</v>
      </c>
      <c r="AU35" s="147">
        <f t="shared" si="28"/>
        <v>0</v>
      </c>
      <c r="AV35" s="147">
        <f t="shared" si="28"/>
        <v>0</v>
      </c>
      <c r="AW35" s="147">
        <f t="shared" si="28"/>
        <v>0</v>
      </c>
      <c r="AX35" s="147">
        <f t="shared" si="28"/>
        <v>0</v>
      </c>
      <c r="AY35" s="147">
        <f t="shared" si="28"/>
        <v>0</v>
      </c>
      <c r="AZ35" s="147">
        <f t="shared" si="28"/>
        <v>0</v>
      </c>
      <c r="BA35" s="147">
        <f t="shared" si="28"/>
        <v>0</v>
      </c>
      <c r="BB35" s="147">
        <f t="shared" si="28"/>
        <v>0</v>
      </c>
      <c r="BC35" s="147">
        <f t="shared" si="28"/>
        <v>0</v>
      </c>
      <c r="BD35" s="147">
        <f t="shared" si="28"/>
        <v>0</v>
      </c>
      <c r="BE35" s="147">
        <f t="shared" si="28"/>
        <v>0</v>
      </c>
      <c r="BF35" s="147">
        <f t="shared" si="28"/>
        <v>0</v>
      </c>
      <c r="BG35" s="147">
        <f t="shared" si="28"/>
        <v>0</v>
      </c>
      <c r="BH35" s="147">
        <f t="shared" si="28"/>
        <v>0</v>
      </c>
      <c r="BI35" s="147">
        <f t="shared" si="28"/>
        <v>0</v>
      </c>
      <c r="BJ35" s="147">
        <f t="shared" si="28"/>
        <v>0</v>
      </c>
      <c r="BK35" s="147">
        <f t="shared" si="28"/>
        <v>0</v>
      </c>
      <c r="BL35" s="147">
        <f t="shared" si="28"/>
        <v>0</v>
      </c>
      <c r="BM35" s="147">
        <f t="shared" si="28"/>
        <v>0</v>
      </c>
      <c r="BN35" s="147">
        <f t="shared" si="28"/>
        <v>0</v>
      </c>
      <c r="BO35" s="147">
        <f t="shared" si="28"/>
        <v>0</v>
      </c>
      <c r="BP35" s="147">
        <f t="shared" si="28"/>
        <v>0</v>
      </c>
      <c r="BQ35" s="147">
        <f t="shared" si="28"/>
        <v>0</v>
      </c>
      <c r="BR35" s="147">
        <f t="shared" si="28"/>
        <v>0</v>
      </c>
      <c r="BS35" s="147">
        <f t="shared" si="28"/>
        <v>0</v>
      </c>
      <c r="BT35" s="147">
        <f t="shared" si="28"/>
        <v>0</v>
      </c>
      <c r="BU35" s="147">
        <f t="shared" si="28"/>
        <v>0</v>
      </c>
      <c r="BV35" s="147">
        <f t="shared" si="28"/>
        <v>0</v>
      </c>
      <c r="BW35" s="147">
        <f t="shared" si="26"/>
        <v>0</v>
      </c>
      <c r="BX35" s="147">
        <f t="shared" si="26"/>
        <v>0</v>
      </c>
      <c r="BY35" s="147">
        <f t="shared" si="26"/>
        <v>0</v>
      </c>
      <c r="BZ35" s="147">
        <f t="shared" si="26"/>
        <v>0</v>
      </c>
      <c r="CA35" s="147">
        <f t="shared" si="26"/>
        <v>0</v>
      </c>
      <c r="CB35" s="147">
        <f t="shared" si="26"/>
        <v>0</v>
      </c>
      <c r="CC35" s="147">
        <f t="shared" si="26"/>
        <v>0</v>
      </c>
      <c r="CD35" s="147">
        <f t="shared" si="26"/>
        <v>0</v>
      </c>
      <c r="CE35" s="147">
        <f t="shared" si="26"/>
        <v>0</v>
      </c>
      <c r="CF35" s="147">
        <f t="shared" si="26"/>
        <v>0</v>
      </c>
      <c r="CG35" s="147">
        <f t="shared" si="26"/>
        <v>0</v>
      </c>
      <c r="CH35" s="147">
        <f t="shared" si="26"/>
        <v>0</v>
      </c>
      <c r="CI35" s="147">
        <f t="shared" si="26"/>
        <v>0</v>
      </c>
      <c r="CJ35" s="147">
        <f t="shared" si="26"/>
        <v>0</v>
      </c>
      <c r="CK35" s="347">
        <f t="shared" si="26"/>
        <v>0</v>
      </c>
    </row>
    <row r="36" spans="1:89" x14ac:dyDescent="0.3">
      <c r="A36" s="329"/>
      <c r="F36" s="329"/>
      <c r="N36" s="162"/>
      <c r="CK36" s="162"/>
    </row>
    <row r="37" spans="1:89" x14ac:dyDescent="0.3">
      <c r="A37" s="329"/>
      <c r="F37" s="329"/>
      <c r="N37" s="162"/>
      <c r="CK37" s="162"/>
    </row>
    <row r="38" spans="1:89" x14ac:dyDescent="0.3">
      <c r="A38" s="329"/>
      <c r="D38" s="7" t="s">
        <v>348</v>
      </c>
      <c r="F38" s="348">
        <f>+SUM(F9:F35)</f>
        <v>0</v>
      </c>
      <c r="G38" s="349">
        <f>+SUM(G9:G35)</f>
        <v>0</v>
      </c>
      <c r="H38" s="349">
        <f>+SUM(H9:H35)</f>
        <v>0</v>
      </c>
      <c r="I38" s="349">
        <f>+SUM(I9:I35)</f>
        <v>0</v>
      </c>
      <c r="J38" s="379">
        <v>5464.32</v>
      </c>
      <c r="K38" s="379">
        <v>10928.64</v>
      </c>
      <c r="L38" s="379">
        <v>700</v>
      </c>
      <c r="M38" s="379">
        <f>29532+13800+1500+1065</f>
        <v>45897</v>
      </c>
      <c r="N38" s="533">
        <f>45810.3+3200</f>
        <v>49010.3</v>
      </c>
      <c r="O38" s="349">
        <f t="shared" ref="O38:AT38" si="30">+SUM(O9:O35)</f>
        <v>59081.11</v>
      </c>
      <c r="P38" s="349">
        <f t="shared" si="30"/>
        <v>22716.666666666664</v>
      </c>
      <c r="Q38" s="349">
        <f t="shared" si="30"/>
        <v>10000</v>
      </c>
      <c r="R38" s="349">
        <f t="shared" si="30"/>
        <v>30000</v>
      </c>
      <c r="S38" s="349">
        <f t="shared" si="30"/>
        <v>30000</v>
      </c>
      <c r="T38" s="349">
        <f t="shared" si="30"/>
        <v>30000</v>
      </c>
      <c r="U38" s="349">
        <f t="shared" si="30"/>
        <v>30000</v>
      </c>
      <c r="V38" s="349">
        <f t="shared" si="30"/>
        <v>30000</v>
      </c>
      <c r="W38" s="349">
        <f t="shared" si="30"/>
        <v>30000</v>
      </c>
      <c r="X38" s="349">
        <f t="shared" si="30"/>
        <v>30000</v>
      </c>
      <c r="Y38" s="349">
        <f t="shared" si="30"/>
        <v>30000</v>
      </c>
      <c r="Z38" s="349">
        <f t="shared" si="30"/>
        <v>30000</v>
      </c>
      <c r="AA38" s="349">
        <f t="shared" si="30"/>
        <v>30000</v>
      </c>
      <c r="AB38" s="349">
        <f t="shared" si="30"/>
        <v>30000</v>
      </c>
      <c r="AC38" s="349">
        <f t="shared" si="30"/>
        <v>30000</v>
      </c>
      <c r="AD38" s="349">
        <f t="shared" si="30"/>
        <v>30000</v>
      </c>
      <c r="AE38" s="349">
        <f t="shared" si="30"/>
        <v>30000</v>
      </c>
      <c r="AF38" s="349">
        <f t="shared" si="30"/>
        <v>30000</v>
      </c>
      <c r="AG38" s="349">
        <f t="shared" si="30"/>
        <v>30000</v>
      </c>
      <c r="AH38" s="349">
        <f t="shared" si="30"/>
        <v>30000</v>
      </c>
      <c r="AI38" s="349">
        <f t="shared" si="30"/>
        <v>30000</v>
      </c>
      <c r="AJ38" s="349">
        <f t="shared" si="30"/>
        <v>40000</v>
      </c>
      <c r="AK38" s="349">
        <f t="shared" si="30"/>
        <v>40000</v>
      </c>
      <c r="AL38" s="349">
        <f t="shared" si="30"/>
        <v>40000</v>
      </c>
      <c r="AM38" s="349">
        <f t="shared" si="30"/>
        <v>40000</v>
      </c>
      <c r="AN38" s="349">
        <f t="shared" si="30"/>
        <v>40000</v>
      </c>
      <c r="AO38" s="349">
        <f t="shared" si="30"/>
        <v>40000</v>
      </c>
      <c r="AP38" s="349">
        <f t="shared" si="30"/>
        <v>50000</v>
      </c>
      <c r="AQ38" s="349">
        <f t="shared" si="30"/>
        <v>50000</v>
      </c>
      <c r="AR38" s="349">
        <f t="shared" si="30"/>
        <v>50000</v>
      </c>
      <c r="AS38" s="349">
        <f t="shared" si="30"/>
        <v>50000</v>
      </c>
      <c r="AT38" s="349">
        <f t="shared" si="30"/>
        <v>50000</v>
      </c>
      <c r="AU38" s="349">
        <f t="shared" ref="AU38:BZ38" si="31">+SUM(AU9:AU35)</f>
        <v>50000</v>
      </c>
      <c r="AV38" s="349">
        <f t="shared" si="31"/>
        <v>50000</v>
      </c>
      <c r="AW38" s="349">
        <f t="shared" si="31"/>
        <v>50000</v>
      </c>
      <c r="AX38" s="349">
        <f t="shared" si="31"/>
        <v>50000</v>
      </c>
      <c r="AY38" s="349">
        <f t="shared" si="31"/>
        <v>50000</v>
      </c>
      <c r="AZ38" s="349">
        <f t="shared" si="31"/>
        <v>50000</v>
      </c>
      <c r="BA38" s="349">
        <f t="shared" si="31"/>
        <v>50000</v>
      </c>
      <c r="BB38" s="349">
        <f t="shared" si="31"/>
        <v>60000</v>
      </c>
      <c r="BC38" s="349">
        <f t="shared" si="31"/>
        <v>60000</v>
      </c>
      <c r="BD38" s="349">
        <f t="shared" si="31"/>
        <v>60000</v>
      </c>
      <c r="BE38" s="349">
        <f t="shared" si="31"/>
        <v>60000</v>
      </c>
      <c r="BF38" s="349">
        <f t="shared" si="31"/>
        <v>60000</v>
      </c>
      <c r="BG38" s="349">
        <f t="shared" si="31"/>
        <v>60000</v>
      </c>
      <c r="BH38" s="349">
        <f t="shared" si="31"/>
        <v>60000</v>
      </c>
      <c r="BI38" s="349">
        <f t="shared" si="31"/>
        <v>60000</v>
      </c>
      <c r="BJ38" s="349">
        <f t="shared" si="31"/>
        <v>60000</v>
      </c>
      <c r="BK38" s="349">
        <f t="shared" si="31"/>
        <v>60000</v>
      </c>
      <c r="BL38" s="349">
        <f t="shared" si="31"/>
        <v>60000</v>
      </c>
      <c r="BM38" s="349">
        <f t="shared" si="31"/>
        <v>60000</v>
      </c>
      <c r="BN38" s="349">
        <f t="shared" si="31"/>
        <v>70000</v>
      </c>
      <c r="BO38" s="349">
        <f t="shared" si="31"/>
        <v>70000</v>
      </c>
      <c r="BP38" s="349">
        <f t="shared" si="31"/>
        <v>70000</v>
      </c>
      <c r="BQ38" s="349">
        <f t="shared" si="31"/>
        <v>70000</v>
      </c>
      <c r="BR38" s="349">
        <f t="shared" si="31"/>
        <v>70000</v>
      </c>
      <c r="BS38" s="349">
        <f t="shared" si="31"/>
        <v>70000</v>
      </c>
      <c r="BT38" s="349">
        <f t="shared" si="31"/>
        <v>80000</v>
      </c>
      <c r="BU38" s="349">
        <f t="shared" si="31"/>
        <v>80000</v>
      </c>
      <c r="BV38" s="349">
        <f t="shared" si="31"/>
        <v>80000</v>
      </c>
      <c r="BW38" s="349">
        <f t="shared" si="31"/>
        <v>80000</v>
      </c>
      <c r="BX38" s="349">
        <f t="shared" si="31"/>
        <v>80000</v>
      </c>
      <c r="BY38" s="349">
        <f t="shared" si="31"/>
        <v>80000</v>
      </c>
      <c r="BZ38" s="349">
        <f t="shared" si="31"/>
        <v>80000</v>
      </c>
      <c r="CA38" s="349">
        <f t="shared" ref="CA38:CK38" si="32">+SUM(CA9:CA35)</f>
        <v>80000</v>
      </c>
      <c r="CB38" s="349">
        <f t="shared" si="32"/>
        <v>80000</v>
      </c>
      <c r="CC38" s="349">
        <f t="shared" si="32"/>
        <v>80000</v>
      </c>
      <c r="CD38" s="349">
        <f t="shared" si="32"/>
        <v>80000</v>
      </c>
      <c r="CE38" s="349">
        <f t="shared" si="32"/>
        <v>80000</v>
      </c>
      <c r="CF38" s="349">
        <f t="shared" si="32"/>
        <v>90000</v>
      </c>
      <c r="CG38" s="349">
        <f t="shared" si="32"/>
        <v>90000</v>
      </c>
      <c r="CH38" s="349">
        <f t="shared" si="32"/>
        <v>90000</v>
      </c>
      <c r="CI38" s="349">
        <f t="shared" si="32"/>
        <v>90000</v>
      </c>
      <c r="CJ38" s="349">
        <f t="shared" si="32"/>
        <v>90000</v>
      </c>
      <c r="CK38" s="350">
        <f t="shared" si="32"/>
        <v>90000</v>
      </c>
    </row>
    <row r="39" spans="1:89" x14ac:dyDescent="0.3">
      <c r="A39" s="329"/>
      <c r="D39" s="7" t="s">
        <v>359</v>
      </c>
      <c r="F39" s="348"/>
      <c r="G39" s="349"/>
      <c r="H39" s="349"/>
      <c r="I39" s="458"/>
      <c r="J39" s="379">
        <f>4860+962.96+14766</f>
        <v>20588.96</v>
      </c>
      <c r="K39" s="379">
        <v>10570</v>
      </c>
      <c r="L39" s="379">
        <v>700</v>
      </c>
      <c r="M39" s="379">
        <f>1500+3810+1065+9990+14766</f>
        <v>31131</v>
      </c>
      <c r="N39" s="533">
        <f>19632.99+3200+26177.31</f>
        <v>49010.3</v>
      </c>
      <c r="O39" s="349">
        <f>+(O4*$A$4*Assumptions!$E$44)+(N4*$A$4*Assumptions!$E$45)+(M4*$A$4*Assumptions!$E$46)+SUM(O10:O35)</f>
        <v>115381.11</v>
      </c>
      <c r="P39" s="349">
        <f>+(P4*$A$4*Assumptions!$E$44)+(O4*$A$4*Assumptions!$E$45)+(N4*$A$4*Assumptions!$E$46)+SUM(P10:P35)</f>
        <v>40916.666666666664</v>
      </c>
      <c r="Q39" s="349">
        <f>+(Q4*$A$4*Assumptions!$E$44)+(P4*$A$4*Assumptions!$E$45)+(O4*$A$4*Assumptions!$E$46)+SUM(Q10:Q35)</f>
        <v>8100.0000000000009</v>
      </c>
      <c r="R39" s="349">
        <f>+(R4*$A$4*Assumptions!$E$44)+(Q4*$A$4*Assumptions!$E$45)+(P4*$A$4*Assumptions!$E$46)+SUM(R10:R35)</f>
        <v>29700</v>
      </c>
      <c r="S39" s="349">
        <f>+(S4*$A$4*Assumptions!$E$44)+(R4*$A$4*Assumptions!$E$45)+(Q4*$A$4*Assumptions!$E$46)+SUM(S10:S35)</f>
        <v>36000</v>
      </c>
      <c r="T39" s="349">
        <f>+(T4*$A$4*Assumptions!$E$44)+(S4*$A$4*Assumptions!$E$45)+(R4*$A$4*Assumptions!$E$46)+SUM(T10:T35)</f>
        <v>24300</v>
      </c>
      <c r="U39" s="349">
        <f>+(U4*$A$4*Assumptions!$E$44)+(T4*$A$4*Assumptions!$E$45)+(S4*$A$4*Assumptions!$E$46)+SUM(U10:U35)</f>
        <v>29700</v>
      </c>
      <c r="V39" s="349">
        <f>+(V4*$A$4*Assumptions!$E$44)+(U4*$A$4*Assumptions!$E$45)+(T4*$A$4*Assumptions!$E$46)+SUM(V10:V35)</f>
        <v>36000</v>
      </c>
      <c r="W39" s="349">
        <f>+(W4*$A$4*Assumptions!$E$44)+(V4*$A$4*Assumptions!$E$45)+(U4*$A$4*Assumptions!$E$46)+SUM(W10:W35)</f>
        <v>24300</v>
      </c>
      <c r="X39" s="349">
        <f>+(X4*$A$4*Assumptions!$E$44)+(W4*$A$4*Assumptions!$E$45)+(V4*$A$4*Assumptions!$E$46)+SUM(X10:X35)</f>
        <v>29700</v>
      </c>
      <c r="Y39" s="349">
        <f>+(Y4*$A$4*Assumptions!$E$44)+(X4*$A$4*Assumptions!$E$45)+(W4*$A$4*Assumptions!$E$46)+SUM(Y10:Y35)</f>
        <v>36000</v>
      </c>
      <c r="Z39" s="349">
        <f>+(Z4*$A$4*Assumptions!$E$44)+(Y4*$A$4*Assumptions!$E$45)+(X4*$A$4*Assumptions!$E$46)+SUM(Z10:Z35)</f>
        <v>24300</v>
      </c>
      <c r="AA39" s="349">
        <f>+(AA4*$A$4*Assumptions!$E$44)+(Z4*$A$4*Assumptions!$E$45)+(Y4*$A$4*Assumptions!$E$46)+SUM(AA10:AA35)</f>
        <v>29700</v>
      </c>
      <c r="AB39" s="349">
        <f>+(AB4*$A$4*Assumptions!$E$44)+(AA4*$A$4*Assumptions!$E$45)+(Z4*$A$4*Assumptions!$E$46)+SUM(AB10:AB35)</f>
        <v>36000</v>
      </c>
      <c r="AC39" s="349">
        <f>+(AC4*$A$4*Assumptions!$E$44)+(AB4*$A$4*Assumptions!$E$45)+(AA4*$A$4*Assumptions!$E$46)+SUM(AC10:AC35)</f>
        <v>24300</v>
      </c>
      <c r="AD39" s="349">
        <f>+(AD4*$A$4*Assumptions!$E$44)+(AC4*$A$4*Assumptions!$E$45)+(AB4*$A$4*Assumptions!$E$46)+SUM(AD10:AD35)</f>
        <v>29700</v>
      </c>
      <c r="AE39" s="349">
        <f>+(AE4*$A$4*Assumptions!$E$44)+(AD4*$A$4*Assumptions!$E$45)+(AC4*$A$4*Assumptions!$E$46)+SUM(AE10:AE35)</f>
        <v>36000</v>
      </c>
      <c r="AF39" s="349">
        <f>+(AF4*$A$4*Assumptions!$E$44)+(AE4*$A$4*Assumptions!$E$45)+(AD4*$A$4*Assumptions!$E$46)+SUM(AF10:AF35)</f>
        <v>24300</v>
      </c>
      <c r="AG39" s="349">
        <f>+(AG4*$A$4*Assumptions!$E$44)+(AF4*$A$4*Assumptions!$E$45)+(AE4*$A$4*Assumptions!$E$46)+SUM(AG10:AG35)</f>
        <v>29700</v>
      </c>
      <c r="AH39" s="349">
        <f>+(AH4*$A$4*Assumptions!$E$44)+(AG4*$A$4*Assumptions!$E$45)+(AF4*$A$4*Assumptions!$E$46)+SUM(AH10:AH35)</f>
        <v>36000</v>
      </c>
      <c r="AI39" s="349">
        <f>+(AI4*$A$4*Assumptions!$E$44)+(AH4*$A$4*Assumptions!$E$45)+(AG4*$A$4*Assumptions!$E$46)+SUM(AI10:AI35)</f>
        <v>24300</v>
      </c>
      <c r="AJ39" s="349">
        <f>+(AJ4*$A$4*Assumptions!$E$44)+(AI4*$A$4*Assumptions!$E$45)+(AH4*$A$4*Assumptions!$E$46)+SUM(AJ10:AJ35)</f>
        <v>39600</v>
      </c>
      <c r="AK39" s="349">
        <f>+(AK4*$A$4*Assumptions!$E$44)+(AJ4*$A$4*Assumptions!$E$45)+(AI4*$A$4*Assumptions!$E$46)+SUM(AK10:AK35)</f>
        <v>48000</v>
      </c>
      <c r="AL39" s="349">
        <f>+(AL4*$A$4*Assumptions!$E$44)+(AK4*$A$4*Assumptions!$E$45)+(AJ4*$A$4*Assumptions!$E$46)+SUM(AL10:AL35)</f>
        <v>32400.000000000004</v>
      </c>
      <c r="AM39" s="349">
        <f>+(AM4*$A$4*Assumptions!$E$44)+(AL4*$A$4*Assumptions!$E$45)+(AK4*$A$4*Assumptions!$E$46)+SUM(AM10:AM35)</f>
        <v>39600</v>
      </c>
      <c r="AN39" s="349">
        <f>+(AN4*$A$4*Assumptions!$E$44)+(AM4*$A$4*Assumptions!$E$45)+(AL4*$A$4*Assumptions!$E$46)+SUM(AN10:AN35)</f>
        <v>48000</v>
      </c>
      <c r="AO39" s="349">
        <f>+(AO4*$A$4*Assumptions!$E$44)+(AN4*$A$4*Assumptions!$E$45)+(AM4*$A$4*Assumptions!$E$46)+SUM(AO10:AO35)</f>
        <v>32400.000000000004</v>
      </c>
      <c r="AP39" s="349">
        <f>+(AP4*$A$4*Assumptions!$E$44)+(AO4*$A$4*Assumptions!$E$45)+(AN4*$A$4*Assumptions!$E$46)+SUM(AP10:AP35)</f>
        <v>49500</v>
      </c>
      <c r="AQ39" s="349">
        <f>+(AQ4*$A$4*Assumptions!$E$44)+(AP4*$A$4*Assumptions!$E$45)+(AO4*$A$4*Assumptions!$E$46)+SUM(AQ10:AQ35)</f>
        <v>60000</v>
      </c>
      <c r="AR39" s="349">
        <f>+(AR4*$A$4*Assumptions!$E$44)+(AQ4*$A$4*Assumptions!$E$45)+(AP4*$A$4*Assumptions!$E$46)+SUM(AR10:AR35)</f>
        <v>40500</v>
      </c>
      <c r="AS39" s="349">
        <f>+(AS4*$A$4*Assumptions!$E$44)+(AR4*$A$4*Assumptions!$E$45)+(AQ4*$A$4*Assumptions!$E$46)+SUM(AS10:AS35)</f>
        <v>49500</v>
      </c>
      <c r="AT39" s="349">
        <f>+(AT4*$A$4*Assumptions!$E$44)+(AS4*$A$4*Assumptions!$E$45)+(AR4*$A$4*Assumptions!$E$46)+SUM(AT10:AT35)</f>
        <v>60000</v>
      </c>
      <c r="AU39" s="349">
        <f>+(AU4*$A$4*Assumptions!$E$44)+(AT4*$A$4*Assumptions!$E$45)+(AS4*$A$4*Assumptions!$E$46)+SUM(AU10:AU35)</f>
        <v>40500</v>
      </c>
      <c r="AV39" s="349">
        <f>+(AV4*$A$4*Assumptions!$E$44)+(AU4*$A$4*Assumptions!$E$45)+(AT4*$A$4*Assumptions!$E$46)+SUM(AV10:AV35)</f>
        <v>49500</v>
      </c>
      <c r="AW39" s="349">
        <f>+(AW4*$A$4*Assumptions!$E$44)+(AV4*$A$4*Assumptions!$E$45)+(AU4*$A$4*Assumptions!$E$46)+SUM(AW10:AW35)</f>
        <v>60000</v>
      </c>
      <c r="AX39" s="349">
        <f>+(AX4*$A$4*Assumptions!$E$44)+(AW4*$A$4*Assumptions!$E$45)+(AV4*$A$4*Assumptions!$E$46)+SUM(AX10:AX35)</f>
        <v>40500</v>
      </c>
      <c r="AY39" s="349">
        <f>+(AY4*$A$4*Assumptions!$E$44)+(AX4*$A$4*Assumptions!$E$45)+(AW4*$A$4*Assumptions!$E$46)+SUM(AY10:AY35)</f>
        <v>49500</v>
      </c>
      <c r="AZ39" s="349">
        <f>+(AZ4*$A$4*Assumptions!$E$44)+(AY4*$A$4*Assumptions!$E$45)+(AX4*$A$4*Assumptions!$E$46)+SUM(AZ10:AZ35)</f>
        <v>60000</v>
      </c>
      <c r="BA39" s="349">
        <f>+(BA4*$A$4*Assumptions!$E$44)+(AZ4*$A$4*Assumptions!$E$45)+(AY4*$A$4*Assumptions!$E$46)+SUM(BA10:BA35)</f>
        <v>40500</v>
      </c>
      <c r="BB39" s="349">
        <f>+(BB4*$A$4*Assumptions!$E$44)+(BA4*$A$4*Assumptions!$E$45)+(AZ4*$A$4*Assumptions!$E$46)+SUM(BB10:BB35)</f>
        <v>59400</v>
      </c>
      <c r="BC39" s="349">
        <f>+(BC4*$A$4*Assumptions!$E$44)+(BB4*$A$4*Assumptions!$E$45)+(BA4*$A$4*Assumptions!$E$46)+SUM(BC10:BC35)</f>
        <v>72000</v>
      </c>
      <c r="BD39" s="349">
        <f>+(BD4*$A$4*Assumptions!$E$44)+(BC4*$A$4*Assumptions!$E$45)+(BB4*$A$4*Assumptions!$E$46)+SUM(BD10:BD35)</f>
        <v>48600</v>
      </c>
      <c r="BE39" s="349">
        <f>+(BE4*$A$4*Assumptions!$E$44)+(BD4*$A$4*Assumptions!$E$45)+(BC4*$A$4*Assumptions!$E$46)+SUM(BE10:BE35)</f>
        <v>59400</v>
      </c>
      <c r="BF39" s="349">
        <f>+(BF4*$A$4*Assumptions!$E$44)+(BE4*$A$4*Assumptions!$E$45)+(BD4*$A$4*Assumptions!$E$46)+SUM(BF10:BF35)</f>
        <v>72000</v>
      </c>
      <c r="BG39" s="349">
        <f>+(BG4*$A$4*Assumptions!$E$44)+(BF4*$A$4*Assumptions!$E$45)+(BE4*$A$4*Assumptions!$E$46)+SUM(BG10:BG35)</f>
        <v>48600</v>
      </c>
      <c r="BH39" s="349">
        <f>+(BH4*$A$4*Assumptions!$E$44)+(BG4*$A$4*Assumptions!$E$45)+(BF4*$A$4*Assumptions!$E$46)+SUM(BH10:BH35)</f>
        <v>59400</v>
      </c>
      <c r="BI39" s="349">
        <f>+(BI4*$A$4*Assumptions!$E$44)+(BH4*$A$4*Assumptions!$E$45)+(BG4*$A$4*Assumptions!$E$46)+SUM(BI10:BI35)</f>
        <v>72000</v>
      </c>
      <c r="BJ39" s="349">
        <f>+(BJ4*$A$4*Assumptions!$E$44)+(BI4*$A$4*Assumptions!$E$45)+(BH4*$A$4*Assumptions!$E$46)+SUM(BJ10:BJ35)</f>
        <v>48600</v>
      </c>
      <c r="BK39" s="349">
        <f>+(BK4*$A$4*Assumptions!$E$44)+(BJ4*$A$4*Assumptions!$E$45)+(BI4*$A$4*Assumptions!$E$46)+SUM(BK10:BK35)</f>
        <v>59400</v>
      </c>
      <c r="BL39" s="349">
        <f>+(BL4*$A$4*Assumptions!$E$44)+(BK4*$A$4*Assumptions!$E$45)+(BJ4*$A$4*Assumptions!$E$46)+SUM(BL10:BL35)</f>
        <v>72000</v>
      </c>
      <c r="BM39" s="349">
        <f>+(BM4*$A$4*Assumptions!$E$44)+(BL4*$A$4*Assumptions!$E$45)+(BK4*$A$4*Assumptions!$E$46)+SUM(BM10:BM35)</f>
        <v>48600</v>
      </c>
      <c r="BN39" s="349">
        <f>+(BN4*$A$4*Assumptions!$E$44)+(BM4*$A$4*Assumptions!$E$45)+(BL4*$A$4*Assumptions!$E$46)+SUM(BN10:BN35)</f>
        <v>69300</v>
      </c>
      <c r="BO39" s="349">
        <f>+(BO4*$A$4*Assumptions!$E$44)+(BN4*$A$4*Assumptions!$E$45)+(BM4*$A$4*Assumptions!$E$46)+SUM(BO10:BO35)</f>
        <v>84000</v>
      </c>
      <c r="BP39" s="349">
        <f>+(BP4*$A$4*Assumptions!$E$44)+(BO4*$A$4*Assumptions!$E$45)+(BN4*$A$4*Assumptions!$E$46)+SUM(BP10:BP35)</f>
        <v>56700.000000000007</v>
      </c>
      <c r="BQ39" s="349">
        <f>+(BQ4*$A$4*Assumptions!$E$44)+(BP4*$A$4*Assumptions!$E$45)+(BO4*$A$4*Assumptions!$E$46)+SUM(BQ10:BQ35)</f>
        <v>69300</v>
      </c>
      <c r="BR39" s="349">
        <f>+(BR4*$A$4*Assumptions!$E$44)+(BQ4*$A$4*Assumptions!$E$45)+(BP4*$A$4*Assumptions!$E$46)+SUM(BR10:BR35)</f>
        <v>84000</v>
      </c>
      <c r="BS39" s="349">
        <f>+(BS4*$A$4*Assumptions!$E$44)+(BR4*$A$4*Assumptions!$E$45)+(BQ4*$A$4*Assumptions!$E$46)+SUM(BS10:BS35)</f>
        <v>56700.000000000007</v>
      </c>
      <c r="BT39" s="349">
        <f>+(BT4*$A$4*Assumptions!$E$44)+(BS4*$A$4*Assumptions!$E$45)+(BR4*$A$4*Assumptions!$E$46)+SUM(BT10:BT35)</f>
        <v>79200</v>
      </c>
      <c r="BU39" s="349">
        <f>+(BU4*$A$4*Assumptions!$E$44)+(BT4*$A$4*Assumptions!$E$45)+(BS4*$A$4*Assumptions!$E$46)+SUM(BU10:BU35)</f>
        <v>96000</v>
      </c>
      <c r="BV39" s="349">
        <f>+(BV4*$A$4*Assumptions!$E$44)+(BU4*$A$4*Assumptions!$E$45)+(BT4*$A$4*Assumptions!$E$46)+SUM(BV10:BV35)</f>
        <v>64800.000000000007</v>
      </c>
      <c r="BW39" s="349">
        <f>+(BW4*$A$4*Assumptions!$E$44)+(BV4*$A$4*Assumptions!$E$45)+(BU4*$A$4*Assumptions!$E$46)+SUM(BW10:BW35)</f>
        <v>79200</v>
      </c>
      <c r="BX39" s="349">
        <f>+(BX4*$A$4*Assumptions!$E$44)+(BW4*$A$4*Assumptions!$E$45)+(BV4*$A$4*Assumptions!$E$46)+SUM(BX10:BX35)</f>
        <v>96000</v>
      </c>
      <c r="BY39" s="349">
        <f>+(BY4*$A$4*Assumptions!$E$44)+(BX4*$A$4*Assumptions!$E$45)+(BW4*$A$4*Assumptions!$E$46)+SUM(BY10:BY35)</f>
        <v>64800.000000000007</v>
      </c>
      <c r="BZ39" s="349">
        <f>+(BZ4*$A$4*Assumptions!$E$44)+(BY4*$A$4*Assumptions!$E$45)+(BX4*$A$4*Assumptions!$E$46)+SUM(BZ10:BZ35)</f>
        <v>79200</v>
      </c>
      <c r="CA39" s="349">
        <f>+(CA4*$A$4*Assumptions!$E$44)+(BZ4*$A$4*Assumptions!$E$45)+(BY4*$A$4*Assumptions!$E$46)+SUM(CA10:CA35)</f>
        <v>96000</v>
      </c>
      <c r="CB39" s="349">
        <f>+(CB4*$A$4*Assumptions!$E$44)+(CA4*$A$4*Assumptions!$E$45)+(BZ4*$A$4*Assumptions!$E$46)+SUM(CB10:CB35)</f>
        <v>64800.000000000007</v>
      </c>
      <c r="CC39" s="349">
        <f>+(CC4*$A$4*Assumptions!$E$44)+(CB4*$A$4*Assumptions!$E$45)+(CA4*$A$4*Assumptions!$E$46)+SUM(CC10:CC35)</f>
        <v>79200</v>
      </c>
      <c r="CD39" s="349">
        <f>+(CD4*$A$4*Assumptions!$E$44)+(CC4*$A$4*Assumptions!$E$45)+(CB4*$A$4*Assumptions!$E$46)+SUM(CD10:CD35)</f>
        <v>96000</v>
      </c>
      <c r="CE39" s="349">
        <f>+(CE4*$A$4*Assumptions!$E$44)+(CD4*$A$4*Assumptions!$E$45)+(CC4*$A$4*Assumptions!$E$46)+SUM(CE10:CE35)</f>
        <v>64800.000000000007</v>
      </c>
      <c r="CF39" s="349">
        <f>+(CF4*$A$4*Assumptions!$E$44)+(CE4*$A$4*Assumptions!$E$45)+(CD4*$A$4*Assumptions!$E$46)+SUM(CF10:CF35)</f>
        <v>89100</v>
      </c>
      <c r="CG39" s="349">
        <f>+(CG4*$A$4*Assumptions!$E$44)+(CF4*$A$4*Assumptions!$E$45)+(CE4*$A$4*Assumptions!$E$46)+SUM(CG10:CG35)</f>
        <v>108000</v>
      </c>
      <c r="CH39" s="349">
        <f>+(CH4*$A$4*Assumptions!$E$44)+(CG4*$A$4*Assumptions!$E$45)+(CF4*$A$4*Assumptions!$E$46)+SUM(CH10:CH35)</f>
        <v>72900</v>
      </c>
      <c r="CI39" s="349">
        <f>+(CI4*$A$4*Assumptions!$E$44)+(CH4*$A$4*Assumptions!$E$45)+(CG4*$A$4*Assumptions!$E$46)+SUM(CI10:CI35)</f>
        <v>89100</v>
      </c>
      <c r="CJ39" s="349">
        <f>+(CJ4*$A$4*Assumptions!$E$44)+(CI4*$A$4*Assumptions!$E$45)+(CH4*$A$4*Assumptions!$E$46)+SUM(CJ10:CJ35)</f>
        <v>108000</v>
      </c>
      <c r="CK39" s="350">
        <f>+(CK4*$A$4*Assumptions!$E$44)+(CJ4*$A$4*Assumptions!$E$45)+(CI4*$A$4*Assumptions!$E$46)+SUM(CK10:CK35)</f>
        <v>72900</v>
      </c>
    </row>
    <row r="40" spans="1:89" x14ac:dyDescent="0.3">
      <c r="A40" s="329"/>
      <c r="D40" s="7" t="s">
        <v>360</v>
      </c>
      <c r="F40" s="348"/>
      <c r="G40" s="349">
        <f>+G39+F40</f>
        <v>0</v>
      </c>
      <c r="H40" s="349">
        <f t="shared" ref="H40:I40" si="33">+H39+G40</f>
        <v>0</v>
      </c>
      <c r="I40" s="349">
        <f t="shared" si="33"/>
        <v>0</v>
      </c>
      <c r="J40" s="349">
        <f>+J39+I40-J38</f>
        <v>15124.64</v>
      </c>
      <c r="K40" s="349">
        <f t="shared" ref="K40:BV40" si="34">+K39+J40-K38</f>
        <v>14766</v>
      </c>
      <c r="L40" s="349">
        <f t="shared" si="34"/>
        <v>14766</v>
      </c>
      <c r="M40" s="349">
        <f t="shared" si="34"/>
        <v>0</v>
      </c>
      <c r="N40" s="350">
        <f t="shared" si="34"/>
        <v>0</v>
      </c>
      <c r="O40" s="349">
        <f t="shared" si="34"/>
        <v>56300</v>
      </c>
      <c r="P40" s="349">
        <f t="shared" si="34"/>
        <v>74500</v>
      </c>
      <c r="Q40" s="349">
        <f t="shared" si="34"/>
        <v>72600</v>
      </c>
      <c r="R40" s="349">
        <f t="shared" si="34"/>
        <v>72300</v>
      </c>
      <c r="S40" s="349">
        <f t="shared" si="34"/>
        <v>78300</v>
      </c>
      <c r="T40" s="349">
        <f t="shared" si="34"/>
        <v>72600</v>
      </c>
      <c r="U40" s="349">
        <f t="shared" si="34"/>
        <v>72300</v>
      </c>
      <c r="V40" s="349">
        <f t="shared" si="34"/>
        <v>78300</v>
      </c>
      <c r="W40" s="349">
        <f t="shared" si="34"/>
        <v>72600</v>
      </c>
      <c r="X40" s="349">
        <f t="shared" si="34"/>
        <v>72300</v>
      </c>
      <c r="Y40" s="349">
        <f t="shared" si="34"/>
        <v>78300</v>
      </c>
      <c r="Z40" s="349">
        <f t="shared" si="34"/>
        <v>72600</v>
      </c>
      <c r="AA40" s="349">
        <f t="shared" si="34"/>
        <v>72300</v>
      </c>
      <c r="AB40" s="349">
        <f t="shared" si="34"/>
        <v>78300</v>
      </c>
      <c r="AC40" s="349">
        <f t="shared" si="34"/>
        <v>72600</v>
      </c>
      <c r="AD40" s="349">
        <f t="shared" si="34"/>
        <v>72300</v>
      </c>
      <c r="AE40" s="349">
        <f t="shared" si="34"/>
        <v>78300</v>
      </c>
      <c r="AF40" s="349">
        <f t="shared" si="34"/>
        <v>72600</v>
      </c>
      <c r="AG40" s="349">
        <f t="shared" si="34"/>
        <v>72300</v>
      </c>
      <c r="AH40" s="349">
        <f t="shared" si="34"/>
        <v>78300</v>
      </c>
      <c r="AI40" s="349">
        <f t="shared" si="34"/>
        <v>72600</v>
      </c>
      <c r="AJ40" s="349">
        <f t="shared" si="34"/>
        <v>72200</v>
      </c>
      <c r="AK40" s="349">
        <f t="shared" si="34"/>
        <v>80200</v>
      </c>
      <c r="AL40" s="349">
        <f t="shared" si="34"/>
        <v>72600</v>
      </c>
      <c r="AM40" s="349">
        <f t="shared" si="34"/>
        <v>72200</v>
      </c>
      <c r="AN40" s="349">
        <f t="shared" si="34"/>
        <v>80200</v>
      </c>
      <c r="AO40" s="349">
        <f t="shared" si="34"/>
        <v>72600</v>
      </c>
      <c r="AP40" s="349">
        <f t="shared" si="34"/>
        <v>72100</v>
      </c>
      <c r="AQ40" s="349">
        <f t="shared" si="34"/>
        <v>82100</v>
      </c>
      <c r="AR40" s="349">
        <f t="shared" si="34"/>
        <v>72600</v>
      </c>
      <c r="AS40" s="349">
        <f t="shared" si="34"/>
        <v>72100</v>
      </c>
      <c r="AT40" s="349">
        <f t="shared" si="34"/>
        <v>82100</v>
      </c>
      <c r="AU40" s="349">
        <f t="shared" si="34"/>
        <v>72600</v>
      </c>
      <c r="AV40" s="349">
        <f t="shared" si="34"/>
        <v>72100</v>
      </c>
      <c r="AW40" s="349">
        <f t="shared" si="34"/>
        <v>82100</v>
      </c>
      <c r="AX40" s="349">
        <f t="shared" si="34"/>
        <v>72600</v>
      </c>
      <c r="AY40" s="349">
        <f t="shared" si="34"/>
        <v>72100</v>
      </c>
      <c r="AZ40" s="349">
        <f t="shared" si="34"/>
        <v>82100</v>
      </c>
      <c r="BA40" s="349">
        <f t="shared" si="34"/>
        <v>72600</v>
      </c>
      <c r="BB40" s="349">
        <f t="shared" si="34"/>
        <v>72000</v>
      </c>
      <c r="BC40" s="349">
        <f t="shared" si="34"/>
        <v>84000</v>
      </c>
      <c r="BD40" s="349">
        <f t="shared" si="34"/>
        <v>72600</v>
      </c>
      <c r="BE40" s="349">
        <f t="shared" si="34"/>
        <v>72000</v>
      </c>
      <c r="BF40" s="349">
        <f t="shared" si="34"/>
        <v>84000</v>
      </c>
      <c r="BG40" s="349">
        <f t="shared" si="34"/>
        <v>72600</v>
      </c>
      <c r="BH40" s="349">
        <f t="shared" si="34"/>
        <v>72000</v>
      </c>
      <c r="BI40" s="349">
        <f t="shared" si="34"/>
        <v>84000</v>
      </c>
      <c r="BJ40" s="349">
        <f t="shared" si="34"/>
        <v>72600</v>
      </c>
      <c r="BK40" s="349">
        <f t="shared" si="34"/>
        <v>72000</v>
      </c>
      <c r="BL40" s="349">
        <f t="shared" si="34"/>
        <v>84000</v>
      </c>
      <c r="BM40" s="349">
        <f t="shared" si="34"/>
        <v>72600</v>
      </c>
      <c r="BN40" s="349">
        <f t="shared" si="34"/>
        <v>71900</v>
      </c>
      <c r="BO40" s="349">
        <f t="shared" si="34"/>
        <v>85900</v>
      </c>
      <c r="BP40" s="349">
        <f t="shared" si="34"/>
        <v>72600</v>
      </c>
      <c r="BQ40" s="349">
        <f t="shared" si="34"/>
        <v>71900</v>
      </c>
      <c r="BR40" s="349">
        <f t="shared" si="34"/>
        <v>85900</v>
      </c>
      <c r="BS40" s="349">
        <f t="shared" si="34"/>
        <v>72600</v>
      </c>
      <c r="BT40" s="349">
        <f t="shared" si="34"/>
        <v>71800</v>
      </c>
      <c r="BU40" s="349">
        <f t="shared" si="34"/>
        <v>87800</v>
      </c>
      <c r="BV40" s="349">
        <f t="shared" si="34"/>
        <v>72600</v>
      </c>
      <c r="BW40" s="349">
        <f t="shared" ref="BW40:CK40" si="35">+BW39+BV40-BW38</f>
        <v>71800</v>
      </c>
      <c r="BX40" s="349">
        <f t="shared" si="35"/>
        <v>87800</v>
      </c>
      <c r="BY40" s="349">
        <f t="shared" si="35"/>
        <v>72600</v>
      </c>
      <c r="BZ40" s="349">
        <f t="shared" si="35"/>
        <v>71800</v>
      </c>
      <c r="CA40" s="349">
        <f t="shared" si="35"/>
        <v>87800</v>
      </c>
      <c r="CB40" s="349">
        <f t="shared" si="35"/>
        <v>72600</v>
      </c>
      <c r="CC40" s="349">
        <f t="shared" si="35"/>
        <v>71800</v>
      </c>
      <c r="CD40" s="349">
        <f t="shared" si="35"/>
        <v>87800</v>
      </c>
      <c r="CE40" s="349">
        <f t="shared" si="35"/>
        <v>72600</v>
      </c>
      <c r="CF40" s="349">
        <f t="shared" si="35"/>
        <v>71700</v>
      </c>
      <c r="CG40" s="349">
        <f t="shared" si="35"/>
        <v>89700</v>
      </c>
      <c r="CH40" s="349">
        <f t="shared" si="35"/>
        <v>72600</v>
      </c>
      <c r="CI40" s="349">
        <f t="shared" si="35"/>
        <v>71700</v>
      </c>
      <c r="CJ40" s="349">
        <f t="shared" si="35"/>
        <v>89700</v>
      </c>
      <c r="CK40" s="350">
        <f t="shared" si="35"/>
        <v>72600</v>
      </c>
    </row>
    <row r="41" spans="1:89" x14ac:dyDescent="0.3">
      <c r="A41" s="351"/>
      <c r="B41" s="283"/>
      <c r="C41" s="283"/>
      <c r="D41" s="352" t="s">
        <v>0</v>
      </c>
      <c r="E41" s="283"/>
      <c r="F41" s="348">
        <f t="shared" ref="F41:AK41" si="36">+SUM(F38:F38)</f>
        <v>0</v>
      </c>
      <c r="G41" s="349">
        <f t="shared" si="36"/>
        <v>0</v>
      </c>
      <c r="H41" s="349">
        <f t="shared" si="36"/>
        <v>0</v>
      </c>
      <c r="I41" s="349">
        <f t="shared" si="36"/>
        <v>0</v>
      </c>
      <c r="J41" s="349">
        <f>+SUM(J38:J38)</f>
        <v>5464.32</v>
      </c>
      <c r="K41" s="349">
        <f t="shared" si="36"/>
        <v>10928.64</v>
      </c>
      <c r="L41" s="349">
        <f t="shared" si="36"/>
        <v>700</v>
      </c>
      <c r="M41" s="349">
        <f t="shared" si="36"/>
        <v>45897</v>
      </c>
      <c r="N41" s="350">
        <f t="shared" ref="N41" si="37">+SUM(N38:N38)</f>
        <v>49010.3</v>
      </c>
      <c r="O41" s="349">
        <f t="shared" si="36"/>
        <v>59081.11</v>
      </c>
      <c r="P41" s="349">
        <f t="shared" si="36"/>
        <v>22716.666666666664</v>
      </c>
      <c r="Q41" s="349">
        <f t="shared" si="36"/>
        <v>10000</v>
      </c>
      <c r="R41" s="349">
        <f t="shared" si="36"/>
        <v>30000</v>
      </c>
      <c r="S41" s="349">
        <f t="shared" si="36"/>
        <v>30000</v>
      </c>
      <c r="T41" s="349">
        <f t="shared" si="36"/>
        <v>30000</v>
      </c>
      <c r="U41" s="349">
        <f t="shared" si="36"/>
        <v>30000</v>
      </c>
      <c r="V41" s="349">
        <f t="shared" si="36"/>
        <v>30000</v>
      </c>
      <c r="W41" s="349">
        <f t="shared" si="36"/>
        <v>30000</v>
      </c>
      <c r="X41" s="349">
        <f t="shared" si="36"/>
        <v>30000</v>
      </c>
      <c r="Y41" s="349">
        <f t="shared" si="36"/>
        <v>30000</v>
      </c>
      <c r="Z41" s="349">
        <f t="shared" si="36"/>
        <v>30000</v>
      </c>
      <c r="AA41" s="349">
        <f t="shared" si="36"/>
        <v>30000</v>
      </c>
      <c r="AB41" s="349">
        <f t="shared" si="36"/>
        <v>30000</v>
      </c>
      <c r="AC41" s="349">
        <f t="shared" si="36"/>
        <v>30000</v>
      </c>
      <c r="AD41" s="349">
        <f t="shared" si="36"/>
        <v>30000</v>
      </c>
      <c r="AE41" s="349">
        <f t="shared" si="36"/>
        <v>30000</v>
      </c>
      <c r="AF41" s="349">
        <f t="shared" si="36"/>
        <v>30000</v>
      </c>
      <c r="AG41" s="349">
        <f t="shared" si="36"/>
        <v>30000</v>
      </c>
      <c r="AH41" s="349">
        <f t="shared" si="36"/>
        <v>30000</v>
      </c>
      <c r="AI41" s="349">
        <f t="shared" si="36"/>
        <v>30000</v>
      </c>
      <c r="AJ41" s="349">
        <f t="shared" si="36"/>
        <v>40000</v>
      </c>
      <c r="AK41" s="349">
        <f t="shared" si="36"/>
        <v>40000</v>
      </c>
      <c r="AL41" s="349">
        <f t="shared" ref="AL41:BQ41" si="38">+SUM(AL38:AL38)</f>
        <v>40000</v>
      </c>
      <c r="AM41" s="349">
        <f t="shared" si="38"/>
        <v>40000</v>
      </c>
      <c r="AN41" s="349">
        <f t="shared" si="38"/>
        <v>40000</v>
      </c>
      <c r="AO41" s="349">
        <f t="shared" si="38"/>
        <v>40000</v>
      </c>
      <c r="AP41" s="349">
        <f t="shared" si="38"/>
        <v>50000</v>
      </c>
      <c r="AQ41" s="349">
        <f t="shared" si="38"/>
        <v>50000</v>
      </c>
      <c r="AR41" s="349">
        <f t="shared" si="38"/>
        <v>50000</v>
      </c>
      <c r="AS41" s="349">
        <f t="shared" si="38"/>
        <v>50000</v>
      </c>
      <c r="AT41" s="349">
        <f t="shared" si="38"/>
        <v>50000</v>
      </c>
      <c r="AU41" s="349">
        <f t="shared" si="38"/>
        <v>50000</v>
      </c>
      <c r="AV41" s="349">
        <f t="shared" si="38"/>
        <v>50000</v>
      </c>
      <c r="AW41" s="349">
        <f t="shared" si="38"/>
        <v>50000</v>
      </c>
      <c r="AX41" s="349">
        <f t="shared" si="38"/>
        <v>50000</v>
      </c>
      <c r="AY41" s="349">
        <f t="shared" si="38"/>
        <v>50000</v>
      </c>
      <c r="AZ41" s="349">
        <f t="shared" si="38"/>
        <v>50000</v>
      </c>
      <c r="BA41" s="349">
        <f t="shared" si="38"/>
        <v>50000</v>
      </c>
      <c r="BB41" s="349">
        <f t="shared" si="38"/>
        <v>60000</v>
      </c>
      <c r="BC41" s="349">
        <f t="shared" si="38"/>
        <v>60000</v>
      </c>
      <c r="BD41" s="349">
        <f t="shared" si="38"/>
        <v>60000</v>
      </c>
      <c r="BE41" s="349">
        <f t="shared" si="38"/>
        <v>60000</v>
      </c>
      <c r="BF41" s="349">
        <f t="shared" si="38"/>
        <v>60000</v>
      </c>
      <c r="BG41" s="349">
        <f t="shared" si="38"/>
        <v>60000</v>
      </c>
      <c r="BH41" s="349">
        <f t="shared" si="38"/>
        <v>60000</v>
      </c>
      <c r="BI41" s="349">
        <f t="shared" si="38"/>
        <v>60000</v>
      </c>
      <c r="BJ41" s="349">
        <f t="shared" si="38"/>
        <v>60000</v>
      </c>
      <c r="BK41" s="349">
        <f t="shared" si="38"/>
        <v>60000</v>
      </c>
      <c r="BL41" s="349">
        <f t="shared" si="38"/>
        <v>60000</v>
      </c>
      <c r="BM41" s="349">
        <f t="shared" si="38"/>
        <v>60000</v>
      </c>
      <c r="BN41" s="349">
        <f t="shared" si="38"/>
        <v>70000</v>
      </c>
      <c r="BO41" s="349">
        <f t="shared" si="38"/>
        <v>70000</v>
      </c>
      <c r="BP41" s="349">
        <f t="shared" si="38"/>
        <v>70000</v>
      </c>
      <c r="BQ41" s="349">
        <f t="shared" si="38"/>
        <v>70000</v>
      </c>
      <c r="BR41" s="349">
        <f t="shared" ref="BR41:CK41" si="39">+SUM(BR38:BR38)</f>
        <v>70000</v>
      </c>
      <c r="BS41" s="349">
        <f t="shared" si="39"/>
        <v>70000</v>
      </c>
      <c r="BT41" s="349">
        <f t="shared" si="39"/>
        <v>80000</v>
      </c>
      <c r="BU41" s="349">
        <f t="shared" si="39"/>
        <v>80000</v>
      </c>
      <c r="BV41" s="349">
        <f t="shared" si="39"/>
        <v>80000</v>
      </c>
      <c r="BW41" s="349">
        <f t="shared" si="39"/>
        <v>80000</v>
      </c>
      <c r="BX41" s="349">
        <f t="shared" si="39"/>
        <v>80000</v>
      </c>
      <c r="BY41" s="349">
        <f t="shared" si="39"/>
        <v>80000</v>
      </c>
      <c r="BZ41" s="349">
        <f t="shared" si="39"/>
        <v>80000</v>
      </c>
      <c r="CA41" s="349">
        <f t="shared" si="39"/>
        <v>80000</v>
      </c>
      <c r="CB41" s="349">
        <f t="shared" si="39"/>
        <v>80000</v>
      </c>
      <c r="CC41" s="349">
        <f t="shared" si="39"/>
        <v>80000</v>
      </c>
      <c r="CD41" s="349">
        <f t="shared" si="39"/>
        <v>80000</v>
      </c>
      <c r="CE41" s="349">
        <f t="shared" si="39"/>
        <v>80000</v>
      </c>
      <c r="CF41" s="349">
        <f t="shared" si="39"/>
        <v>90000</v>
      </c>
      <c r="CG41" s="349">
        <f t="shared" si="39"/>
        <v>90000</v>
      </c>
      <c r="CH41" s="349">
        <f t="shared" si="39"/>
        <v>90000</v>
      </c>
      <c r="CI41" s="349">
        <f t="shared" si="39"/>
        <v>90000</v>
      </c>
      <c r="CJ41" s="349">
        <f t="shared" si="39"/>
        <v>90000</v>
      </c>
      <c r="CK41" s="350">
        <f t="shared" si="39"/>
        <v>90000</v>
      </c>
    </row>
    <row r="42" spans="1:89" x14ac:dyDescent="0.3">
      <c r="J42" s="9"/>
      <c r="O42" s="9"/>
    </row>
    <row r="43" spans="1:89" x14ac:dyDescent="0.3">
      <c r="M43" s="9"/>
    </row>
    <row r="44" spans="1:89" x14ac:dyDescent="0.3">
      <c r="D44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21" bestFit="1" customWidth="1"/>
    <col min="2" max="2" width="7.44140625" style="21" bestFit="1" customWidth="1"/>
    <col min="3" max="3" width="8.44140625" style="21" bestFit="1" customWidth="1"/>
    <col min="4" max="4" width="12.88671875" style="21" bestFit="1" customWidth="1"/>
    <col min="5" max="5" width="7.33203125" style="21" bestFit="1" customWidth="1"/>
    <col min="6" max="6" width="31.5546875" style="21" bestFit="1" customWidth="1"/>
    <col min="7" max="7" width="21" style="21" bestFit="1" customWidth="1"/>
    <col min="8" max="8" width="43.33203125" style="21" bestFit="1" customWidth="1"/>
    <col min="9" max="9" width="7" style="21" bestFit="1" customWidth="1"/>
    <col min="10" max="10" width="106.109375" style="21" bestFit="1" customWidth="1"/>
    <col min="11" max="11" width="8.5546875" style="21" bestFit="1" customWidth="1"/>
    <col min="12" max="13" width="9.109375" style="21"/>
    <col min="14" max="14" width="39.109375" style="21" bestFit="1" customWidth="1"/>
    <col min="15" max="15" width="17.33203125" style="21" bestFit="1" customWidth="1"/>
    <col min="16" max="16" width="12.6640625" style="21" bestFit="1" customWidth="1"/>
    <col min="17" max="17" width="11.5546875" style="21" bestFit="1" customWidth="1"/>
    <col min="18" max="16384" width="9.109375" style="21"/>
  </cols>
  <sheetData>
    <row r="1" spans="1:14" x14ac:dyDescent="0.3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2" t="s">
        <v>63</v>
      </c>
      <c r="K1" s="21" t="s">
        <v>64</v>
      </c>
    </row>
    <row r="2" spans="1:14" x14ac:dyDescent="0.3">
      <c r="A2" s="23" t="s">
        <v>65</v>
      </c>
      <c r="B2" s="24">
        <v>44836</v>
      </c>
      <c r="C2" s="23">
        <v>1</v>
      </c>
      <c r="D2" s="23">
        <v>50</v>
      </c>
      <c r="E2" s="23">
        <v>50</v>
      </c>
      <c r="F2" s="23" t="s">
        <v>66</v>
      </c>
      <c r="G2" s="23" t="s">
        <v>66</v>
      </c>
      <c r="H2" s="23" t="s">
        <v>67</v>
      </c>
      <c r="I2" s="23" t="s">
        <v>68</v>
      </c>
      <c r="J2" s="25" t="s">
        <v>68</v>
      </c>
      <c r="K2" s="23">
        <v>50</v>
      </c>
      <c r="N2" s="21" t="s">
        <v>69</v>
      </c>
    </row>
    <row r="3" spans="1:14" x14ac:dyDescent="0.3">
      <c r="A3" s="23" t="s">
        <v>65</v>
      </c>
      <c r="B3" s="24">
        <v>44846</v>
      </c>
      <c r="C3" s="23">
        <v>2</v>
      </c>
      <c r="D3" s="23">
        <v>50</v>
      </c>
      <c r="E3" s="23">
        <v>100</v>
      </c>
      <c r="F3" s="23" t="s">
        <v>66</v>
      </c>
      <c r="G3" s="23" t="s">
        <v>66</v>
      </c>
      <c r="H3" s="23" t="s">
        <v>70</v>
      </c>
      <c r="I3" s="23" t="s">
        <v>68</v>
      </c>
      <c r="J3" s="23" t="s">
        <v>71</v>
      </c>
      <c r="K3" s="23">
        <v>100</v>
      </c>
    </row>
    <row r="4" spans="1:14" x14ac:dyDescent="0.3">
      <c r="A4" s="23" t="s">
        <v>65</v>
      </c>
      <c r="B4" s="24">
        <v>44858</v>
      </c>
      <c r="C4" s="23">
        <v>1</v>
      </c>
      <c r="D4" s="23">
        <v>50</v>
      </c>
      <c r="E4" s="23">
        <v>50</v>
      </c>
      <c r="F4" s="23" t="s">
        <v>66</v>
      </c>
      <c r="G4" s="23" t="s">
        <v>66</v>
      </c>
      <c r="H4" s="23" t="s">
        <v>72</v>
      </c>
      <c r="I4" s="23" t="s">
        <v>68</v>
      </c>
      <c r="J4" s="23" t="s">
        <v>71</v>
      </c>
      <c r="K4" s="23">
        <v>50</v>
      </c>
    </row>
    <row r="5" spans="1:14" x14ac:dyDescent="0.3">
      <c r="A5" s="23" t="s">
        <v>65</v>
      </c>
      <c r="B5" s="24">
        <v>44859</v>
      </c>
      <c r="C5" s="23">
        <v>0.75</v>
      </c>
      <c r="D5" s="23">
        <v>50</v>
      </c>
      <c r="E5" s="23">
        <v>37.5</v>
      </c>
      <c r="F5" s="23" t="s">
        <v>66</v>
      </c>
      <c r="G5" s="23" t="s">
        <v>66</v>
      </c>
      <c r="H5" s="23" t="s">
        <v>73</v>
      </c>
      <c r="I5" s="23" t="s">
        <v>68</v>
      </c>
      <c r="J5" s="23" t="s">
        <v>71</v>
      </c>
      <c r="K5" s="23">
        <v>37.5</v>
      </c>
    </row>
    <row r="6" spans="1:14" x14ac:dyDescent="0.3">
      <c r="A6" s="23" t="s">
        <v>65</v>
      </c>
      <c r="B6" s="24">
        <v>44861</v>
      </c>
      <c r="C6" s="23">
        <v>1</v>
      </c>
      <c r="D6" s="23">
        <v>50</v>
      </c>
      <c r="E6" s="23">
        <v>50</v>
      </c>
      <c r="F6" s="23" t="s">
        <v>66</v>
      </c>
      <c r="G6" s="23" t="s">
        <v>66</v>
      </c>
      <c r="H6" s="23" t="s">
        <v>74</v>
      </c>
      <c r="I6" s="23" t="s">
        <v>68</v>
      </c>
      <c r="J6" s="23" t="s">
        <v>71</v>
      </c>
      <c r="K6" s="23">
        <v>50</v>
      </c>
    </row>
    <row r="7" spans="1:14" x14ac:dyDescent="0.3">
      <c r="A7" s="23" t="s">
        <v>75</v>
      </c>
      <c r="B7" s="24">
        <v>44849</v>
      </c>
      <c r="C7" s="23">
        <v>1</v>
      </c>
      <c r="D7" s="23">
        <v>60</v>
      </c>
      <c r="E7" s="23">
        <v>60</v>
      </c>
      <c r="F7" s="23" t="s">
        <v>66</v>
      </c>
      <c r="G7" s="23" t="s">
        <v>66</v>
      </c>
      <c r="H7" s="23" t="s">
        <v>76</v>
      </c>
      <c r="I7" s="23" t="s">
        <v>68</v>
      </c>
      <c r="J7" s="23" t="s">
        <v>71</v>
      </c>
      <c r="K7" s="23">
        <v>60</v>
      </c>
    </row>
    <row r="8" spans="1:14" x14ac:dyDescent="0.3">
      <c r="A8" s="23" t="s">
        <v>77</v>
      </c>
      <c r="B8" s="24">
        <v>44852</v>
      </c>
      <c r="C8" s="23">
        <v>3.5</v>
      </c>
      <c r="D8" s="23">
        <v>50</v>
      </c>
      <c r="E8" s="23">
        <v>175</v>
      </c>
      <c r="F8" s="23" t="s">
        <v>66</v>
      </c>
      <c r="G8" s="23" t="s">
        <v>66</v>
      </c>
      <c r="H8" s="23" t="s">
        <v>78</v>
      </c>
      <c r="I8" s="23" t="s">
        <v>66</v>
      </c>
      <c r="J8" s="23" t="s">
        <v>79</v>
      </c>
      <c r="K8" s="23">
        <v>200</v>
      </c>
    </row>
    <row r="9" spans="1:14" x14ac:dyDescent="0.3">
      <c r="A9" s="23" t="s">
        <v>77</v>
      </c>
      <c r="B9" s="24">
        <v>44857</v>
      </c>
      <c r="C9" s="23">
        <v>1</v>
      </c>
      <c r="D9" s="23">
        <v>50</v>
      </c>
      <c r="E9" s="23">
        <v>50</v>
      </c>
      <c r="F9" s="23" t="s">
        <v>66</v>
      </c>
      <c r="G9" s="23" t="s">
        <v>66</v>
      </c>
      <c r="H9" s="23" t="s">
        <v>80</v>
      </c>
      <c r="I9" s="23" t="s">
        <v>68</v>
      </c>
      <c r="J9" s="23" t="s">
        <v>81</v>
      </c>
      <c r="K9" s="23">
        <v>50</v>
      </c>
    </row>
    <row r="10" spans="1:14" x14ac:dyDescent="0.3">
      <c r="A10" s="23" t="s">
        <v>82</v>
      </c>
      <c r="B10" s="24">
        <v>44837</v>
      </c>
      <c r="C10" s="23">
        <v>1</v>
      </c>
      <c r="D10" s="23">
        <v>50</v>
      </c>
      <c r="E10" s="23">
        <v>50</v>
      </c>
      <c r="F10" s="23" t="s">
        <v>66</v>
      </c>
      <c r="G10" s="23" t="s">
        <v>66</v>
      </c>
      <c r="H10" s="23" t="s">
        <v>83</v>
      </c>
      <c r="I10" s="23" t="s">
        <v>68</v>
      </c>
      <c r="J10" s="23" t="s">
        <v>71</v>
      </c>
      <c r="K10" s="23">
        <v>50</v>
      </c>
    </row>
    <row r="11" spans="1:14" x14ac:dyDescent="0.3">
      <c r="A11" s="23" t="s">
        <v>84</v>
      </c>
      <c r="B11" s="24">
        <v>44842</v>
      </c>
      <c r="C11" s="23">
        <v>1</v>
      </c>
      <c r="D11" s="23">
        <v>60</v>
      </c>
      <c r="E11" s="23">
        <v>60</v>
      </c>
      <c r="F11" s="23" t="s">
        <v>66</v>
      </c>
      <c r="G11" s="23" t="s">
        <v>66</v>
      </c>
      <c r="H11" s="23" t="s">
        <v>85</v>
      </c>
      <c r="I11" s="23" t="s">
        <v>68</v>
      </c>
      <c r="J11" s="23" t="s">
        <v>71</v>
      </c>
      <c r="K11" s="23">
        <v>60</v>
      </c>
    </row>
    <row r="12" spans="1:14" x14ac:dyDescent="0.3">
      <c r="A12" s="23" t="s">
        <v>84</v>
      </c>
      <c r="B12" s="24">
        <v>44846</v>
      </c>
      <c r="C12" s="23">
        <v>1</v>
      </c>
      <c r="D12" s="23">
        <v>60</v>
      </c>
      <c r="E12" s="23">
        <v>60</v>
      </c>
      <c r="F12" s="23" t="s">
        <v>66</v>
      </c>
      <c r="G12" s="23" t="s">
        <v>66</v>
      </c>
      <c r="H12" s="23" t="s">
        <v>85</v>
      </c>
      <c r="I12" s="23" t="s">
        <v>68</v>
      </c>
      <c r="J12" s="23" t="s">
        <v>71</v>
      </c>
      <c r="K12" s="23">
        <v>60</v>
      </c>
    </row>
    <row r="13" spans="1:14" x14ac:dyDescent="0.3">
      <c r="A13" s="23" t="s">
        <v>84</v>
      </c>
      <c r="B13" s="24">
        <v>44853</v>
      </c>
      <c r="C13" s="23">
        <v>1.25</v>
      </c>
      <c r="D13" s="23">
        <v>60</v>
      </c>
      <c r="E13" s="23">
        <v>75</v>
      </c>
      <c r="F13" s="23" t="s">
        <v>66</v>
      </c>
      <c r="G13" s="23" t="s">
        <v>66</v>
      </c>
      <c r="H13" s="23" t="s">
        <v>86</v>
      </c>
      <c r="I13" s="23" t="s">
        <v>68</v>
      </c>
      <c r="J13" s="23" t="s">
        <v>71</v>
      </c>
      <c r="K13" s="23">
        <v>75</v>
      </c>
    </row>
    <row r="14" spans="1:14" x14ac:dyDescent="0.3">
      <c r="A14" s="23" t="s">
        <v>87</v>
      </c>
      <c r="B14" s="24">
        <v>44856</v>
      </c>
      <c r="C14" s="23">
        <v>1</v>
      </c>
      <c r="D14" s="23">
        <v>60</v>
      </c>
      <c r="E14" s="23">
        <v>60</v>
      </c>
      <c r="F14" s="23" t="s">
        <v>66</v>
      </c>
      <c r="G14" s="23" t="s">
        <v>66</v>
      </c>
      <c r="H14" s="23" t="s">
        <v>85</v>
      </c>
      <c r="I14" s="23" t="s">
        <v>68</v>
      </c>
      <c r="J14" s="23" t="s">
        <v>71</v>
      </c>
      <c r="K14" s="23">
        <v>60</v>
      </c>
      <c r="N14" s="21" t="s">
        <v>88</v>
      </c>
    </row>
    <row r="15" spans="1:14" x14ac:dyDescent="0.3">
      <c r="A15" s="23" t="s">
        <v>89</v>
      </c>
      <c r="B15" s="24">
        <v>44845</v>
      </c>
      <c r="C15" s="23">
        <v>1</v>
      </c>
      <c r="D15" s="23">
        <v>50</v>
      </c>
      <c r="E15" s="23">
        <v>50</v>
      </c>
      <c r="F15" s="23" t="s">
        <v>66</v>
      </c>
      <c r="G15" s="23" t="s">
        <v>66</v>
      </c>
      <c r="H15" s="23" t="s">
        <v>90</v>
      </c>
      <c r="I15" s="23" t="s">
        <v>68</v>
      </c>
      <c r="J15" s="23" t="s">
        <v>71</v>
      </c>
      <c r="K15" s="23">
        <v>50</v>
      </c>
    </row>
    <row r="16" spans="1:14" x14ac:dyDescent="0.3">
      <c r="A16" s="23" t="s">
        <v>89</v>
      </c>
      <c r="B16" s="24">
        <v>44851</v>
      </c>
      <c r="C16" s="23">
        <v>1.5</v>
      </c>
      <c r="D16" s="23">
        <v>50</v>
      </c>
      <c r="E16" s="23">
        <v>75</v>
      </c>
      <c r="F16" s="23" t="s">
        <v>66</v>
      </c>
      <c r="G16" s="23" t="s">
        <v>66</v>
      </c>
      <c r="H16" s="23" t="s">
        <v>91</v>
      </c>
      <c r="I16" s="23" t="s">
        <v>68</v>
      </c>
      <c r="J16" s="23" t="s">
        <v>71</v>
      </c>
      <c r="K16" s="23">
        <v>75</v>
      </c>
    </row>
    <row r="17" spans="1:17" x14ac:dyDescent="0.3">
      <c r="A17" s="23" t="s">
        <v>92</v>
      </c>
      <c r="B17" s="24">
        <v>44851</v>
      </c>
      <c r="C17" s="23">
        <v>1.5</v>
      </c>
      <c r="D17" s="23">
        <v>50</v>
      </c>
      <c r="E17" s="23">
        <v>75</v>
      </c>
      <c r="F17" s="23" t="s">
        <v>66</v>
      </c>
      <c r="G17" s="23" t="s">
        <v>66</v>
      </c>
      <c r="H17" s="23" t="s">
        <v>93</v>
      </c>
      <c r="I17" s="23" t="s">
        <v>68</v>
      </c>
      <c r="J17" s="23" t="s">
        <v>71</v>
      </c>
      <c r="K17" s="23">
        <v>75</v>
      </c>
    </row>
    <row r="18" spans="1:17" x14ac:dyDescent="0.3">
      <c r="A18" s="23" t="s">
        <v>92</v>
      </c>
      <c r="B18" s="24">
        <v>44857</v>
      </c>
      <c r="C18" s="23">
        <v>1.5</v>
      </c>
      <c r="D18" s="23">
        <v>50</v>
      </c>
      <c r="E18" s="23">
        <v>75</v>
      </c>
      <c r="F18" s="23" t="s">
        <v>66</v>
      </c>
      <c r="G18" s="23" t="s">
        <v>66</v>
      </c>
      <c r="H18" s="23" t="s">
        <v>93</v>
      </c>
      <c r="I18" s="23" t="s">
        <v>68</v>
      </c>
      <c r="J18" s="23" t="s">
        <v>71</v>
      </c>
      <c r="K18" s="23">
        <v>75</v>
      </c>
      <c r="O18" s="31" t="s">
        <v>135</v>
      </c>
      <c r="P18" t="s">
        <v>137</v>
      </c>
      <c r="Q18" t="s">
        <v>138</v>
      </c>
    </row>
    <row r="19" spans="1:17" x14ac:dyDescent="0.3">
      <c r="A19" s="23" t="s">
        <v>94</v>
      </c>
      <c r="B19" s="24">
        <v>44836</v>
      </c>
      <c r="C19" s="23">
        <v>1.5</v>
      </c>
      <c r="D19" s="23">
        <v>50</v>
      </c>
      <c r="E19" s="23">
        <v>75</v>
      </c>
      <c r="F19" s="23" t="s">
        <v>66</v>
      </c>
      <c r="G19" s="23" t="s">
        <v>66</v>
      </c>
      <c r="H19" s="23" t="s">
        <v>95</v>
      </c>
      <c r="I19" s="23" t="s">
        <v>68</v>
      </c>
      <c r="J19" s="25" t="s">
        <v>68</v>
      </c>
      <c r="K19" s="23">
        <v>75</v>
      </c>
      <c r="O19" s="32" t="s">
        <v>65</v>
      </c>
      <c r="P19">
        <v>5.75</v>
      </c>
      <c r="Q19">
        <v>287.5</v>
      </c>
    </row>
    <row r="20" spans="1:17" x14ac:dyDescent="0.3">
      <c r="A20" s="23" t="s">
        <v>96</v>
      </c>
      <c r="B20" s="24">
        <v>44836</v>
      </c>
      <c r="C20" s="23">
        <v>2</v>
      </c>
      <c r="D20" s="23">
        <v>50</v>
      </c>
      <c r="E20" s="23">
        <v>100</v>
      </c>
      <c r="F20" s="23" t="s">
        <v>66</v>
      </c>
      <c r="G20" s="23" t="s">
        <v>66</v>
      </c>
      <c r="H20" s="23" t="s">
        <v>97</v>
      </c>
      <c r="I20" s="23" t="s">
        <v>68</v>
      </c>
      <c r="J20" s="25" t="s">
        <v>68</v>
      </c>
      <c r="K20" s="23">
        <v>100</v>
      </c>
      <c r="O20" s="32" t="s">
        <v>75</v>
      </c>
      <c r="P20">
        <v>1</v>
      </c>
      <c r="Q20">
        <v>60</v>
      </c>
    </row>
    <row r="21" spans="1:17" ht="14.25" customHeight="1" x14ac:dyDescent="0.3">
      <c r="A21" s="23" t="s">
        <v>96</v>
      </c>
      <c r="B21" s="24">
        <v>44854</v>
      </c>
      <c r="C21" s="23">
        <v>1.5</v>
      </c>
      <c r="D21" s="23">
        <v>50</v>
      </c>
      <c r="E21" s="23">
        <v>75</v>
      </c>
      <c r="F21" s="23" t="s">
        <v>66</v>
      </c>
      <c r="G21" s="23" t="s">
        <v>66</v>
      </c>
      <c r="H21" s="23" t="s">
        <v>97</v>
      </c>
      <c r="I21" s="23" t="s">
        <v>68</v>
      </c>
      <c r="J21" s="23" t="s">
        <v>98</v>
      </c>
      <c r="K21" s="23">
        <v>75</v>
      </c>
      <c r="O21" s="32" t="s">
        <v>77</v>
      </c>
      <c r="P21">
        <v>4.5</v>
      </c>
      <c r="Q21">
        <v>225</v>
      </c>
    </row>
    <row r="22" spans="1:17" x14ac:dyDescent="0.3">
      <c r="A22" s="23" t="s">
        <v>99</v>
      </c>
      <c r="B22" s="24">
        <v>44847</v>
      </c>
      <c r="C22" s="23">
        <v>2</v>
      </c>
      <c r="D22" s="23">
        <v>50</v>
      </c>
      <c r="E22" s="23">
        <v>100</v>
      </c>
      <c r="F22" s="23" t="s">
        <v>66</v>
      </c>
      <c r="G22" s="23" t="s">
        <v>66</v>
      </c>
      <c r="H22" s="23" t="s">
        <v>100</v>
      </c>
      <c r="I22" s="23" t="s">
        <v>68</v>
      </c>
      <c r="J22" s="23" t="s">
        <v>71</v>
      </c>
      <c r="K22" s="23">
        <v>100</v>
      </c>
      <c r="O22" s="32" t="s">
        <v>82</v>
      </c>
      <c r="P22">
        <v>1</v>
      </c>
      <c r="Q22">
        <v>50</v>
      </c>
    </row>
    <row r="23" spans="1:17" x14ac:dyDescent="0.3">
      <c r="A23" s="23" t="s">
        <v>101</v>
      </c>
      <c r="B23" s="24">
        <v>44856</v>
      </c>
      <c r="C23" s="23">
        <v>0.5</v>
      </c>
      <c r="D23" s="23">
        <v>60</v>
      </c>
      <c r="E23" s="23">
        <v>30</v>
      </c>
      <c r="F23" s="23" t="s">
        <v>66</v>
      </c>
      <c r="G23" s="23" t="s">
        <v>66</v>
      </c>
      <c r="H23" s="23" t="s">
        <v>102</v>
      </c>
      <c r="I23" s="23" t="s">
        <v>68</v>
      </c>
      <c r="J23" s="23" t="s">
        <v>71</v>
      </c>
      <c r="K23" s="23">
        <v>30</v>
      </c>
      <c r="O23" s="32" t="s">
        <v>84</v>
      </c>
      <c r="P23">
        <v>3.25</v>
      </c>
      <c r="Q23">
        <v>195</v>
      </c>
    </row>
    <row r="24" spans="1:17" x14ac:dyDescent="0.3">
      <c r="A24" s="23" t="s">
        <v>103</v>
      </c>
      <c r="B24" s="24">
        <v>44857</v>
      </c>
      <c r="C24" s="23">
        <v>2</v>
      </c>
      <c r="D24" s="23">
        <v>50</v>
      </c>
      <c r="E24" s="23">
        <v>100</v>
      </c>
      <c r="F24" s="23" t="s">
        <v>66</v>
      </c>
      <c r="G24" s="23" t="s">
        <v>66</v>
      </c>
      <c r="H24" s="23" t="s">
        <v>104</v>
      </c>
      <c r="I24" s="23" t="s">
        <v>68</v>
      </c>
      <c r="J24" s="23" t="s">
        <v>71</v>
      </c>
      <c r="K24" s="23">
        <v>100</v>
      </c>
      <c r="O24" s="32" t="s">
        <v>87</v>
      </c>
      <c r="P24">
        <v>1</v>
      </c>
      <c r="Q24">
        <v>60</v>
      </c>
    </row>
    <row r="25" spans="1:17" x14ac:dyDescent="0.3">
      <c r="A25" s="23" t="s">
        <v>103</v>
      </c>
      <c r="B25" s="24">
        <v>44863</v>
      </c>
      <c r="C25" s="23">
        <v>1</v>
      </c>
      <c r="D25" s="23">
        <v>50</v>
      </c>
      <c r="E25" s="23">
        <v>50</v>
      </c>
      <c r="F25" s="23" t="s">
        <v>66</v>
      </c>
      <c r="G25" s="23" t="s">
        <v>66</v>
      </c>
      <c r="H25" s="23" t="s">
        <v>105</v>
      </c>
      <c r="I25" s="23" t="s">
        <v>68</v>
      </c>
      <c r="J25" s="23" t="s">
        <v>71</v>
      </c>
      <c r="K25" s="23">
        <v>50</v>
      </c>
      <c r="O25" s="32" t="s">
        <v>89</v>
      </c>
      <c r="P25">
        <v>2.5</v>
      </c>
      <c r="Q25">
        <v>125</v>
      </c>
    </row>
    <row r="26" spans="1:17" x14ac:dyDescent="0.3">
      <c r="A26" s="23" t="s">
        <v>103</v>
      </c>
      <c r="B26" s="24">
        <v>44865</v>
      </c>
      <c r="C26" s="23">
        <v>1</v>
      </c>
      <c r="D26" s="23">
        <v>50</v>
      </c>
      <c r="E26" s="23">
        <v>50</v>
      </c>
      <c r="F26" s="23" t="s">
        <v>66</v>
      </c>
      <c r="G26" s="23" t="s">
        <v>66</v>
      </c>
      <c r="H26" s="23" t="s">
        <v>105</v>
      </c>
      <c r="I26" s="23" t="s">
        <v>68</v>
      </c>
      <c r="J26" s="23" t="s">
        <v>71</v>
      </c>
      <c r="K26" s="23">
        <v>50</v>
      </c>
      <c r="O26" s="32" t="s">
        <v>92</v>
      </c>
      <c r="P26">
        <v>3</v>
      </c>
      <c r="Q26">
        <v>150</v>
      </c>
    </row>
    <row r="27" spans="1:17" x14ac:dyDescent="0.3">
      <c r="A27" s="23" t="s">
        <v>106</v>
      </c>
      <c r="B27" s="24">
        <v>44838</v>
      </c>
      <c r="C27" s="23">
        <v>1</v>
      </c>
      <c r="D27" s="23">
        <v>50</v>
      </c>
      <c r="E27" s="23">
        <v>50</v>
      </c>
      <c r="F27" s="23" t="s">
        <v>66</v>
      </c>
      <c r="G27" s="23" t="s">
        <v>66</v>
      </c>
      <c r="H27" s="23" t="s">
        <v>107</v>
      </c>
      <c r="I27" s="23" t="s">
        <v>68</v>
      </c>
      <c r="J27" s="23" t="s">
        <v>71</v>
      </c>
      <c r="K27" s="23">
        <v>50</v>
      </c>
      <c r="O27" s="32" t="s">
        <v>94</v>
      </c>
      <c r="P27">
        <v>1.5</v>
      </c>
      <c r="Q27">
        <v>75</v>
      </c>
    </row>
    <row r="28" spans="1:17" x14ac:dyDescent="0.3">
      <c r="A28" s="23" t="s">
        <v>106</v>
      </c>
      <c r="B28" s="24">
        <v>44840</v>
      </c>
      <c r="C28" s="23">
        <v>2</v>
      </c>
      <c r="D28" s="23">
        <v>50</v>
      </c>
      <c r="E28" s="23">
        <v>100</v>
      </c>
      <c r="F28" s="23" t="s">
        <v>66</v>
      </c>
      <c r="G28" s="23" t="s">
        <v>66</v>
      </c>
      <c r="H28" s="23" t="s">
        <v>107</v>
      </c>
      <c r="I28" s="23" t="s">
        <v>68</v>
      </c>
      <c r="J28" s="23" t="s">
        <v>71</v>
      </c>
      <c r="K28" s="23">
        <v>100</v>
      </c>
      <c r="O28" s="32" t="s">
        <v>96</v>
      </c>
      <c r="P28">
        <v>3.5</v>
      </c>
      <c r="Q28">
        <v>175</v>
      </c>
    </row>
    <row r="29" spans="1:17" x14ac:dyDescent="0.3">
      <c r="A29" s="23" t="s">
        <v>106</v>
      </c>
      <c r="B29" s="24">
        <v>44851</v>
      </c>
      <c r="C29" s="23">
        <v>1.5</v>
      </c>
      <c r="D29" s="23">
        <v>50</v>
      </c>
      <c r="E29" s="23">
        <v>75</v>
      </c>
      <c r="F29" s="23" t="s">
        <v>66</v>
      </c>
      <c r="G29" s="23" t="s">
        <v>66</v>
      </c>
      <c r="H29" s="23" t="s">
        <v>108</v>
      </c>
      <c r="I29" s="23" t="s">
        <v>68</v>
      </c>
      <c r="J29" s="23" t="s">
        <v>71</v>
      </c>
      <c r="K29" s="23">
        <v>75</v>
      </c>
      <c r="O29" s="32" t="s">
        <v>99</v>
      </c>
      <c r="P29">
        <v>2</v>
      </c>
      <c r="Q29">
        <v>100</v>
      </c>
    </row>
    <row r="30" spans="1:17" x14ac:dyDescent="0.3">
      <c r="A30" s="23" t="s">
        <v>106</v>
      </c>
      <c r="B30" s="24">
        <v>44857</v>
      </c>
      <c r="C30" s="23">
        <v>1</v>
      </c>
      <c r="D30" s="23">
        <v>50</v>
      </c>
      <c r="E30" s="23">
        <v>75</v>
      </c>
      <c r="F30" s="23" t="s">
        <v>66</v>
      </c>
      <c r="G30" s="23" t="s">
        <v>66</v>
      </c>
      <c r="H30" s="23" t="s">
        <v>107</v>
      </c>
      <c r="I30" s="23" t="s">
        <v>68</v>
      </c>
      <c r="J30" s="23" t="s">
        <v>71</v>
      </c>
      <c r="K30" s="23">
        <v>75</v>
      </c>
      <c r="O30" s="32" t="s">
        <v>101</v>
      </c>
      <c r="P30">
        <v>0.5</v>
      </c>
      <c r="Q30">
        <v>30</v>
      </c>
    </row>
    <row r="31" spans="1:17" x14ac:dyDescent="0.3">
      <c r="A31" s="23" t="s">
        <v>106</v>
      </c>
      <c r="B31" s="24">
        <v>44858</v>
      </c>
      <c r="C31" s="23">
        <v>1</v>
      </c>
      <c r="D31" s="23">
        <v>50</v>
      </c>
      <c r="E31" s="23">
        <v>50</v>
      </c>
      <c r="F31" s="23" t="s">
        <v>66</v>
      </c>
      <c r="G31" s="23" t="s">
        <v>66</v>
      </c>
      <c r="H31" s="23" t="s">
        <v>107</v>
      </c>
      <c r="I31" s="23" t="s">
        <v>68</v>
      </c>
      <c r="J31" s="23" t="s">
        <v>71</v>
      </c>
      <c r="K31" s="23">
        <v>50</v>
      </c>
      <c r="O31" s="32" t="s">
        <v>103</v>
      </c>
      <c r="P31">
        <v>4</v>
      </c>
      <c r="Q31">
        <v>200</v>
      </c>
    </row>
    <row r="32" spans="1:17" x14ac:dyDescent="0.3">
      <c r="A32" s="23" t="s">
        <v>106</v>
      </c>
      <c r="B32" s="24">
        <v>44859</v>
      </c>
      <c r="C32" s="23">
        <v>1</v>
      </c>
      <c r="D32" s="23">
        <v>50</v>
      </c>
      <c r="E32" s="23">
        <v>50</v>
      </c>
      <c r="F32" s="23" t="s">
        <v>66</v>
      </c>
      <c r="G32" s="23" t="s">
        <v>66</v>
      </c>
      <c r="H32" s="23" t="s">
        <v>107</v>
      </c>
      <c r="I32" s="23" t="s">
        <v>68</v>
      </c>
      <c r="J32" s="23" t="s">
        <v>71</v>
      </c>
      <c r="K32" s="23">
        <v>50</v>
      </c>
      <c r="O32" s="32" t="s">
        <v>106</v>
      </c>
      <c r="P32">
        <v>8.75</v>
      </c>
      <c r="Q32">
        <v>462.5</v>
      </c>
    </row>
    <row r="33" spans="1:17" x14ac:dyDescent="0.3">
      <c r="A33" s="23" t="s">
        <v>106</v>
      </c>
      <c r="B33" s="24">
        <v>44860</v>
      </c>
      <c r="C33" s="23">
        <v>1.25</v>
      </c>
      <c r="D33" s="23">
        <v>50</v>
      </c>
      <c r="E33" s="23">
        <v>62.5</v>
      </c>
      <c r="F33" s="23" t="s">
        <v>66</v>
      </c>
      <c r="G33" s="23" t="s">
        <v>66</v>
      </c>
      <c r="H33" s="23" t="s">
        <v>107</v>
      </c>
      <c r="I33" s="23" t="s">
        <v>68</v>
      </c>
      <c r="J33" s="23" t="s">
        <v>71</v>
      </c>
      <c r="K33" s="23">
        <v>62.5</v>
      </c>
      <c r="O33" s="32" t="s">
        <v>109</v>
      </c>
      <c r="P33">
        <v>1.5</v>
      </c>
      <c r="Q33">
        <v>75</v>
      </c>
    </row>
    <row r="34" spans="1:17" x14ac:dyDescent="0.3">
      <c r="A34" s="23" t="s">
        <v>109</v>
      </c>
      <c r="B34" s="24">
        <v>44846</v>
      </c>
      <c r="C34" s="23">
        <v>1.5</v>
      </c>
      <c r="D34" s="23">
        <v>50</v>
      </c>
      <c r="E34" s="23">
        <v>75</v>
      </c>
      <c r="F34" s="23" t="s">
        <v>66</v>
      </c>
      <c r="G34" s="23" t="s">
        <v>66</v>
      </c>
      <c r="H34" s="23" t="s">
        <v>110</v>
      </c>
      <c r="I34" s="23" t="s">
        <v>68</v>
      </c>
      <c r="J34" s="23" t="s">
        <v>71</v>
      </c>
      <c r="K34" s="23">
        <v>75</v>
      </c>
      <c r="O34" s="32" t="s">
        <v>111</v>
      </c>
      <c r="P34">
        <v>2</v>
      </c>
      <c r="Q34">
        <v>120</v>
      </c>
    </row>
    <row r="35" spans="1:17" x14ac:dyDescent="0.3">
      <c r="A35" s="23" t="s">
        <v>111</v>
      </c>
      <c r="B35" s="24">
        <v>44860</v>
      </c>
      <c r="C35" s="23">
        <v>1</v>
      </c>
      <c r="D35" s="23">
        <v>60</v>
      </c>
      <c r="E35" s="23">
        <v>60</v>
      </c>
      <c r="F35" s="23" t="s">
        <v>112</v>
      </c>
      <c r="G35" s="23" t="s">
        <v>66</v>
      </c>
      <c r="H35" s="23" t="s">
        <v>113</v>
      </c>
      <c r="I35" s="23" t="s">
        <v>68</v>
      </c>
      <c r="J35" s="23" t="s">
        <v>71</v>
      </c>
      <c r="K35" s="23">
        <v>60</v>
      </c>
      <c r="O35" s="32" t="s">
        <v>114</v>
      </c>
      <c r="P35">
        <v>11.5</v>
      </c>
      <c r="Q35">
        <v>450</v>
      </c>
    </row>
    <row r="36" spans="1:17" x14ac:dyDescent="0.3">
      <c r="A36" s="23" t="s">
        <v>111</v>
      </c>
      <c r="B36" s="24">
        <v>44861</v>
      </c>
      <c r="C36" s="23">
        <v>1</v>
      </c>
      <c r="D36" s="23">
        <v>60</v>
      </c>
      <c r="E36" s="23">
        <v>60</v>
      </c>
      <c r="F36" s="23" t="s">
        <v>66</v>
      </c>
      <c r="G36" s="23" t="s">
        <v>66</v>
      </c>
      <c r="H36" s="23" t="s">
        <v>113</v>
      </c>
      <c r="I36" s="23" t="s">
        <v>68</v>
      </c>
      <c r="J36" s="23" t="s">
        <v>71</v>
      </c>
      <c r="K36" s="23">
        <v>60</v>
      </c>
      <c r="O36" s="32" t="s">
        <v>136</v>
      </c>
      <c r="P36">
        <v>57.25</v>
      </c>
      <c r="Q36">
        <v>2840</v>
      </c>
    </row>
    <row r="37" spans="1:17" x14ac:dyDescent="0.3">
      <c r="A37" s="23" t="s">
        <v>114</v>
      </c>
      <c r="B37" s="24">
        <v>44840</v>
      </c>
      <c r="C37" s="23">
        <v>1.5</v>
      </c>
      <c r="D37" s="23">
        <v>50</v>
      </c>
      <c r="E37" s="23">
        <v>75</v>
      </c>
      <c r="F37" s="23" t="s">
        <v>66</v>
      </c>
      <c r="G37" s="23" t="s">
        <v>66</v>
      </c>
      <c r="H37" s="23" t="s">
        <v>115</v>
      </c>
      <c r="I37" s="23" t="s">
        <v>68</v>
      </c>
      <c r="J37" s="23" t="s">
        <v>71</v>
      </c>
      <c r="K37" s="23">
        <v>75</v>
      </c>
    </row>
    <row r="38" spans="1:17" x14ac:dyDescent="0.3">
      <c r="A38" s="23" t="s">
        <v>114</v>
      </c>
      <c r="B38" s="24">
        <v>44855</v>
      </c>
      <c r="C38" s="23">
        <v>2</v>
      </c>
      <c r="D38" s="23">
        <v>50</v>
      </c>
      <c r="E38" s="23">
        <v>100</v>
      </c>
      <c r="F38" s="23" t="s">
        <v>66</v>
      </c>
      <c r="G38" s="23" t="s">
        <v>66</v>
      </c>
      <c r="H38" s="23" t="s">
        <v>100</v>
      </c>
      <c r="I38" s="23" t="s">
        <v>68</v>
      </c>
      <c r="J38" s="23" t="s">
        <v>71</v>
      </c>
      <c r="K38" s="23">
        <v>100</v>
      </c>
    </row>
    <row r="39" spans="1:17" x14ac:dyDescent="0.3">
      <c r="A39" s="23" t="s">
        <v>114</v>
      </c>
      <c r="B39" s="24">
        <v>44857</v>
      </c>
      <c r="C39" s="23">
        <v>0.5</v>
      </c>
      <c r="D39" s="23">
        <v>50</v>
      </c>
      <c r="E39" s="23">
        <v>25</v>
      </c>
      <c r="F39" s="23" t="s">
        <v>68</v>
      </c>
      <c r="G39" s="23" t="s">
        <v>66</v>
      </c>
      <c r="H39" s="23" t="s">
        <v>100</v>
      </c>
      <c r="I39" s="23" t="s">
        <v>68</v>
      </c>
      <c r="J39" s="23" t="s">
        <v>71</v>
      </c>
      <c r="K39" s="23">
        <v>25</v>
      </c>
    </row>
    <row r="40" spans="1:17" x14ac:dyDescent="0.3">
      <c r="A40" s="23" t="s">
        <v>114</v>
      </c>
      <c r="B40" s="24">
        <v>44863</v>
      </c>
      <c r="C40" s="23">
        <v>5</v>
      </c>
      <c r="D40" s="23">
        <v>50</v>
      </c>
      <c r="E40" s="23">
        <v>125</v>
      </c>
      <c r="F40" s="23" t="s">
        <v>66</v>
      </c>
      <c r="G40" s="23" t="s">
        <v>66</v>
      </c>
      <c r="H40" s="23" t="s">
        <v>100</v>
      </c>
      <c r="I40" s="23" t="s">
        <v>68</v>
      </c>
      <c r="J40" s="23" t="s">
        <v>71</v>
      </c>
      <c r="K40" s="23">
        <v>250</v>
      </c>
    </row>
    <row r="41" spans="1:17" x14ac:dyDescent="0.3">
      <c r="A41" s="23" t="s">
        <v>114</v>
      </c>
      <c r="B41" s="24">
        <v>44864</v>
      </c>
      <c r="C41" s="23">
        <v>2.5</v>
      </c>
      <c r="D41" s="23">
        <v>50</v>
      </c>
      <c r="E41" s="23">
        <v>125</v>
      </c>
      <c r="F41" s="23" t="s">
        <v>66</v>
      </c>
      <c r="G41" s="23" t="s">
        <v>66</v>
      </c>
      <c r="H41" s="23" t="s">
        <v>100</v>
      </c>
      <c r="I41" s="23" t="s">
        <v>68</v>
      </c>
      <c r="J41" s="23" t="s">
        <v>116</v>
      </c>
      <c r="K41" s="23">
        <v>125</v>
      </c>
    </row>
    <row r="42" spans="1:17" x14ac:dyDescent="0.3">
      <c r="B42" s="26"/>
    </row>
    <row r="43" spans="1:17" x14ac:dyDescent="0.3">
      <c r="B43" s="26"/>
      <c r="K43" s="21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21" bestFit="1" customWidth="1"/>
    <col min="2" max="2" width="7" style="21" bestFit="1" customWidth="1"/>
    <col min="3" max="3" width="6.109375" style="21" bestFit="1" customWidth="1"/>
    <col min="4" max="4" width="10.5546875" style="21" bestFit="1" customWidth="1"/>
    <col min="5" max="5" width="5" style="21" bestFit="1" customWidth="1"/>
    <col min="6" max="6" width="7.109375" style="21" bestFit="1" customWidth="1"/>
    <col min="7" max="7" width="38.5546875" style="21" bestFit="1" customWidth="1"/>
    <col min="8" max="8" width="27.109375" style="21" bestFit="1" customWidth="1"/>
    <col min="9" max="9" width="4.6640625" style="21" bestFit="1" customWidth="1"/>
    <col min="10" max="10" width="6.33203125" style="21" bestFit="1" customWidth="1"/>
    <col min="11" max="14" width="9.109375" style="21"/>
    <col min="15" max="15" width="16.33203125" style="21" bestFit="1" customWidth="1"/>
    <col min="16" max="16" width="12.6640625" style="21" bestFit="1" customWidth="1"/>
    <col min="17" max="17" width="11.5546875" style="21" bestFit="1" customWidth="1"/>
    <col min="18" max="16384" width="9.109375" style="21"/>
  </cols>
  <sheetData>
    <row r="1" spans="1:17" x14ac:dyDescent="0.3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3">
      <c r="A2" s="27" t="s">
        <v>106</v>
      </c>
      <c r="B2" s="28">
        <v>44822</v>
      </c>
      <c r="C2" s="27">
        <v>1</v>
      </c>
      <c r="D2" s="27">
        <v>50</v>
      </c>
      <c r="E2" s="27">
        <v>50</v>
      </c>
      <c r="F2" s="27" t="s">
        <v>66</v>
      </c>
      <c r="G2" s="27" t="s">
        <v>66</v>
      </c>
      <c r="H2" s="27" t="s">
        <v>117</v>
      </c>
      <c r="I2" s="27" t="s">
        <v>68</v>
      </c>
      <c r="J2" s="27">
        <v>50</v>
      </c>
      <c r="M2" s="21" t="s">
        <v>69</v>
      </c>
    </row>
    <row r="3" spans="1:17" x14ac:dyDescent="0.3">
      <c r="A3" s="27" t="s">
        <v>96</v>
      </c>
      <c r="B3" s="28">
        <v>44822</v>
      </c>
      <c r="C3" s="27">
        <v>2</v>
      </c>
      <c r="D3" s="27">
        <v>50</v>
      </c>
      <c r="E3" s="27">
        <v>100</v>
      </c>
      <c r="F3" s="27" t="s">
        <v>66</v>
      </c>
      <c r="G3" s="27" t="s">
        <v>66</v>
      </c>
      <c r="H3" s="27" t="s">
        <v>100</v>
      </c>
      <c r="I3" s="27" t="s">
        <v>68</v>
      </c>
      <c r="J3" s="27">
        <v>100</v>
      </c>
    </row>
    <row r="4" spans="1:17" x14ac:dyDescent="0.3">
      <c r="A4" s="27" t="s">
        <v>77</v>
      </c>
      <c r="B4" s="28">
        <v>44822</v>
      </c>
      <c r="C4" s="27">
        <v>1.5</v>
      </c>
      <c r="D4" s="27">
        <v>50</v>
      </c>
      <c r="E4" s="27">
        <v>75</v>
      </c>
      <c r="F4" s="27" t="s">
        <v>66</v>
      </c>
      <c r="G4" s="27" t="s">
        <v>66</v>
      </c>
      <c r="H4" s="27" t="s">
        <v>118</v>
      </c>
      <c r="I4" s="27">
        <v>25</v>
      </c>
      <c r="J4" s="27">
        <v>100</v>
      </c>
    </row>
    <row r="5" spans="1:17" x14ac:dyDescent="0.3">
      <c r="A5" s="27" t="s">
        <v>92</v>
      </c>
      <c r="B5" s="28">
        <v>44822</v>
      </c>
      <c r="C5" s="27">
        <v>1.5</v>
      </c>
      <c r="D5" s="27">
        <v>50</v>
      </c>
      <c r="E5" s="27">
        <v>75</v>
      </c>
      <c r="F5" s="27" t="s">
        <v>66</v>
      </c>
      <c r="G5" s="27" t="s">
        <v>66</v>
      </c>
      <c r="H5" s="27" t="s">
        <v>119</v>
      </c>
      <c r="I5" s="27" t="s">
        <v>68</v>
      </c>
      <c r="J5" s="27">
        <v>75</v>
      </c>
    </row>
    <row r="6" spans="1:17" x14ac:dyDescent="0.3">
      <c r="A6" s="27" t="s">
        <v>94</v>
      </c>
      <c r="B6" s="28">
        <v>44822</v>
      </c>
      <c r="C6" s="27">
        <v>1.5</v>
      </c>
      <c r="D6" s="27">
        <v>50</v>
      </c>
      <c r="E6" s="27">
        <v>75</v>
      </c>
      <c r="F6" s="27" t="s">
        <v>66</v>
      </c>
      <c r="G6" s="27" t="s">
        <v>66</v>
      </c>
      <c r="H6" s="27" t="s">
        <v>100</v>
      </c>
      <c r="I6" s="27" t="s">
        <v>68</v>
      </c>
      <c r="J6" s="27">
        <v>75</v>
      </c>
    </row>
    <row r="7" spans="1:17" x14ac:dyDescent="0.3">
      <c r="A7" s="27" t="s">
        <v>65</v>
      </c>
      <c r="B7" s="28">
        <v>44823</v>
      </c>
      <c r="C7" s="27">
        <v>2</v>
      </c>
      <c r="D7" s="27">
        <v>50</v>
      </c>
      <c r="E7" s="27">
        <v>100</v>
      </c>
      <c r="F7" s="27" t="s">
        <v>66</v>
      </c>
      <c r="G7" s="27" t="s">
        <v>66</v>
      </c>
      <c r="H7" s="27" t="s">
        <v>120</v>
      </c>
      <c r="I7" s="27" t="s">
        <v>68</v>
      </c>
      <c r="J7" s="27">
        <v>100</v>
      </c>
    </row>
    <row r="8" spans="1:17" x14ac:dyDescent="0.3">
      <c r="A8" s="27" t="s">
        <v>92</v>
      </c>
      <c r="B8" s="28">
        <v>44823</v>
      </c>
      <c r="C8" s="27">
        <v>1</v>
      </c>
      <c r="D8" s="27">
        <v>50</v>
      </c>
      <c r="E8" s="27">
        <v>50</v>
      </c>
      <c r="F8" s="27" t="s">
        <v>66</v>
      </c>
      <c r="G8" s="27" t="s">
        <v>66</v>
      </c>
      <c r="H8" s="27" t="s">
        <v>119</v>
      </c>
      <c r="I8" s="27" t="s">
        <v>68</v>
      </c>
      <c r="J8" s="27">
        <v>50</v>
      </c>
    </row>
    <row r="9" spans="1:17" x14ac:dyDescent="0.3">
      <c r="A9" s="27" t="s">
        <v>96</v>
      </c>
      <c r="B9" s="28">
        <v>44826</v>
      </c>
      <c r="C9" s="27">
        <v>1</v>
      </c>
      <c r="D9" s="27">
        <v>50</v>
      </c>
      <c r="E9" s="27">
        <v>50</v>
      </c>
      <c r="F9" s="27" t="s">
        <v>66</v>
      </c>
      <c r="G9" s="27" t="s">
        <v>66</v>
      </c>
      <c r="H9" s="27" t="s">
        <v>121</v>
      </c>
      <c r="I9" s="27" t="s">
        <v>68</v>
      </c>
      <c r="J9" s="27">
        <v>50</v>
      </c>
    </row>
    <row r="10" spans="1:17" x14ac:dyDescent="0.3">
      <c r="A10" s="27" t="s">
        <v>122</v>
      </c>
      <c r="B10" s="28">
        <v>44827</v>
      </c>
      <c r="C10" s="27">
        <v>0.5</v>
      </c>
      <c r="D10" s="27">
        <v>50</v>
      </c>
      <c r="E10" s="27">
        <v>25</v>
      </c>
      <c r="F10" s="27" t="s">
        <v>68</v>
      </c>
      <c r="G10" s="27" t="s">
        <v>123</v>
      </c>
      <c r="H10" s="27" t="s">
        <v>124</v>
      </c>
      <c r="I10" s="27"/>
      <c r="J10" s="27"/>
      <c r="O10" s="31" t="s">
        <v>135</v>
      </c>
      <c r="P10" t="s">
        <v>137</v>
      </c>
      <c r="Q10" t="s">
        <v>138</v>
      </c>
    </row>
    <row r="11" spans="1:17" x14ac:dyDescent="0.3">
      <c r="A11" s="27" t="s">
        <v>96</v>
      </c>
      <c r="B11" s="28">
        <v>44827</v>
      </c>
      <c r="C11" s="27">
        <v>1</v>
      </c>
      <c r="D11" s="27">
        <v>50</v>
      </c>
      <c r="E11" s="27">
        <v>50</v>
      </c>
      <c r="F11" s="27" t="s">
        <v>66</v>
      </c>
      <c r="G11" s="27" t="s">
        <v>66</v>
      </c>
      <c r="H11" s="27" t="s">
        <v>125</v>
      </c>
      <c r="I11" s="27" t="s">
        <v>68</v>
      </c>
      <c r="J11" s="27">
        <v>50</v>
      </c>
      <c r="O11" s="32" t="s">
        <v>65</v>
      </c>
      <c r="P11">
        <v>2</v>
      </c>
      <c r="Q11">
        <v>100</v>
      </c>
    </row>
    <row r="12" spans="1:17" x14ac:dyDescent="0.3">
      <c r="A12" s="27" t="s">
        <v>82</v>
      </c>
      <c r="B12" s="28">
        <v>44829</v>
      </c>
      <c r="C12" s="27">
        <v>1</v>
      </c>
      <c r="D12" s="27">
        <v>50</v>
      </c>
      <c r="E12" s="27">
        <v>50</v>
      </c>
      <c r="F12" s="27" t="s">
        <v>66</v>
      </c>
      <c r="G12" s="27" t="s">
        <v>66</v>
      </c>
      <c r="H12" s="27" t="s">
        <v>126</v>
      </c>
      <c r="I12" s="27" t="s">
        <v>68</v>
      </c>
      <c r="J12" s="27">
        <v>50</v>
      </c>
      <c r="O12" s="32" t="s">
        <v>77</v>
      </c>
      <c r="P12">
        <v>1.5</v>
      </c>
      <c r="Q12">
        <v>75</v>
      </c>
    </row>
    <row r="13" spans="1:17" x14ac:dyDescent="0.3">
      <c r="A13" s="27" t="s">
        <v>96</v>
      </c>
      <c r="B13" s="28">
        <v>44829</v>
      </c>
      <c r="C13" s="27">
        <v>2</v>
      </c>
      <c r="D13" s="27">
        <v>100</v>
      </c>
      <c r="E13" s="27">
        <v>100</v>
      </c>
      <c r="F13" s="27" t="s">
        <v>66</v>
      </c>
      <c r="G13" s="27" t="s">
        <v>66</v>
      </c>
      <c r="H13" s="27" t="s">
        <v>115</v>
      </c>
      <c r="I13" s="27" t="s">
        <v>68</v>
      </c>
      <c r="J13" s="27">
        <v>100</v>
      </c>
      <c r="O13" s="32" t="s">
        <v>82</v>
      </c>
      <c r="P13">
        <v>2</v>
      </c>
      <c r="Q13">
        <v>100</v>
      </c>
    </row>
    <row r="14" spans="1:17" x14ac:dyDescent="0.3">
      <c r="A14" s="27" t="s">
        <v>127</v>
      </c>
      <c r="B14" s="28">
        <v>44829</v>
      </c>
      <c r="C14" s="27">
        <v>2</v>
      </c>
      <c r="D14" s="27">
        <v>100</v>
      </c>
      <c r="E14" s="27">
        <v>100</v>
      </c>
      <c r="F14" s="27" t="s">
        <v>66</v>
      </c>
      <c r="G14" s="27" t="s">
        <v>66</v>
      </c>
      <c r="H14" s="27" t="s">
        <v>115</v>
      </c>
      <c r="I14" s="27" t="s">
        <v>68</v>
      </c>
      <c r="J14" s="27">
        <v>100</v>
      </c>
      <c r="O14" s="32" t="s">
        <v>92</v>
      </c>
      <c r="P14">
        <v>2.5</v>
      </c>
      <c r="Q14">
        <v>125</v>
      </c>
    </row>
    <row r="15" spans="1:17" x14ac:dyDescent="0.3">
      <c r="A15" s="27" t="s">
        <v>82</v>
      </c>
      <c r="B15" s="28">
        <v>44830</v>
      </c>
      <c r="C15" s="27">
        <v>1</v>
      </c>
      <c r="D15" s="27">
        <v>50</v>
      </c>
      <c r="E15" s="27">
        <v>50</v>
      </c>
      <c r="F15" s="27" t="s">
        <v>66</v>
      </c>
      <c r="G15" s="27" t="s">
        <v>66</v>
      </c>
      <c r="H15" s="27" t="s">
        <v>126</v>
      </c>
      <c r="I15" s="27" t="s">
        <v>68</v>
      </c>
      <c r="J15" s="27">
        <v>50</v>
      </c>
      <c r="O15" s="32" t="s">
        <v>94</v>
      </c>
      <c r="P15">
        <v>1.5</v>
      </c>
      <c r="Q15">
        <v>75</v>
      </c>
    </row>
    <row r="16" spans="1:17" x14ac:dyDescent="0.3">
      <c r="A16" s="27" t="s">
        <v>96</v>
      </c>
      <c r="B16" s="28">
        <v>44832</v>
      </c>
      <c r="C16" s="27">
        <v>1.5</v>
      </c>
      <c r="D16" s="27">
        <v>50</v>
      </c>
      <c r="E16" s="27">
        <v>75</v>
      </c>
      <c r="F16" s="27" t="s">
        <v>66</v>
      </c>
      <c r="G16" s="27" t="s">
        <v>66</v>
      </c>
      <c r="H16" s="27" t="s">
        <v>115</v>
      </c>
      <c r="I16" s="27" t="s">
        <v>68</v>
      </c>
      <c r="J16" s="27">
        <v>75</v>
      </c>
      <c r="O16" s="32" t="s">
        <v>96</v>
      </c>
      <c r="P16">
        <v>7.5</v>
      </c>
      <c r="Q16">
        <v>375</v>
      </c>
    </row>
    <row r="17" spans="2:17" x14ac:dyDescent="0.3">
      <c r="B17" s="26"/>
      <c r="O17" s="32" t="s">
        <v>122</v>
      </c>
      <c r="P17">
        <v>0.5</v>
      </c>
      <c r="Q17">
        <v>25</v>
      </c>
    </row>
    <row r="18" spans="2:17" x14ac:dyDescent="0.3">
      <c r="J18" s="21">
        <f>SUM(J2:J16)</f>
        <v>1025</v>
      </c>
      <c r="O18" s="32" t="s">
        <v>106</v>
      </c>
      <c r="P18">
        <v>1</v>
      </c>
      <c r="Q18">
        <v>50</v>
      </c>
    </row>
    <row r="19" spans="2:17" x14ac:dyDescent="0.3">
      <c r="O19" s="32" t="s">
        <v>127</v>
      </c>
      <c r="P19">
        <v>2</v>
      </c>
      <c r="Q19">
        <v>100</v>
      </c>
    </row>
    <row r="20" spans="2:17" x14ac:dyDescent="0.3">
      <c r="O20" s="32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40"/>
  <sheetViews>
    <sheetView showGridLines="0" zoomScale="77" workbookViewId="0">
      <selection activeCell="N12" sqref="N12"/>
    </sheetView>
  </sheetViews>
  <sheetFormatPr defaultRowHeight="14.4" x14ac:dyDescent="0.3"/>
  <cols>
    <col min="2" max="2" width="46.33203125" bestFit="1" customWidth="1"/>
    <col min="3" max="4" width="10.44140625" bestFit="1" customWidth="1"/>
    <col min="5" max="6" width="9.5546875" bestFit="1" customWidth="1"/>
    <col min="7" max="9" width="11.44140625" bestFit="1" customWidth="1"/>
    <col min="10" max="10" width="12.109375" bestFit="1" customWidth="1"/>
    <col min="11" max="11" width="11.44140625" bestFit="1" customWidth="1"/>
    <col min="12" max="14" width="12.44140625" bestFit="1" customWidth="1"/>
    <col min="15" max="15" width="9.5546875" bestFit="1" customWidth="1"/>
    <col min="16" max="16" width="11.33203125" bestFit="1" customWidth="1"/>
  </cols>
  <sheetData>
    <row r="10" spans="2:16" ht="15.6" x14ac:dyDescent="0.3">
      <c r="B10" s="49"/>
      <c r="C10" s="50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173" t="str">
        <f>TEXT('Monthly Detail'!O3,"mmmm")</f>
        <v>December</v>
      </c>
      <c r="O10" s="51"/>
      <c r="P10" s="52" t="s">
        <v>0</v>
      </c>
    </row>
    <row r="11" spans="2:16" ht="6.6" customHeight="1" x14ac:dyDescent="0.3">
      <c r="B11" s="7"/>
      <c r="C11" s="72">
        <v>44957</v>
      </c>
      <c r="D11" s="72">
        <v>44985</v>
      </c>
      <c r="E11" s="72">
        <v>45016</v>
      </c>
      <c r="F11" s="72">
        <v>45046</v>
      </c>
      <c r="G11" s="72">
        <v>45077</v>
      </c>
      <c r="H11" s="72">
        <v>45107</v>
      </c>
      <c r="I11" s="72">
        <v>45138</v>
      </c>
      <c r="J11" s="72">
        <v>45169</v>
      </c>
      <c r="K11" s="72">
        <v>45199</v>
      </c>
      <c r="L11" s="72">
        <v>45230</v>
      </c>
      <c r="M11" s="72">
        <v>45260</v>
      </c>
      <c r="N11" s="174">
        <v>45291</v>
      </c>
      <c r="O11" s="72">
        <v>45322</v>
      </c>
    </row>
    <row r="12" spans="2:16" x14ac:dyDescent="0.3">
      <c r="B12" s="53" t="s">
        <v>246</v>
      </c>
      <c r="C12" s="54">
        <f>SUMIF('Monthly Detail'!$3:$3, '2023 Overview'!C$11, 'Monthly Detail'!8:8)</f>
        <v>0</v>
      </c>
      <c r="D12" s="54">
        <f>SUMIF('Monthly Detail'!$3:$3, '2023 Overview'!D$11, 'Monthly Detail'!8:8)</f>
        <v>0</v>
      </c>
      <c r="E12" s="54">
        <f>SUMIF('Monthly Detail'!$3:$3, '2023 Overview'!E$11, 'Monthly Detail'!8:8)</f>
        <v>0</v>
      </c>
      <c r="F12" s="54">
        <f>SUMIF('Monthly Detail'!$3:$3, '2023 Overview'!F$11, 'Monthly Detail'!8:8)</f>
        <v>0</v>
      </c>
      <c r="G12" s="54">
        <f>SUMIF('Monthly Detail'!$3:$3, '2023 Overview'!G$11, 'Monthly Detail'!8:8)</f>
        <v>0</v>
      </c>
      <c r="H12" s="54">
        <f>SUMIF('Monthly Detail'!$3:$3, '2023 Overview'!H$11, 'Monthly Detail'!8:8)</f>
        <v>0</v>
      </c>
      <c r="I12" s="54">
        <f>SUMIF('Monthly Detail'!$3:$3, '2023 Overview'!I$11, 'Monthly Detail'!8:8)</f>
        <v>0</v>
      </c>
      <c r="J12" s="54">
        <f>SUMIF('Monthly Detail'!$3:$3, '2023 Overview'!J$11, 'Monthly Detail'!8:8)</f>
        <v>0</v>
      </c>
      <c r="K12" s="54">
        <f>SUMIF('Monthly Detail'!$3:$3, '2023 Overview'!K$11, 'Monthly Detail'!8:8)</f>
        <v>0</v>
      </c>
      <c r="L12" s="54">
        <f>SUMIF('Monthly Detail'!$3:$3, '2023 Overview'!L$11, 'Monthly Detail'!8:8)</f>
        <v>150000</v>
      </c>
      <c r="M12" s="54">
        <f>SUMIF('Monthly Detail'!$3:$3, '2023 Overview'!M$11, 'Monthly Detail'!8:8)</f>
        <v>187500</v>
      </c>
      <c r="N12" s="175">
        <f>SUMIF('Monthly Detail'!$3:$3, '2023 Overview'!N$11, 'Monthly Detail'!8:8)</f>
        <v>112500</v>
      </c>
      <c r="O12" s="54"/>
      <c r="P12" s="54">
        <f>SUM(C12:O12)</f>
        <v>450000</v>
      </c>
    </row>
    <row r="13" spans="2:16" x14ac:dyDescent="0.3">
      <c r="B13" s="53" t="s">
        <v>300</v>
      </c>
      <c r="C13" s="54">
        <f>+'Monthly Detail'!P135</f>
        <v>0</v>
      </c>
      <c r="D13" s="54">
        <f>+'Monthly Detail'!Q135</f>
        <v>0</v>
      </c>
      <c r="E13" s="54">
        <f>+'Monthly Detail'!R135</f>
        <v>0</v>
      </c>
      <c r="F13" s="54">
        <f>+'Monthly Detail'!S135</f>
        <v>0</v>
      </c>
      <c r="G13" s="54">
        <f>+'Monthly Detail'!T135</f>
        <v>75000</v>
      </c>
      <c r="H13" s="54">
        <f>+'Monthly Detail'!U135</f>
        <v>0</v>
      </c>
      <c r="I13" s="54">
        <f>+'Monthly Detail'!V135</f>
        <v>0</v>
      </c>
      <c r="J13" s="54">
        <f>+'Monthly Detail'!W135</f>
        <v>0</v>
      </c>
      <c r="K13" s="54">
        <f>+'Monthly Detail'!X135</f>
        <v>0</v>
      </c>
      <c r="L13" s="54">
        <f>+'Monthly Detail'!Y135</f>
        <v>150000</v>
      </c>
      <c r="M13" s="54">
        <f>+'Monthly Detail'!Z135</f>
        <v>187500</v>
      </c>
      <c r="N13" s="175">
        <f>+'Monthly Detail'!AA135</f>
        <v>112500</v>
      </c>
      <c r="O13" s="54"/>
      <c r="P13" s="54">
        <f>SUM(C13:O13)</f>
        <v>525000</v>
      </c>
    </row>
    <row r="14" spans="2:16" x14ac:dyDescent="0.3">
      <c r="B14" s="55" t="s">
        <v>301</v>
      </c>
      <c r="C14" s="55">
        <f>+C12</f>
        <v>0</v>
      </c>
      <c r="D14" s="55">
        <f t="shared" ref="D14:N14" si="0">+D12</f>
        <v>0</v>
      </c>
      <c r="E14" s="55">
        <f t="shared" si="0"/>
        <v>0</v>
      </c>
      <c r="F14" s="55">
        <f t="shared" si="0"/>
        <v>0</v>
      </c>
      <c r="G14" s="55">
        <f t="shared" si="0"/>
        <v>0</v>
      </c>
      <c r="H14" s="55">
        <f t="shared" si="0"/>
        <v>0</v>
      </c>
      <c r="I14" s="55">
        <f t="shared" si="0"/>
        <v>0</v>
      </c>
      <c r="J14" s="55">
        <f t="shared" si="0"/>
        <v>0</v>
      </c>
      <c r="K14" s="55">
        <f t="shared" si="0"/>
        <v>0</v>
      </c>
      <c r="L14" s="55">
        <f t="shared" si="0"/>
        <v>150000</v>
      </c>
      <c r="M14" s="55">
        <f t="shared" si="0"/>
        <v>187500</v>
      </c>
      <c r="N14" s="176">
        <f t="shared" si="0"/>
        <v>112500</v>
      </c>
      <c r="O14" s="56"/>
      <c r="P14" s="55">
        <f>SUM(P12:P12)</f>
        <v>450000</v>
      </c>
    </row>
    <row r="15" spans="2:16" x14ac:dyDescent="0.3">
      <c r="B15" s="296" t="s">
        <v>3</v>
      </c>
      <c r="C15" s="296">
        <f>+C13</f>
        <v>0</v>
      </c>
      <c r="D15" s="296">
        <f t="shared" ref="D15:N15" si="1">+D13</f>
        <v>0</v>
      </c>
      <c r="E15" s="296">
        <f t="shared" si="1"/>
        <v>0</v>
      </c>
      <c r="F15" s="296">
        <f t="shared" si="1"/>
        <v>0</v>
      </c>
      <c r="G15" s="296">
        <f t="shared" si="1"/>
        <v>75000</v>
      </c>
      <c r="H15" s="296">
        <f t="shared" si="1"/>
        <v>0</v>
      </c>
      <c r="I15" s="296">
        <f t="shared" si="1"/>
        <v>0</v>
      </c>
      <c r="J15" s="296">
        <f t="shared" si="1"/>
        <v>0</v>
      </c>
      <c r="K15" s="296">
        <f t="shared" si="1"/>
        <v>0</v>
      </c>
      <c r="L15" s="296">
        <f t="shared" si="1"/>
        <v>150000</v>
      </c>
      <c r="M15" s="296">
        <f t="shared" si="1"/>
        <v>187500</v>
      </c>
      <c r="N15" s="298">
        <f t="shared" si="1"/>
        <v>112500</v>
      </c>
      <c r="O15" s="56"/>
      <c r="P15" s="296">
        <f>SUM(P13:P13)</f>
        <v>525000</v>
      </c>
    </row>
    <row r="16" spans="2:16" ht="3" customHeight="1" x14ac:dyDescent="0.3">
      <c r="B16" s="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177"/>
      <c r="P16" s="57"/>
    </row>
    <row r="17" spans="2:20" x14ac:dyDescent="0.3">
      <c r="B17" s="53" t="s">
        <v>251</v>
      </c>
      <c r="C17" s="57">
        <f>SUMIF('Monthly Detail'!$3:$3, '2023 Overview'!C$11, 'Monthly Detail'!27:27)</f>
        <v>0</v>
      </c>
      <c r="D17" s="57">
        <f>SUMIF('Monthly Detail'!$3:$3, '2023 Overview'!D$11, 'Monthly Detail'!27:27)</f>
        <v>0</v>
      </c>
      <c r="E17" s="57">
        <f>SUMIF('Monthly Detail'!$3:$3, '2023 Overview'!E$11, 'Monthly Detail'!27:27)</f>
        <v>0</v>
      </c>
      <c r="F17" s="57">
        <f>SUMIF('Monthly Detail'!$3:$3, '2023 Overview'!F$11, 'Monthly Detail'!27:27)</f>
        <v>0</v>
      </c>
      <c r="G17" s="57">
        <f>SUMIF('Monthly Detail'!$3:$3, '2023 Overview'!G$11, 'Monthly Detail'!27:27)</f>
        <v>0</v>
      </c>
      <c r="H17" s="57">
        <f>SUMIF('Monthly Detail'!$3:$3, '2023 Overview'!H$11, 'Monthly Detail'!27:27)</f>
        <v>3398</v>
      </c>
      <c r="I17" s="57">
        <f>SUMIF('Monthly Detail'!$3:$3, '2023 Overview'!I$11, 'Monthly Detail'!27:27)</f>
        <v>486</v>
      </c>
      <c r="J17" s="57">
        <f>SUMIF('Monthly Detail'!$3:$3, '2023 Overview'!J$11, 'Monthly Detail'!27:27)</f>
        <v>20141.21</v>
      </c>
      <c r="K17" s="57">
        <f>SUMIF('Monthly Detail'!$3:$3, '2023 Overview'!K$11, 'Monthly Detail'!27:27)</f>
        <v>1818.12</v>
      </c>
      <c r="L17" s="57">
        <f>SUMIF('Monthly Detail'!$3:$3, '2023 Overview'!L$11, 'Monthly Detail'!27:27)</f>
        <v>82249.72</v>
      </c>
      <c r="M17" s="57">
        <f>SUMIF('Monthly Detail'!$3:$3, '2023 Overview'!M$11, 'Monthly Detail'!27:27)</f>
        <v>144176.27000000002</v>
      </c>
      <c r="N17" s="177">
        <f>SUMIF('Monthly Detail'!$3:$3, '2023 Overview'!N$11, 'Monthly Detail'!27:27)</f>
        <v>99093.34</v>
      </c>
      <c r="P17" s="57">
        <f>SUM(C17:O17)</f>
        <v>351362.66000000003</v>
      </c>
    </row>
    <row r="18" spans="2:20" ht="3" customHeight="1" x14ac:dyDescent="0.3">
      <c r="B18" s="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177"/>
      <c r="P18" s="57"/>
    </row>
    <row r="19" spans="2:20" ht="15.6" x14ac:dyDescent="0.3">
      <c r="B19" s="68" t="s">
        <v>249</v>
      </c>
      <c r="C19" s="69">
        <f t="shared" ref="C19:N19" si="2">+C14-C17</f>
        <v>0</v>
      </c>
      <c r="D19" s="69">
        <f t="shared" si="2"/>
        <v>0</v>
      </c>
      <c r="E19" s="69">
        <f t="shared" si="2"/>
        <v>0</v>
      </c>
      <c r="F19" s="69">
        <f t="shared" si="2"/>
        <v>0</v>
      </c>
      <c r="G19" s="69">
        <f t="shared" si="2"/>
        <v>0</v>
      </c>
      <c r="H19" s="69">
        <f t="shared" si="2"/>
        <v>-3398</v>
      </c>
      <c r="I19" s="69">
        <f t="shared" si="2"/>
        <v>-486</v>
      </c>
      <c r="J19" s="69">
        <f t="shared" si="2"/>
        <v>-20141.21</v>
      </c>
      <c r="K19" s="69">
        <f t="shared" si="2"/>
        <v>-1818.12</v>
      </c>
      <c r="L19" s="69">
        <f t="shared" si="2"/>
        <v>67750.28</v>
      </c>
      <c r="M19" s="69">
        <f t="shared" si="2"/>
        <v>43323.729999999981</v>
      </c>
      <c r="N19" s="178">
        <f t="shared" si="2"/>
        <v>13406.660000000003</v>
      </c>
      <c r="O19" s="58"/>
      <c r="P19" s="69">
        <f>+P14-P17</f>
        <v>98637.339999999967</v>
      </c>
    </row>
    <row r="20" spans="2:20" ht="15.6" x14ac:dyDescent="0.3">
      <c r="B20" s="299" t="s">
        <v>250</v>
      </c>
      <c r="C20" s="245">
        <f t="shared" ref="C20:N20" si="3">+C15-C17</f>
        <v>0</v>
      </c>
      <c r="D20" s="245">
        <f t="shared" si="3"/>
        <v>0</v>
      </c>
      <c r="E20" s="245">
        <f t="shared" si="3"/>
        <v>0</v>
      </c>
      <c r="F20" s="245">
        <f t="shared" si="3"/>
        <v>0</v>
      </c>
      <c r="G20" s="245">
        <f t="shared" si="3"/>
        <v>75000</v>
      </c>
      <c r="H20" s="245">
        <f t="shared" si="3"/>
        <v>-3398</v>
      </c>
      <c r="I20" s="245">
        <f t="shared" si="3"/>
        <v>-486</v>
      </c>
      <c r="J20" s="245">
        <f t="shared" si="3"/>
        <v>-20141.21</v>
      </c>
      <c r="K20" s="245">
        <f t="shared" si="3"/>
        <v>-1818.12</v>
      </c>
      <c r="L20" s="245">
        <f t="shared" si="3"/>
        <v>67750.28</v>
      </c>
      <c r="M20" s="245">
        <f t="shared" si="3"/>
        <v>43323.729999999981</v>
      </c>
      <c r="N20" s="300">
        <f t="shared" si="3"/>
        <v>13406.660000000003</v>
      </c>
      <c r="O20" s="58"/>
      <c r="P20" s="245">
        <f>+P15-P17</f>
        <v>173637.33999999997</v>
      </c>
    </row>
    <row r="21" spans="2:20" x14ac:dyDescent="0.3">
      <c r="B21" s="70" t="s">
        <v>248</v>
      </c>
      <c r="C21" s="71">
        <f t="shared" ref="C21:N21" si="4">+IFERROR(C19/C14,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71">
        <f t="shared" si="4"/>
        <v>0</v>
      </c>
      <c r="H21" s="71">
        <f t="shared" si="4"/>
        <v>0</v>
      </c>
      <c r="I21" s="71">
        <f t="shared" si="4"/>
        <v>0</v>
      </c>
      <c r="J21" s="71">
        <f t="shared" si="4"/>
        <v>0</v>
      </c>
      <c r="K21" s="71">
        <f t="shared" si="4"/>
        <v>0</v>
      </c>
      <c r="L21" s="71">
        <f t="shared" si="4"/>
        <v>0.45166853333333334</v>
      </c>
      <c r="M21" s="71">
        <f t="shared" si="4"/>
        <v>0.23105989333333324</v>
      </c>
      <c r="N21" s="179">
        <f t="shared" si="4"/>
        <v>0.11917031111111115</v>
      </c>
      <c r="O21" s="7"/>
      <c r="P21" s="71">
        <f>P19/P14</f>
        <v>0.21919408888888881</v>
      </c>
    </row>
    <row r="22" spans="2:20" x14ac:dyDescent="0.3">
      <c r="B22" s="70" t="s">
        <v>247</v>
      </c>
      <c r="C22" s="71">
        <f t="shared" ref="C22:N22" si="5">+IFERROR(C20/C15, 0)</f>
        <v>0</v>
      </c>
      <c r="D22" s="71">
        <f t="shared" si="5"/>
        <v>0</v>
      </c>
      <c r="E22" s="71">
        <f t="shared" si="5"/>
        <v>0</v>
      </c>
      <c r="F22" s="71">
        <f t="shared" si="5"/>
        <v>0</v>
      </c>
      <c r="G22" s="71">
        <f t="shared" si="5"/>
        <v>1</v>
      </c>
      <c r="H22" s="71">
        <f t="shared" si="5"/>
        <v>0</v>
      </c>
      <c r="I22" s="71">
        <f t="shared" si="5"/>
        <v>0</v>
      </c>
      <c r="J22" s="71">
        <f t="shared" si="5"/>
        <v>0</v>
      </c>
      <c r="K22" s="71">
        <f t="shared" si="5"/>
        <v>0</v>
      </c>
      <c r="L22" s="71">
        <f t="shared" si="5"/>
        <v>0.45166853333333334</v>
      </c>
      <c r="M22" s="71">
        <f t="shared" si="5"/>
        <v>0.23105989333333324</v>
      </c>
      <c r="N22" s="179">
        <f t="shared" si="5"/>
        <v>0.11917031111111115</v>
      </c>
      <c r="O22" s="7"/>
      <c r="P22" s="71">
        <f>P20/P15</f>
        <v>0.3307377904761904</v>
      </c>
    </row>
    <row r="23" spans="2:20" ht="3" customHeight="1" x14ac:dyDescent="0.3">
      <c r="B23" s="7"/>
      <c r="N23" s="180"/>
    </row>
    <row r="24" spans="2:20" x14ac:dyDescent="0.3">
      <c r="B24" s="7" t="s">
        <v>186</v>
      </c>
      <c r="C24" s="54">
        <f>SUMIF('Monthly Detail'!$3:$3, '2023 Overview'!C$11, 'Monthly Detail'!$76:$76)</f>
        <v>1759.16</v>
      </c>
      <c r="D24" s="54">
        <f>SUMIF('Monthly Detail'!$3:$3, '2023 Overview'!D$11, 'Monthly Detail'!$76:$76)</f>
        <v>467.18</v>
      </c>
      <c r="E24" s="54">
        <f>SUMIF('Monthly Detail'!$3:$3, '2023 Overview'!E$11, 'Monthly Detail'!$76:$76)</f>
        <v>1525.78</v>
      </c>
      <c r="F24" s="54">
        <f>SUMIF('Monthly Detail'!$3:$3, '2023 Overview'!F$11, 'Monthly Detail'!$76:$76)</f>
        <v>598.99</v>
      </c>
      <c r="G24" s="54">
        <f>SUMIF('Monthly Detail'!$3:$3, '2023 Overview'!G$11, 'Monthly Detail'!$76:$76)</f>
        <v>2060.8900000000003</v>
      </c>
      <c r="H24" s="54">
        <f>SUMIF('Monthly Detail'!$3:$3, '2023 Overview'!H$11, 'Monthly Detail'!$76:$76)</f>
        <v>452.88</v>
      </c>
      <c r="I24" s="54">
        <f>SUMIF('Monthly Detail'!$3:$3, '2023 Overview'!I$11, 'Monthly Detail'!$76:$76)</f>
        <v>1445.7200000000003</v>
      </c>
      <c r="J24" s="54">
        <f>SUMIF('Monthly Detail'!$3:$3, '2023 Overview'!J$11, 'Monthly Detail'!$76:$76)</f>
        <v>1487.22</v>
      </c>
      <c r="K24" s="54">
        <f>SUMIF('Monthly Detail'!$3:$3, '2023 Overview'!K$11, 'Monthly Detail'!$76:$76)</f>
        <v>2209.94</v>
      </c>
      <c r="L24" s="54">
        <f>SUMIF('Monthly Detail'!$3:$3, '2023 Overview'!L$11, 'Monthly Detail'!$76:$76)</f>
        <v>630.27</v>
      </c>
      <c r="M24" s="54">
        <f>SUMIF('Monthly Detail'!$3:$3, '2023 Overview'!M$11, 'Monthly Detail'!$76:$76)</f>
        <v>2877.72</v>
      </c>
      <c r="N24" s="175">
        <f>SUMIF('Monthly Detail'!$3:$3, '2023 Overview'!N$11, 'Monthly Detail'!$76:$76)</f>
        <v>2283.2299999999996</v>
      </c>
      <c r="P24" s="54">
        <f>SUM(C24:O24)</f>
        <v>17798.98</v>
      </c>
      <c r="T24" s="1"/>
    </row>
    <row r="25" spans="2:20" x14ac:dyDescent="0.3">
      <c r="B25" s="59" t="s">
        <v>151</v>
      </c>
      <c r="C25" s="60">
        <f t="shared" ref="C25:N25" si="6">SUM(C24:C24)</f>
        <v>1759.16</v>
      </c>
      <c r="D25" s="60">
        <f t="shared" si="6"/>
        <v>467.18</v>
      </c>
      <c r="E25" s="60">
        <f t="shared" si="6"/>
        <v>1525.78</v>
      </c>
      <c r="F25" s="60">
        <f t="shared" si="6"/>
        <v>598.99</v>
      </c>
      <c r="G25" s="60">
        <f t="shared" si="6"/>
        <v>2060.8900000000003</v>
      </c>
      <c r="H25" s="60">
        <f t="shared" si="6"/>
        <v>452.88</v>
      </c>
      <c r="I25" s="60">
        <f t="shared" si="6"/>
        <v>1445.7200000000003</v>
      </c>
      <c r="J25" s="60">
        <f t="shared" si="6"/>
        <v>1487.22</v>
      </c>
      <c r="K25" s="60">
        <f t="shared" si="6"/>
        <v>2209.94</v>
      </c>
      <c r="L25" s="60">
        <f t="shared" si="6"/>
        <v>630.27</v>
      </c>
      <c r="M25" s="60">
        <f t="shared" si="6"/>
        <v>2877.72</v>
      </c>
      <c r="N25" s="181">
        <f t="shared" si="6"/>
        <v>2283.2299999999996</v>
      </c>
      <c r="O25" s="61"/>
      <c r="P25" s="60">
        <f>SUM(P24:P24)</f>
        <v>17798.98</v>
      </c>
    </row>
    <row r="26" spans="2:20" ht="4.2" customHeight="1" x14ac:dyDescent="0.3">
      <c r="B26" s="7"/>
      <c r="N26" s="180"/>
    </row>
    <row r="27" spans="2:20" ht="15.6" x14ac:dyDescent="0.3">
      <c r="B27" s="68" t="s">
        <v>292</v>
      </c>
      <c r="C27" s="69">
        <f t="shared" ref="C27:N27" si="7">C19-C25</f>
        <v>-1759.16</v>
      </c>
      <c r="D27" s="69">
        <f t="shared" si="7"/>
        <v>-467.18</v>
      </c>
      <c r="E27" s="69">
        <f t="shared" si="7"/>
        <v>-1525.78</v>
      </c>
      <c r="F27" s="69">
        <f t="shared" si="7"/>
        <v>-598.99</v>
      </c>
      <c r="G27" s="69">
        <f t="shared" si="7"/>
        <v>-2060.8900000000003</v>
      </c>
      <c r="H27" s="69">
        <f t="shared" si="7"/>
        <v>-3850.88</v>
      </c>
      <c r="I27" s="69">
        <f t="shared" si="7"/>
        <v>-1931.7200000000003</v>
      </c>
      <c r="J27" s="69">
        <f t="shared" si="7"/>
        <v>-21628.43</v>
      </c>
      <c r="K27" s="69">
        <f t="shared" si="7"/>
        <v>-4028.06</v>
      </c>
      <c r="L27" s="69">
        <f t="shared" si="7"/>
        <v>67120.009999999995</v>
      </c>
      <c r="M27" s="69">
        <f t="shared" si="7"/>
        <v>40446.00999999998</v>
      </c>
      <c r="N27" s="178">
        <f t="shared" si="7"/>
        <v>11123.430000000004</v>
      </c>
      <c r="O27" s="58"/>
      <c r="P27" s="69">
        <f>P19-P25</f>
        <v>80838.359999999971</v>
      </c>
    </row>
    <row r="28" spans="2:20" ht="15.6" x14ac:dyDescent="0.3">
      <c r="B28" s="299" t="s">
        <v>291</v>
      </c>
      <c r="C28" s="245">
        <f>C20-C25</f>
        <v>-1759.16</v>
      </c>
      <c r="D28" s="245">
        <f t="shared" ref="D28:N28" si="8">D20-D25</f>
        <v>-467.18</v>
      </c>
      <c r="E28" s="245">
        <f t="shared" si="8"/>
        <v>-1525.78</v>
      </c>
      <c r="F28" s="245">
        <f t="shared" si="8"/>
        <v>-598.99</v>
      </c>
      <c r="G28" s="245">
        <f t="shared" si="8"/>
        <v>72939.11</v>
      </c>
      <c r="H28" s="245">
        <f t="shared" si="8"/>
        <v>-3850.88</v>
      </c>
      <c r="I28" s="245">
        <f t="shared" si="8"/>
        <v>-1931.7200000000003</v>
      </c>
      <c r="J28" s="245">
        <f t="shared" si="8"/>
        <v>-21628.43</v>
      </c>
      <c r="K28" s="245">
        <f t="shared" si="8"/>
        <v>-4028.06</v>
      </c>
      <c r="L28" s="245">
        <f t="shared" si="8"/>
        <v>67120.009999999995</v>
      </c>
      <c r="M28" s="245">
        <f t="shared" si="8"/>
        <v>40446.00999999998</v>
      </c>
      <c r="N28" s="300">
        <f t="shared" si="8"/>
        <v>11123.430000000004</v>
      </c>
      <c r="O28" s="58"/>
      <c r="P28" s="245">
        <f>P20-P25</f>
        <v>155838.35999999996</v>
      </c>
    </row>
    <row r="29" spans="2:20" x14ac:dyDescent="0.3">
      <c r="B29" s="70" t="s">
        <v>303</v>
      </c>
      <c r="C29" s="71">
        <f t="shared" ref="C29:N29" si="9">+IFERROR(C27/C14, 0)</f>
        <v>0</v>
      </c>
      <c r="D29" s="71">
        <f t="shared" si="9"/>
        <v>0</v>
      </c>
      <c r="E29" s="71">
        <f t="shared" si="9"/>
        <v>0</v>
      </c>
      <c r="F29" s="71">
        <f t="shared" si="9"/>
        <v>0</v>
      </c>
      <c r="G29" s="71">
        <f t="shared" si="9"/>
        <v>0</v>
      </c>
      <c r="H29" s="71">
        <f t="shared" si="9"/>
        <v>0</v>
      </c>
      <c r="I29" s="71">
        <f t="shared" si="9"/>
        <v>0</v>
      </c>
      <c r="J29" s="71">
        <f t="shared" si="9"/>
        <v>0</v>
      </c>
      <c r="K29" s="71">
        <f t="shared" si="9"/>
        <v>0</v>
      </c>
      <c r="L29" s="71">
        <f t="shared" si="9"/>
        <v>0.44746673333333331</v>
      </c>
      <c r="M29" s="71">
        <f t="shared" si="9"/>
        <v>0.21571205333333324</v>
      </c>
      <c r="N29" s="179">
        <f t="shared" si="9"/>
        <v>9.8874933333333373E-2</v>
      </c>
      <c r="O29" s="7"/>
      <c r="P29" s="71">
        <f>P27/P14</f>
        <v>0.17964079999999993</v>
      </c>
    </row>
    <row r="30" spans="2:20" x14ac:dyDescent="0.3">
      <c r="B30" s="70" t="s">
        <v>302</v>
      </c>
      <c r="C30" s="71">
        <f t="shared" ref="C30:N30" si="10">+IFERROR(C28/C15, 0)</f>
        <v>0</v>
      </c>
      <c r="D30" s="71">
        <f t="shared" si="10"/>
        <v>0</v>
      </c>
      <c r="E30" s="71">
        <f t="shared" si="10"/>
        <v>0</v>
      </c>
      <c r="F30" s="71">
        <f t="shared" si="10"/>
        <v>0</v>
      </c>
      <c r="G30" s="71">
        <f t="shared" si="10"/>
        <v>0.97252146666666672</v>
      </c>
      <c r="H30" s="71">
        <f t="shared" si="10"/>
        <v>0</v>
      </c>
      <c r="I30" s="71">
        <f t="shared" si="10"/>
        <v>0</v>
      </c>
      <c r="J30" s="71">
        <f t="shared" si="10"/>
        <v>0</v>
      </c>
      <c r="K30" s="71">
        <f t="shared" si="10"/>
        <v>0</v>
      </c>
      <c r="L30" s="71">
        <f t="shared" si="10"/>
        <v>0.44746673333333331</v>
      </c>
      <c r="M30" s="71">
        <f t="shared" si="10"/>
        <v>0.21571205333333324</v>
      </c>
      <c r="N30" s="179">
        <f t="shared" si="10"/>
        <v>9.8874933333333373E-2</v>
      </c>
      <c r="O30" s="7"/>
      <c r="P30" s="71">
        <f>P28/P15</f>
        <v>0.29683497142857135</v>
      </c>
    </row>
    <row r="31" spans="2:20" ht="4.95" customHeight="1" x14ac:dyDescent="0.3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182"/>
      <c r="P31" s="63"/>
    </row>
    <row r="32" spans="2:20" x14ac:dyDescent="0.3">
      <c r="B32" s="7" t="s">
        <v>154</v>
      </c>
      <c r="C32" s="108">
        <f>SUMIF('Monthly Detail'!$3:$3, '2023 Overview'!C$11, 'Monthly Detail'!84:84)</f>
        <v>0</v>
      </c>
      <c r="D32" s="105">
        <f>SUMIF('Monthly Detail'!$3:$3, '2023 Overview'!D$11, 'Monthly Detail'!84:84)</f>
        <v>0</v>
      </c>
      <c r="E32" s="108">
        <f>SUMIF('Monthly Detail'!$3:$3, '2023 Overview'!E$11, 'Monthly Detail'!84:84)</f>
        <v>0</v>
      </c>
      <c r="F32" s="105">
        <f>SUMIF('Monthly Detail'!$3:$3, '2023 Overview'!F$11, 'Monthly Detail'!84:84)</f>
        <v>0</v>
      </c>
      <c r="G32" s="105">
        <f>SUMIF('Monthly Detail'!$3:$3, '2023 Overview'!G$11, 'Monthly Detail'!84:84)</f>
        <v>0</v>
      </c>
      <c r="H32" s="108">
        <f>SUMIF('Monthly Detail'!$3:$3, '2023 Overview'!H$11, 'Monthly Detail'!84:84)</f>
        <v>0</v>
      </c>
      <c r="I32" s="108">
        <f>SUMIF('Monthly Detail'!$3:$3, '2023 Overview'!I$11, 'Monthly Detail'!84:84)</f>
        <v>0</v>
      </c>
      <c r="J32" s="108">
        <f>SUMIF('Monthly Detail'!$3:$3, '2023 Overview'!J$11, 'Monthly Detail'!84:84)</f>
        <v>0</v>
      </c>
      <c r="K32" s="108">
        <f>SUMIF('Monthly Detail'!$3:$3, '2023 Overview'!K$11, 'Monthly Detail'!84:84)</f>
        <v>0</v>
      </c>
      <c r="L32" s="108">
        <f>SUMIF('Monthly Detail'!$3:$3, '2023 Overview'!L$11, 'Monthly Detail'!84:84)</f>
        <v>0</v>
      </c>
      <c r="M32" s="108">
        <f>SUMIF('Monthly Detail'!$3:$3, '2023 Overview'!M$11, 'Monthly Detail'!84:84)</f>
        <v>0</v>
      </c>
      <c r="N32" s="183">
        <f>SUMIF('Monthly Detail'!$3:$3, '2023 Overview'!N$11, 'Monthly Detail'!84:84)</f>
        <v>0</v>
      </c>
      <c r="O32" s="105"/>
      <c r="P32" s="90">
        <f>SUM(C32:O32)</f>
        <v>0</v>
      </c>
    </row>
    <row r="33" spans="2:17" ht="15.6" x14ac:dyDescent="0.3">
      <c r="B33" s="68" t="s">
        <v>297</v>
      </c>
      <c r="C33" s="69">
        <f t="shared" ref="C33:M33" si="11">C27+SUM(C32:C32)</f>
        <v>-1759.16</v>
      </c>
      <c r="D33" s="69">
        <f t="shared" si="11"/>
        <v>-467.18</v>
      </c>
      <c r="E33" s="69">
        <f t="shared" si="11"/>
        <v>-1525.78</v>
      </c>
      <c r="F33" s="69">
        <f t="shared" si="11"/>
        <v>-598.99</v>
      </c>
      <c r="G33" s="69">
        <f t="shared" si="11"/>
        <v>-2060.8900000000003</v>
      </c>
      <c r="H33" s="69">
        <f t="shared" si="11"/>
        <v>-3850.88</v>
      </c>
      <c r="I33" s="69">
        <f t="shared" si="11"/>
        <v>-1931.7200000000003</v>
      </c>
      <c r="J33" s="69">
        <f t="shared" si="11"/>
        <v>-21628.43</v>
      </c>
      <c r="K33" s="69">
        <f t="shared" si="11"/>
        <v>-4028.06</v>
      </c>
      <c r="L33" s="69">
        <f t="shared" si="11"/>
        <v>67120.009999999995</v>
      </c>
      <c r="M33" s="69">
        <f t="shared" si="11"/>
        <v>40446.00999999998</v>
      </c>
      <c r="N33" s="178">
        <f>N27+SUM(N32:N32)</f>
        <v>11123.430000000004</v>
      </c>
      <c r="O33" s="58"/>
      <c r="P33" s="69">
        <f>P27+SUM(P32:P32)</f>
        <v>80838.359999999971</v>
      </c>
    </row>
    <row r="34" spans="2:17" ht="15.6" x14ac:dyDescent="0.3">
      <c r="B34" s="299" t="s">
        <v>296</v>
      </c>
      <c r="C34" s="245">
        <f>C28+SUM(C32)</f>
        <v>-1759.16</v>
      </c>
      <c r="D34" s="245">
        <f t="shared" ref="D34:N34" si="12">D28+SUM(D32)</f>
        <v>-467.18</v>
      </c>
      <c r="E34" s="245">
        <f t="shared" si="12"/>
        <v>-1525.78</v>
      </c>
      <c r="F34" s="245">
        <f t="shared" si="12"/>
        <v>-598.99</v>
      </c>
      <c r="G34" s="245">
        <f t="shared" si="12"/>
        <v>72939.11</v>
      </c>
      <c r="H34" s="245">
        <f t="shared" si="12"/>
        <v>-3850.88</v>
      </c>
      <c r="I34" s="245">
        <f t="shared" si="12"/>
        <v>-1931.7200000000003</v>
      </c>
      <c r="J34" s="245">
        <f t="shared" si="12"/>
        <v>-21628.43</v>
      </c>
      <c r="K34" s="245">
        <f t="shared" si="12"/>
        <v>-4028.06</v>
      </c>
      <c r="L34" s="245">
        <f t="shared" si="12"/>
        <v>67120.009999999995</v>
      </c>
      <c r="M34" s="245">
        <f t="shared" si="12"/>
        <v>40446.00999999998</v>
      </c>
      <c r="N34" s="300">
        <f t="shared" si="12"/>
        <v>11123.430000000004</v>
      </c>
      <c r="O34" s="58"/>
      <c r="P34" s="245">
        <f>P28+SUM(P32)</f>
        <v>155838.35999999996</v>
      </c>
    </row>
    <row r="35" spans="2:17" x14ac:dyDescent="0.3">
      <c r="B35" s="70" t="s">
        <v>304</v>
      </c>
      <c r="C35" s="71">
        <f t="shared" ref="C35:N35" si="13">+IFERROR(C33/C14, 0)</f>
        <v>0</v>
      </c>
      <c r="D35" s="71">
        <f t="shared" si="13"/>
        <v>0</v>
      </c>
      <c r="E35" s="71">
        <f t="shared" si="13"/>
        <v>0</v>
      </c>
      <c r="F35" s="71">
        <f t="shared" si="13"/>
        <v>0</v>
      </c>
      <c r="G35" s="71">
        <f t="shared" si="13"/>
        <v>0</v>
      </c>
      <c r="H35" s="71">
        <f t="shared" si="13"/>
        <v>0</v>
      </c>
      <c r="I35" s="71">
        <f t="shared" si="13"/>
        <v>0</v>
      </c>
      <c r="J35" s="71">
        <f t="shared" si="13"/>
        <v>0</v>
      </c>
      <c r="K35" s="71">
        <f t="shared" si="13"/>
        <v>0</v>
      </c>
      <c r="L35" s="71">
        <f t="shared" si="13"/>
        <v>0.44746673333333331</v>
      </c>
      <c r="M35" s="71">
        <f t="shared" si="13"/>
        <v>0.21571205333333324</v>
      </c>
      <c r="N35" s="179">
        <f t="shared" si="13"/>
        <v>9.8874933333333373E-2</v>
      </c>
      <c r="O35" s="7"/>
      <c r="P35" s="71">
        <f>P33/P14</f>
        <v>0.17964079999999993</v>
      </c>
    </row>
    <row r="36" spans="2:17" x14ac:dyDescent="0.3">
      <c r="B36" s="70" t="s">
        <v>305</v>
      </c>
      <c r="C36" s="71">
        <f t="shared" ref="C36:N36" si="14">+IFERROR(C34/C15, 0)</f>
        <v>0</v>
      </c>
      <c r="D36" s="71">
        <f t="shared" si="14"/>
        <v>0</v>
      </c>
      <c r="E36" s="71">
        <f t="shared" si="14"/>
        <v>0</v>
      </c>
      <c r="F36" s="71">
        <f t="shared" si="14"/>
        <v>0</v>
      </c>
      <c r="G36" s="71">
        <f t="shared" si="14"/>
        <v>0.97252146666666672</v>
      </c>
      <c r="H36" s="71">
        <f t="shared" si="14"/>
        <v>0</v>
      </c>
      <c r="I36" s="71">
        <f t="shared" si="14"/>
        <v>0</v>
      </c>
      <c r="J36" s="71">
        <f t="shared" si="14"/>
        <v>0</v>
      </c>
      <c r="K36" s="71">
        <f t="shared" si="14"/>
        <v>0</v>
      </c>
      <c r="L36" s="71">
        <f t="shared" si="14"/>
        <v>0.44746673333333331</v>
      </c>
      <c r="M36" s="71">
        <f t="shared" si="14"/>
        <v>0.21571205333333324</v>
      </c>
      <c r="N36" s="179">
        <f t="shared" si="14"/>
        <v>9.8874933333333373E-2</v>
      </c>
      <c r="O36" s="7"/>
      <c r="P36" s="71">
        <f>P34/P15</f>
        <v>0.29683497142857135</v>
      </c>
    </row>
    <row r="37" spans="2:17" ht="4.95" customHeight="1" thickBot="1" x14ac:dyDescent="0.35">
      <c r="B37" s="7"/>
      <c r="N37" s="180"/>
    </row>
    <row r="38" spans="2:17" ht="15.6" x14ac:dyDescent="0.3">
      <c r="B38" s="64" t="s">
        <v>156</v>
      </c>
      <c r="C38" s="65">
        <f>SUMIF('Monthly Detail'!$3:$3, '2023 Overview'!C$11, 'Monthly Detail'!179:179)</f>
        <v>1685.4099999999987</v>
      </c>
      <c r="D38" s="134">
        <f>SUMIF('Monthly Detail'!$3:$3, '2023 Overview'!D$11, 'Monthly Detail'!179:179)</f>
        <v>1215.7899999999986</v>
      </c>
      <c r="E38" s="65">
        <f>SUMIF('Monthly Detail'!$3:$3, '2023 Overview'!E$11, 'Monthly Detail'!179:179)</f>
        <v>888.59999999999854</v>
      </c>
      <c r="F38" s="134">
        <f>SUMIF('Monthly Detail'!$3:$3, '2023 Overview'!F$11, 'Monthly Detail'!179:179)</f>
        <v>721.96999999999866</v>
      </c>
      <c r="G38" s="65">
        <f>SUMIF('Monthly Detail'!$3:$3, '2023 Overview'!G$11, 'Monthly Detail'!179:179)</f>
        <v>75385.05</v>
      </c>
      <c r="H38" s="65">
        <f>SUMIF('Monthly Detail'!$3:$3, '2023 Overview'!H$11, 'Monthly Detail'!179:179)</f>
        <v>71768.56</v>
      </c>
      <c r="I38" s="134">
        <f>SUMIF('Monthly Detail'!$3:$3, '2023 Overview'!I$11, 'Monthly Detail'!179:179)</f>
        <v>71854.92</v>
      </c>
      <c r="J38" s="134">
        <f>SUMIF('Monthly Detail'!$3:$3, '2023 Overview'!J$11, 'Monthly Detail'!179:179)</f>
        <v>51317.030000000006</v>
      </c>
      <c r="K38" s="134">
        <f>SUMIF('Monthly Detail'!$3:$3, '2023 Overview'!K$11, 'Monthly Detail'!179:179)</f>
        <v>48758.8</v>
      </c>
      <c r="L38" s="134">
        <f>SUMIF('Monthly Detail'!$3:$3, '2023 Overview'!L$11, 'Monthly Detail'!179:179)</f>
        <v>118050.04999999999</v>
      </c>
      <c r="M38" s="134">
        <f>SUMIF('Monthly Detail'!$3:$3, '2023 Overview'!M$11, 'Monthly Detail'!179:179)</f>
        <v>143860.09999999998</v>
      </c>
      <c r="N38" s="184">
        <f>SUMIF('Monthly Detail'!$3:$3, '2023 Overview'!N$11, 'Monthly Detail'!179:179)</f>
        <v>194649.22999999998</v>
      </c>
      <c r="P38" s="246">
        <f>+P33*0.153</f>
        <v>12368.269079999995</v>
      </c>
      <c r="Q38" t="s">
        <v>307</v>
      </c>
    </row>
    <row r="39" spans="2:17" ht="16.2" thickBot="1" x14ac:dyDescent="0.35">
      <c r="B39" s="66" t="s">
        <v>157</v>
      </c>
      <c r="C39" s="67">
        <f>SUMIF('Monthly Detail'!$3:$3, '2023 Overview'!C$11, 'Monthly Detail'!176:176)</f>
        <v>1377.5999999999985</v>
      </c>
      <c r="D39" s="135">
        <f>SUMIF('Monthly Detail'!$3:$3, '2023 Overview'!D$11, 'Monthly Detail'!176:176)</f>
        <v>-469.62</v>
      </c>
      <c r="E39" s="67">
        <f>SUMIF('Monthly Detail'!$3:$3, '2023 Overview'!E$11, 'Monthly Detail'!176:176)</f>
        <v>-327.19000000000005</v>
      </c>
      <c r="F39" s="135">
        <f>SUMIF('Monthly Detail'!$3:$3, '2023 Overview'!F$11, 'Monthly Detail'!176:176)</f>
        <v>-166.62999999999988</v>
      </c>
      <c r="G39" s="67">
        <f>SUMIF('Monthly Detail'!$3:$3, '2023 Overview'!G$11, 'Monthly Detail'!176:176)</f>
        <v>74663.08</v>
      </c>
      <c r="H39" s="67">
        <f>SUMIF('Monthly Detail'!$3:$3, '2023 Overview'!H$11, 'Monthly Detail'!176:176)</f>
        <v>-3616.4899999999984</v>
      </c>
      <c r="I39" s="135">
        <f>SUMIF('Monthly Detail'!$3:$3, '2023 Overview'!I$11, 'Monthly Detail'!176:176)</f>
        <v>86.35999999999558</v>
      </c>
      <c r="J39" s="135">
        <f>SUMIF('Monthly Detail'!$3:$3, '2023 Overview'!J$11, 'Monthly Detail'!176:176)</f>
        <v>-20537.889999999992</v>
      </c>
      <c r="K39" s="135">
        <f>SUMIF('Monthly Detail'!$3:$3, '2023 Overview'!K$11, 'Monthly Detail'!176:176)</f>
        <v>-2558.23</v>
      </c>
      <c r="L39" s="135">
        <f>SUMIF('Monthly Detail'!$3:$3, '2023 Overview'!L$11, 'Monthly Detail'!176:176)</f>
        <v>69291.249999999985</v>
      </c>
      <c r="M39" s="135">
        <f>SUMIF('Monthly Detail'!$3:$3, '2023 Overview'!M$11, 'Monthly Detail'!176:176)</f>
        <v>25810.049999999974</v>
      </c>
      <c r="N39" s="185">
        <f>SUMIF('Monthly Detail'!$3:$3, '2023 Overview'!N$11, 'Monthly Detail'!176:176)</f>
        <v>50789.130000000019</v>
      </c>
      <c r="P39" s="246">
        <f>+P34*0.153</f>
        <v>23843.269079999995</v>
      </c>
      <c r="Q39" t="s">
        <v>306</v>
      </c>
    </row>
    <row r="40" spans="2:17" x14ac:dyDescent="0.3">
      <c r="E40" s="9"/>
    </row>
  </sheetData>
  <pageMargins left="0.25" right="0.25" top="0.75" bottom="0.75" header="0.3" footer="0.3"/>
  <pageSetup scale="54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21" bestFit="1" customWidth="1"/>
    <col min="2" max="2" width="9.6640625" style="21" bestFit="1" customWidth="1"/>
    <col min="3" max="3" width="6.109375" style="21" bestFit="1" customWidth="1"/>
    <col min="4" max="6" width="9.109375" style="21"/>
    <col min="7" max="7" width="18.6640625" style="21" bestFit="1" customWidth="1"/>
    <col min="8" max="14" width="9.109375" style="21"/>
    <col min="15" max="15" width="16.33203125" style="21" bestFit="1" customWidth="1"/>
    <col min="16" max="16" width="12.6640625" style="21" bestFit="1" customWidth="1"/>
    <col min="17" max="17" width="11.5546875" style="21" bestFit="1" customWidth="1"/>
    <col min="18" max="16384" width="9.109375" style="21"/>
  </cols>
  <sheetData>
    <row r="1" spans="1:17" x14ac:dyDescent="0.3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  <c r="I1" s="21" t="s">
        <v>62</v>
      </c>
      <c r="J1" s="21" t="s">
        <v>64</v>
      </c>
    </row>
    <row r="2" spans="1:17" x14ac:dyDescent="0.3">
      <c r="A2" s="29" t="s">
        <v>77</v>
      </c>
      <c r="B2" s="30">
        <v>44793</v>
      </c>
      <c r="C2" s="29">
        <v>0.5</v>
      </c>
      <c r="D2" s="29">
        <v>50</v>
      </c>
      <c r="E2" s="29">
        <f t="shared" ref="E2:E7" si="0">C2*D2</f>
        <v>25</v>
      </c>
      <c r="F2" s="29" t="s">
        <v>66</v>
      </c>
      <c r="G2" s="29" t="s">
        <v>66</v>
      </c>
      <c r="H2" s="29" t="s">
        <v>128</v>
      </c>
      <c r="I2" s="29">
        <v>10</v>
      </c>
      <c r="J2" s="29">
        <f t="shared" ref="J2:J7" si="1">E2+I2</f>
        <v>35</v>
      </c>
    </row>
    <row r="3" spans="1:17" x14ac:dyDescent="0.3">
      <c r="A3" s="29" t="s">
        <v>103</v>
      </c>
      <c r="B3" s="30">
        <v>44794</v>
      </c>
      <c r="C3" s="29">
        <v>1.5</v>
      </c>
      <c r="D3" s="29">
        <v>50</v>
      </c>
      <c r="E3" s="29">
        <f t="shared" si="0"/>
        <v>75</v>
      </c>
      <c r="F3" s="29" t="s">
        <v>68</v>
      </c>
      <c r="G3" s="29" t="s">
        <v>66</v>
      </c>
      <c r="H3" s="29" t="s">
        <v>129</v>
      </c>
      <c r="I3" s="29">
        <v>0</v>
      </c>
      <c r="J3" s="29">
        <f t="shared" si="1"/>
        <v>75</v>
      </c>
    </row>
    <row r="4" spans="1:17" x14ac:dyDescent="0.3">
      <c r="A4" s="29" t="s">
        <v>96</v>
      </c>
      <c r="B4" s="30">
        <v>44794</v>
      </c>
      <c r="C4" s="29">
        <v>1</v>
      </c>
      <c r="D4" s="29">
        <v>50</v>
      </c>
      <c r="E4" s="29">
        <f t="shared" si="0"/>
        <v>50</v>
      </c>
      <c r="F4" s="29" t="s">
        <v>68</v>
      </c>
      <c r="G4" s="29" t="s">
        <v>68</v>
      </c>
      <c r="H4" s="29" t="s">
        <v>130</v>
      </c>
      <c r="I4" s="29"/>
      <c r="J4" s="29">
        <f t="shared" si="1"/>
        <v>50</v>
      </c>
    </row>
    <row r="5" spans="1:17" x14ac:dyDescent="0.3">
      <c r="A5" s="29" t="s">
        <v>114</v>
      </c>
      <c r="B5" s="30">
        <v>44796</v>
      </c>
      <c r="C5" s="29">
        <v>2</v>
      </c>
      <c r="D5" s="29">
        <v>50</v>
      </c>
      <c r="E5" s="29">
        <f t="shared" si="0"/>
        <v>100</v>
      </c>
      <c r="F5" s="29" t="s">
        <v>66</v>
      </c>
      <c r="G5" s="29" t="s">
        <v>66</v>
      </c>
      <c r="H5" s="29" t="s">
        <v>131</v>
      </c>
      <c r="I5" s="29"/>
      <c r="J5" s="29">
        <f t="shared" si="1"/>
        <v>100</v>
      </c>
      <c r="O5" s="31" t="s">
        <v>135</v>
      </c>
      <c r="P5" t="s">
        <v>137</v>
      </c>
      <c r="Q5" t="s">
        <v>138</v>
      </c>
    </row>
    <row r="6" spans="1:17" x14ac:dyDescent="0.3">
      <c r="A6" s="29" t="s">
        <v>96</v>
      </c>
      <c r="B6" s="30">
        <v>44796</v>
      </c>
      <c r="C6" s="29">
        <v>2</v>
      </c>
      <c r="D6" s="29">
        <v>50</v>
      </c>
      <c r="E6" s="29">
        <f t="shared" si="0"/>
        <v>100</v>
      </c>
      <c r="F6" s="29" t="s">
        <v>68</v>
      </c>
      <c r="G6" s="29" t="s">
        <v>68</v>
      </c>
      <c r="H6" s="29" t="s">
        <v>132</v>
      </c>
      <c r="I6" s="29"/>
      <c r="J6" s="29">
        <f t="shared" si="1"/>
        <v>100</v>
      </c>
      <c r="O6" s="32" t="s">
        <v>77</v>
      </c>
      <c r="P6">
        <v>0.5</v>
      </c>
      <c r="Q6">
        <v>25</v>
      </c>
    </row>
    <row r="7" spans="1:17" x14ac:dyDescent="0.3">
      <c r="A7" s="29" t="s">
        <v>133</v>
      </c>
      <c r="B7" s="30">
        <v>44796</v>
      </c>
      <c r="C7" s="29">
        <v>0.5</v>
      </c>
      <c r="D7" s="29">
        <v>50</v>
      </c>
      <c r="E7" s="29">
        <f t="shared" si="0"/>
        <v>25</v>
      </c>
      <c r="F7" s="29" t="s">
        <v>66</v>
      </c>
      <c r="G7" s="29" t="s">
        <v>66</v>
      </c>
      <c r="H7" s="29" t="s">
        <v>134</v>
      </c>
      <c r="I7" s="29"/>
      <c r="J7" s="29">
        <f t="shared" si="1"/>
        <v>25</v>
      </c>
      <c r="O7" s="32" t="s">
        <v>96</v>
      </c>
      <c r="P7">
        <v>3</v>
      </c>
      <c r="Q7">
        <v>150</v>
      </c>
    </row>
    <row r="8" spans="1:17" x14ac:dyDescent="0.3">
      <c r="O8" s="32" t="s">
        <v>133</v>
      </c>
      <c r="P8">
        <v>0.5</v>
      </c>
      <c r="Q8">
        <v>25</v>
      </c>
    </row>
    <row r="9" spans="1:17" x14ac:dyDescent="0.3">
      <c r="O9" s="32" t="s">
        <v>103</v>
      </c>
      <c r="P9">
        <v>1.5</v>
      </c>
      <c r="Q9">
        <v>75</v>
      </c>
    </row>
    <row r="10" spans="1:17" x14ac:dyDescent="0.3">
      <c r="J10" s="21">
        <f>SUM(J2:J7)</f>
        <v>385</v>
      </c>
      <c r="O10" s="32" t="s">
        <v>114</v>
      </c>
      <c r="P10">
        <v>2</v>
      </c>
      <c r="Q10">
        <v>100</v>
      </c>
    </row>
    <row r="11" spans="1:17" x14ac:dyDescent="0.3">
      <c r="O11" s="32" t="s">
        <v>136</v>
      </c>
      <c r="P11">
        <v>7.5</v>
      </c>
      <c r="Q11">
        <v>375</v>
      </c>
    </row>
    <row r="12" spans="1:17" x14ac:dyDescent="0.3">
      <c r="J12" s="21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00C-7477-4BF0-B9C8-30493562D33F}">
  <sheetPr>
    <tabColor theme="9" tint="-0.249977111117893"/>
  </sheetPr>
  <dimension ref="B2:CK18"/>
  <sheetViews>
    <sheetView workbookViewId="0">
      <selection activeCell="N17" sqref="N17"/>
    </sheetView>
  </sheetViews>
  <sheetFormatPr defaultRowHeight="14.4" x14ac:dyDescent="0.3"/>
  <cols>
    <col min="3" max="3" width="21.33203125" bestFit="1" customWidth="1"/>
    <col min="4" max="4" width="19.109375" customWidth="1"/>
    <col min="5" max="5" width="1" hidden="1" customWidth="1"/>
    <col min="6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353">
        <v>45322</v>
      </c>
      <c r="G2" s="354">
        <v>45351</v>
      </c>
      <c r="H2" s="327">
        <v>45382</v>
      </c>
      <c r="I2" s="327">
        <v>45412</v>
      </c>
      <c r="J2" s="327">
        <v>45443</v>
      </c>
      <c r="K2" s="327">
        <v>45473</v>
      </c>
      <c r="L2" s="327">
        <v>45504</v>
      </c>
      <c r="M2" s="327">
        <v>45535</v>
      </c>
      <c r="N2" s="328">
        <v>45565</v>
      </c>
      <c r="O2" s="327">
        <v>45596</v>
      </c>
      <c r="P2" s="327">
        <v>45626</v>
      </c>
      <c r="Q2" s="327">
        <v>45657</v>
      </c>
      <c r="R2" s="327">
        <v>45688</v>
      </c>
      <c r="S2" s="327">
        <v>45716</v>
      </c>
      <c r="T2" s="327">
        <v>45747</v>
      </c>
      <c r="U2" s="327">
        <v>45777</v>
      </c>
      <c r="V2" s="327">
        <v>45808</v>
      </c>
      <c r="W2" s="327">
        <v>45838</v>
      </c>
      <c r="X2" s="327">
        <v>45869</v>
      </c>
      <c r="Y2" s="327">
        <v>45900</v>
      </c>
      <c r="Z2" s="327">
        <v>45930</v>
      </c>
      <c r="AA2" s="327">
        <v>45961</v>
      </c>
      <c r="AB2" s="327">
        <v>45991</v>
      </c>
      <c r="AC2" s="327">
        <v>46022</v>
      </c>
      <c r="AD2" s="327">
        <v>46053</v>
      </c>
      <c r="AE2" s="327">
        <v>46081</v>
      </c>
      <c r="AF2" s="327">
        <v>46112</v>
      </c>
      <c r="AG2" s="327">
        <v>46142</v>
      </c>
      <c r="AH2" s="327">
        <v>46173</v>
      </c>
      <c r="AI2" s="327">
        <v>46203</v>
      </c>
      <c r="AJ2" s="327">
        <v>46234</v>
      </c>
      <c r="AK2" s="327">
        <v>46265</v>
      </c>
      <c r="AL2" s="327">
        <v>46295</v>
      </c>
      <c r="AM2" s="327">
        <v>46326</v>
      </c>
      <c r="AN2" s="327">
        <v>46356</v>
      </c>
      <c r="AO2" s="327">
        <v>46387</v>
      </c>
      <c r="AP2" s="327">
        <v>46418</v>
      </c>
      <c r="AQ2" s="327">
        <v>46446</v>
      </c>
      <c r="AR2" s="327">
        <v>46477</v>
      </c>
      <c r="AS2" s="327">
        <v>46507</v>
      </c>
      <c r="AT2" s="327">
        <v>46538</v>
      </c>
      <c r="AU2" s="327">
        <v>46568</v>
      </c>
      <c r="AV2" s="327">
        <v>46599</v>
      </c>
      <c r="AW2" s="327">
        <v>46630</v>
      </c>
      <c r="AX2" s="327">
        <v>46660</v>
      </c>
      <c r="AY2" s="327">
        <v>46691</v>
      </c>
      <c r="AZ2" s="327">
        <v>46721</v>
      </c>
      <c r="BA2" s="327">
        <v>46752</v>
      </c>
      <c r="BB2" s="327">
        <v>46783</v>
      </c>
      <c r="BC2" s="327">
        <v>46812</v>
      </c>
      <c r="BD2" s="327">
        <v>46843</v>
      </c>
      <c r="BE2" s="327">
        <v>46873</v>
      </c>
      <c r="BF2" s="327">
        <v>46904</v>
      </c>
      <c r="BG2" s="327">
        <v>46934</v>
      </c>
      <c r="BH2" s="327">
        <v>46965</v>
      </c>
      <c r="BI2" s="327">
        <v>46996</v>
      </c>
      <c r="BJ2" s="327">
        <v>47026</v>
      </c>
      <c r="BK2" s="327">
        <v>47057</v>
      </c>
      <c r="BL2" s="327">
        <v>47087</v>
      </c>
      <c r="BM2" s="327">
        <v>47118</v>
      </c>
      <c r="BN2" s="327">
        <v>47149</v>
      </c>
      <c r="BO2" s="327">
        <v>47177</v>
      </c>
      <c r="BP2" s="327">
        <v>47208</v>
      </c>
      <c r="BQ2" s="327">
        <v>47238</v>
      </c>
      <c r="BR2" s="327">
        <v>47269</v>
      </c>
      <c r="BS2" s="327">
        <v>47299</v>
      </c>
      <c r="BT2" s="327">
        <v>47330</v>
      </c>
      <c r="BU2" s="327">
        <v>47361</v>
      </c>
      <c r="BV2" s="327">
        <v>47391</v>
      </c>
      <c r="BW2" s="327">
        <v>47422</v>
      </c>
      <c r="BX2" s="327">
        <v>47452</v>
      </c>
      <c r="BY2" s="327">
        <v>47483</v>
      </c>
      <c r="BZ2" s="327">
        <v>47514</v>
      </c>
      <c r="CA2" s="327">
        <v>47542</v>
      </c>
      <c r="CB2" s="327">
        <v>47573</v>
      </c>
      <c r="CC2" s="327">
        <v>47603</v>
      </c>
      <c r="CD2" s="327">
        <v>47634</v>
      </c>
      <c r="CE2" s="327">
        <v>47664</v>
      </c>
      <c r="CF2" s="327">
        <v>47695</v>
      </c>
      <c r="CG2" s="327">
        <v>47726</v>
      </c>
      <c r="CH2" s="327">
        <v>47756</v>
      </c>
      <c r="CI2" s="327">
        <v>47787</v>
      </c>
      <c r="CJ2" s="327">
        <v>47817</v>
      </c>
      <c r="CK2" s="328">
        <v>47848</v>
      </c>
    </row>
    <row r="3" spans="2:89" x14ac:dyDescent="0.3">
      <c r="D3" t="s">
        <v>339</v>
      </c>
      <c r="F3" s="355">
        <v>8</v>
      </c>
      <c r="G3" s="356">
        <v>8</v>
      </c>
      <c r="H3" s="356">
        <v>8</v>
      </c>
      <c r="I3" s="356">
        <v>8</v>
      </c>
      <c r="J3" s="356">
        <v>8</v>
      </c>
      <c r="K3" s="356">
        <v>8</v>
      </c>
      <c r="L3" s="356">
        <v>8</v>
      </c>
      <c r="M3" s="356">
        <v>15</v>
      </c>
      <c r="N3" s="592">
        <v>15</v>
      </c>
      <c r="O3" s="355">
        <v>15</v>
      </c>
      <c r="P3" s="355">
        <v>15</v>
      </c>
      <c r="Q3" s="355">
        <v>15</v>
      </c>
      <c r="R3" s="355">
        <v>30</v>
      </c>
      <c r="S3" s="355">
        <f>+R3</f>
        <v>30</v>
      </c>
      <c r="T3" s="355">
        <f t="shared" ref="T3:W3" si="0">+S3</f>
        <v>30</v>
      </c>
      <c r="U3" s="355">
        <f t="shared" si="0"/>
        <v>30</v>
      </c>
      <c r="V3" s="355">
        <f t="shared" si="0"/>
        <v>30</v>
      </c>
      <c r="W3" s="355">
        <f t="shared" si="0"/>
        <v>30</v>
      </c>
      <c r="X3" s="355">
        <f>+W3+5</f>
        <v>35</v>
      </c>
      <c r="Y3" s="355">
        <f>+X3</f>
        <v>35</v>
      </c>
      <c r="Z3" s="355">
        <f t="shared" ref="Z3:AC3" si="1">+Y3</f>
        <v>35</v>
      </c>
      <c r="AA3" s="355">
        <f t="shared" si="1"/>
        <v>35</v>
      </c>
      <c r="AB3" s="355">
        <f t="shared" si="1"/>
        <v>35</v>
      </c>
      <c r="AC3" s="355">
        <f t="shared" si="1"/>
        <v>35</v>
      </c>
      <c r="AD3" s="355">
        <v>35</v>
      </c>
      <c r="AE3" s="355">
        <f>+AD3</f>
        <v>35</v>
      </c>
      <c r="AF3" s="355">
        <f t="shared" ref="AF3:AI3" si="2">+AE3</f>
        <v>35</v>
      </c>
      <c r="AG3" s="355">
        <f t="shared" si="2"/>
        <v>35</v>
      </c>
      <c r="AH3" s="355">
        <f t="shared" si="2"/>
        <v>35</v>
      </c>
      <c r="AI3" s="355">
        <f t="shared" si="2"/>
        <v>35</v>
      </c>
      <c r="AJ3" s="355">
        <f>+AI3+5</f>
        <v>40</v>
      </c>
      <c r="AK3" s="355">
        <f>+AJ3</f>
        <v>40</v>
      </c>
      <c r="AL3" s="355">
        <f t="shared" ref="AL3:AO3" si="3">+AK3</f>
        <v>40</v>
      </c>
      <c r="AM3" s="355">
        <f t="shared" si="3"/>
        <v>40</v>
      </c>
      <c r="AN3" s="355">
        <f t="shared" si="3"/>
        <v>40</v>
      </c>
      <c r="AO3" s="355">
        <f t="shared" si="3"/>
        <v>40</v>
      </c>
      <c r="AP3" s="355">
        <v>50</v>
      </c>
      <c r="AQ3" s="355">
        <f>+AP3</f>
        <v>50</v>
      </c>
      <c r="AR3" s="355">
        <f t="shared" ref="AR3:AU3" si="4">+AQ3</f>
        <v>50</v>
      </c>
      <c r="AS3" s="355">
        <f t="shared" si="4"/>
        <v>50</v>
      </c>
      <c r="AT3" s="355">
        <f t="shared" si="4"/>
        <v>50</v>
      </c>
      <c r="AU3" s="355">
        <f t="shared" si="4"/>
        <v>50</v>
      </c>
      <c r="AV3" s="355">
        <f>+AU3+5</f>
        <v>55</v>
      </c>
      <c r="AW3" s="355">
        <f>+AV3</f>
        <v>55</v>
      </c>
      <c r="AX3" s="355">
        <f t="shared" ref="AX3:BA3" si="5">+AW3</f>
        <v>55</v>
      </c>
      <c r="AY3" s="355">
        <f t="shared" si="5"/>
        <v>55</v>
      </c>
      <c r="AZ3" s="355">
        <f t="shared" si="5"/>
        <v>55</v>
      </c>
      <c r="BA3" s="355">
        <f t="shared" si="5"/>
        <v>55</v>
      </c>
      <c r="BB3" s="355">
        <f>+BA3+5</f>
        <v>60</v>
      </c>
      <c r="BC3" s="355">
        <f>+BB3</f>
        <v>60</v>
      </c>
      <c r="BD3" s="355">
        <f t="shared" ref="BD3:BG3" si="6">+BC3</f>
        <v>60</v>
      </c>
      <c r="BE3" s="355">
        <f t="shared" si="6"/>
        <v>60</v>
      </c>
      <c r="BF3" s="355">
        <f t="shared" si="6"/>
        <v>60</v>
      </c>
      <c r="BG3" s="355">
        <f t="shared" si="6"/>
        <v>60</v>
      </c>
      <c r="BH3" s="355">
        <f>+BG3+5</f>
        <v>65</v>
      </c>
      <c r="BI3" s="355">
        <f>+BH3</f>
        <v>65</v>
      </c>
      <c r="BJ3" s="355">
        <f t="shared" ref="BJ3:BM3" si="7">+BI3</f>
        <v>65</v>
      </c>
      <c r="BK3" s="355">
        <f t="shared" si="7"/>
        <v>65</v>
      </c>
      <c r="BL3" s="355">
        <f t="shared" si="7"/>
        <v>65</v>
      </c>
      <c r="BM3" s="355">
        <f t="shared" si="7"/>
        <v>65</v>
      </c>
      <c r="BN3" s="355">
        <v>75</v>
      </c>
      <c r="BO3" s="355">
        <f>+BN3</f>
        <v>75</v>
      </c>
      <c r="BP3" s="355">
        <f t="shared" ref="BP3:BS3" si="8">+BO3</f>
        <v>75</v>
      </c>
      <c r="BQ3" s="355">
        <f t="shared" si="8"/>
        <v>75</v>
      </c>
      <c r="BR3" s="355">
        <f t="shared" si="8"/>
        <v>75</v>
      </c>
      <c r="BS3" s="355">
        <f t="shared" si="8"/>
        <v>75</v>
      </c>
      <c r="BT3" s="355">
        <f>+BS3+5</f>
        <v>80</v>
      </c>
      <c r="BU3" s="355">
        <f>+BT3</f>
        <v>80</v>
      </c>
      <c r="BV3" s="355">
        <f t="shared" ref="BV3:BY3" si="9">+BU3</f>
        <v>80</v>
      </c>
      <c r="BW3" s="355">
        <f t="shared" si="9"/>
        <v>80</v>
      </c>
      <c r="BX3" s="355">
        <f t="shared" si="9"/>
        <v>80</v>
      </c>
      <c r="BY3" s="355">
        <f t="shared" si="9"/>
        <v>80</v>
      </c>
      <c r="BZ3" s="355">
        <f>+BY3+5</f>
        <v>85</v>
      </c>
      <c r="CA3" s="355">
        <f>+BZ3</f>
        <v>85</v>
      </c>
      <c r="CB3" s="355">
        <f t="shared" ref="CB3:CE3" si="10">+CA3</f>
        <v>85</v>
      </c>
      <c r="CC3" s="355">
        <f t="shared" si="10"/>
        <v>85</v>
      </c>
      <c r="CD3" s="355">
        <f t="shared" si="10"/>
        <v>85</v>
      </c>
      <c r="CE3" s="355">
        <f t="shared" si="10"/>
        <v>85</v>
      </c>
      <c r="CF3" s="355">
        <f>+CE3+5</f>
        <v>90</v>
      </c>
      <c r="CG3" s="355">
        <f>+CF3</f>
        <v>90</v>
      </c>
      <c r="CH3" s="355">
        <f t="shared" ref="CH3:CK3" si="11">+CG3</f>
        <v>90</v>
      </c>
      <c r="CI3" s="355">
        <f t="shared" si="11"/>
        <v>90</v>
      </c>
      <c r="CJ3" s="355">
        <f t="shared" si="11"/>
        <v>90</v>
      </c>
      <c r="CK3" s="355">
        <f t="shared" si="11"/>
        <v>90</v>
      </c>
    </row>
    <row r="4" spans="2:89" x14ac:dyDescent="0.3">
      <c r="B4" s="357">
        <v>1</v>
      </c>
      <c r="C4" t="s">
        <v>340</v>
      </c>
      <c r="F4" s="355">
        <v>10</v>
      </c>
      <c r="G4" s="355">
        <v>10</v>
      </c>
      <c r="H4" s="355">
        <f t="shared" ref="H4:BS7" si="12">+ROUNDDOWN(H$3*$B4, 0)</f>
        <v>8</v>
      </c>
      <c r="I4" s="355">
        <f t="shared" si="12"/>
        <v>8</v>
      </c>
      <c r="J4" s="355">
        <v>7</v>
      </c>
      <c r="K4" s="355">
        <f t="shared" si="12"/>
        <v>8</v>
      </c>
      <c r="L4" s="355">
        <f t="shared" si="12"/>
        <v>8</v>
      </c>
      <c r="M4" s="355">
        <f t="shared" si="12"/>
        <v>15</v>
      </c>
      <c r="N4" s="593">
        <f t="shared" si="12"/>
        <v>15</v>
      </c>
      <c r="O4" s="358">
        <f t="shared" si="12"/>
        <v>15</v>
      </c>
      <c r="P4" s="358">
        <f t="shared" si="12"/>
        <v>15</v>
      </c>
      <c r="Q4" s="358">
        <f t="shared" si="12"/>
        <v>15</v>
      </c>
      <c r="R4" s="358">
        <f t="shared" si="12"/>
        <v>30</v>
      </c>
      <c r="S4" s="358">
        <f t="shared" si="12"/>
        <v>30</v>
      </c>
      <c r="T4" s="358">
        <f t="shared" si="12"/>
        <v>30</v>
      </c>
      <c r="U4" s="358">
        <f t="shared" si="12"/>
        <v>30</v>
      </c>
      <c r="V4" s="358">
        <f t="shared" si="12"/>
        <v>30</v>
      </c>
      <c r="W4" s="358">
        <f t="shared" si="12"/>
        <v>30</v>
      </c>
      <c r="X4" s="358">
        <f t="shared" si="12"/>
        <v>35</v>
      </c>
      <c r="Y4" s="358">
        <f t="shared" si="12"/>
        <v>35</v>
      </c>
      <c r="Z4" s="358">
        <f t="shared" si="12"/>
        <v>35</v>
      </c>
      <c r="AA4" s="358">
        <f t="shared" si="12"/>
        <v>35</v>
      </c>
      <c r="AB4" s="358">
        <f t="shared" si="12"/>
        <v>35</v>
      </c>
      <c r="AC4" s="358">
        <f t="shared" si="12"/>
        <v>35</v>
      </c>
      <c r="AD4" s="358">
        <f t="shared" si="12"/>
        <v>35</v>
      </c>
      <c r="AE4" s="358">
        <f t="shared" si="12"/>
        <v>35</v>
      </c>
      <c r="AF4" s="358">
        <f t="shared" si="12"/>
        <v>35</v>
      </c>
      <c r="AG4" s="358">
        <f t="shared" si="12"/>
        <v>35</v>
      </c>
      <c r="AH4" s="358">
        <f t="shared" si="12"/>
        <v>35</v>
      </c>
      <c r="AI4" s="358">
        <f t="shared" si="12"/>
        <v>35</v>
      </c>
      <c r="AJ4" s="358">
        <f t="shared" si="12"/>
        <v>40</v>
      </c>
      <c r="AK4" s="358">
        <f t="shared" si="12"/>
        <v>40</v>
      </c>
      <c r="AL4" s="358">
        <f t="shared" si="12"/>
        <v>40</v>
      </c>
      <c r="AM4" s="358">
        <f t="shared" si="12"/>
        <v>40</v>
      </c>
      <c r="AN4" s="358">
        <f t="shared" si="12"/>
        <v>40</v>
      </c>
      <c r="AO4" s="358">
        <f t="shared" si="12"/>
        <v>40</v>
      </c>
      <c r="AP4" s="358">
        <f t="shared" si="12"/>
        <v>50</v>
      </c>
      <c r="AQ4" s="358">
        <f t="shared" si="12"/>
        <v>50</v>
      </c>
      <c r="AR4" s="358">
        <f t="shared" si="12"/>
        <v>50</v>
      </c>
      <c r="AS4" s="358">
        <f t="shared" si="12"/>
        <v>50</v>
      </c>
      <c r="AT4" s="358">
        <f t="shared" si="12"/>
        <v>50</v>
      </c>
      <c r="AU4" s="358">
        <f t="shared" si="12"/>
        <v>50</v>
      </c>
      <c r="AV4" s="358">
        <f t="shared" si="12"/>
        <v>55</v>
      </c>
      <c r="AW4" s="358">
        <f t="shared" si="12"/>
        <v>55</v>
      </c>
      <c r="AX4" s="358">
        <f t="shared" si="12"/>
        <v>55</v>
      </c>
      <c r="AY4" s="358">
        <f t="shared" si="12"/>
        <v>55</v>
      </c>
      <c r="AZ4" s="358">
        <f t="shared" si="12"/>
        <v>55</v>
      </c>
      <c r="BA4" s="358">
        <f t="shared" si="12"/>
        <v>55</v>
      </c>
      <c r="BB4" s="358">
        <f t="shared" si="12"/>
        <v>60</v>
      </c>
      <c r="BC4" s="358">
        <f t="shared" si="12"/>
        <v>60</v>
      </c>
      <c r="BD4" s="358">
        <f t="shared" si="12"/>
        <v>60</v>
      </c>
      <c r="BE4" s="358">
        <f t="shared" si="12"/>
        <v>60</v>
      </c>
      <c r="BF4" s="358">
        <f t="shared" si="12"/>
        <v>60</v>
      </c>
      <c r="BG4" s="358">
        <f t="shared" si="12"/>
        <v>60</v>
      </c>
      <c r="BH4" s="358">
        <f t="shared" si="12"/>
        <v>65</v>
      </c>
      <c r="BI4" s="358">
        <f t="shared" si="12"/>
        <v>65</v>
      </c>
      <c r="BJ4" s="358">
        <f t="shared" si="12"/>
        <v>65</v>
      </c>
      <c r="BK4" s="358">
        <f t="shared" si="12"/>
        <v>65</v>
      </c>
      <c r="BL4" s="358">
        <f t="shared" si="12"/>
        <v>65</v>
      </c>
      <c r="BM4" s="358">
        <f t="shared" si="12"/>
        <v>65</v>
      </c>
      <c r="BN4" s="358">
        <f t="shared" si="12"/>
        <v>75</v>
      </c>
      <c r="BO4" s="358">
        <f t="shared" si="12"/>
        <v>75</v>
      </c>
      <c r="BP4" s="358">
        <f t="shared" si="12"/>
        <v>75</v>
      </c>
      <c r="BQ4" s="358">
        <f t="shared" si="12"/>
        <v>75</v>
      </c>
      <c r="BR4" s="358">
        <f t="shared" si="12"/>
        <v>75</v>
      </c>
      <c r="BS4" s="358">
        <f t="shared" si="12"/>
        <v>75</v>
      </c>
      <c r="BT4" s="358">
        <f t="shared" ref="BT4:CK8" si="13">+ROUNDDOWN(BT$3*$B4, 0)</f>
        <v>80</v>
      </c>
      <c r="BU4" s="358">
        <f t="shared" si="13"/>
        <v>80</v>
      </c>
      <c r="BV4" s="358">
        <f t="shared" si="13"/>
        <v>80</v>
      </c>
      <c r="BW4" s="358">
        <f t="shared" si="13"/>
        <v>80</v>
      </c>
      <c r="BX4" s="358">
        <f t="shared" si="13"/>
        <v>80</v>
      </c>
      <c r="BY4" s="358">
        <f t="shared" si="13"/>
        <v>80</v>
      </c>
      <c r="BZ4" s="358">
        <f t="shared" si="13"/>
        <v>85</v>
      </c>
      <c r="CA4" s="358">
        <f t="shared" si="13"/>
        <v>85</v>
      </c>
      <c r="CB4" s="358">
        <f t="shared" si="13"/>
        <v>85</v>
      </c>
      <c r="CC4" s="358">
        <f t="shared" si="13"/>
        <v>85</v>
      </c>
      <c r="CD4" s="358">
        <f t="shared" si="13"/>
        <v>85</v>
      </c>
      <c r="CE4" s="358">
        <f t="shared" si="13"/>
        <v>85</v>
      </c>
      <c r="CF4" s="358">
        <f t="shared" si="13"/>
        <v>90</v>
      </c>
      <c r="CG4" s="358">
        <f t="shared" si="13"/>
        <v>90</v>
      </c>
      <c r="CH4" s="358">
        <f t="shared" si="13"/>
        <v>90</v>
      </c>
      <c r="CI4" s="358">
        <f t="shared" si="13"/>
        <v>90</v>
      </c>
      <c r="CJ4" s="358">
        <f t="shared" si="13"/>
        <v>90</v>
      </c>
      <c r="CK4" s="358">
        <f t="shared" si="13"/>
        <v>90</v>
      </c>
    </row>
    <row r="5" spans="2:89" x14ac:dyDescent="0.3">
      <c r="B5" s="357">
        <v>0.75</v>
      </c>
      <c r="C5" t="s">
        <v>341</v>
      </c>
      <c r="F5" s="355">
        <v>1</v>
      </c>
      <c r="G5" s="355">
        <v>1</v>
      </c>
      <c r="H5" s="355">
        <f>+ROUNDDOWN(H$3*$B5, 0)</f>
        <v>6</v>
      </c>
      <c r="I5" s="355">
        <f t="shared" si="12"/>
        <v>6</v>
      </c>
      <c r="J5" s="355">
        <v>6</v>
      </c>
      <c r="K5" s="355">
        <f t="shared" si="12"/>
        <v>6</v>
      </c>
      <c r="L5" s="355">
        <f t="shared" si="12"/>
        <v>6</v>
      </c>
      <c r="M5" s="355">
        <f t="shared" si="12"/>
        <v>11</v>
      </c>
      <c r="N5" s="593">
        <f t="shared" si="12"/>
        <v>11</v>
      </c>
      <c r="O5" s="358">
        <f t="shared" si="12"/>
        <v>11</v>
      </c>
      <c r="P5" s="358">
        <f t="shared" si="12"/>
        <v>11</v>
      </c>
      <c r="Q5" s="358">
        <f t="shared" si="12"/>
        <v>11</v>
      </c>
      <c r="R5" s="358">
        <f t="shared" si="12"/>
        <v>22</v>
      </c>
      <c r="S5" s="358">
        <f t="shared" si="12"/>
        <v>22</v>
      </c>
      <c r="T5" s="358">
        <f t="shared" si="12"/>
        <v>22</v>
      </c>
      <c r="U5" s="358">
        <f t="shared" si="12"/>
        <v>22</v>
      </c>
      <c r="V5" s="358">
        <f t="shared" si="12"/>
        <v>22</v>
      </c>
      <c r="W5" s="358">
        <f t="shared" si="12"/>
        <v>22</v>
      </c>
      <c r="X5" s="358">
        <f t="shared" si="12"/>
        <v>26</v>
      </c>
      <c r="Y5" s="358">
        <f t="shared" si="12"/>
        <v>26</v>
      </c>
      <c r="Z5" s="358">
        <f t="shared" si="12"/>
        <v>26</v>
      </c>
      <c r="AA5" s="358">
        <f t="shared" si="12"/>
        <v>26</v>
      </c>
      <c r="AB5" s="358">
        <f t="shared" si="12"/>
        <v>26</v>
      </c>
      <c r="AC5" s="358">
        <f t="shared" si="12"/>
        <v>26</v>
      </c>
      <c r="AD5" s="358">
        <f t="shared" si="12"/>
        <v>26</v>
      </c>
      <c r="AE5" s="358">
        <f t="shared" si="12"/>
        <v>26</v>
      </c>
      <c r="AF5" s="358">
        <f t="shared" si="12"/>
        <v>26</v>
      </c>
      <c r="AG5" s="358">
        <f t="shared" si="12"/>
        <v>26</v>
      </c>
      <c r="AH5" s="358">
        <f t="shared" si="12"/>
        <v>26</v>
      </c>
      <c r="AI5" s="358">
        <f t="shared" si="12"/>
        <v>26</v>
      </c>
      <c r="AJ5" s="358">
        <f t="shared" si="12"/>
        <v>30</v>
      </c>
      <c r="AK5" s="358">
        <f t="shared" si="12"/>
        <v>30</v>
      </c>
      <c r="AL5" s="358">
        <f t="shared" si="12"/>
        <v>30</v>
      </c>
      <c r="AM5" s="358">
        <f t="shared" si="12"/>
        <v>30</v>
      </c>
      <c r="AN5" s="358">
        <f t="shared" si="12"/>
        <v>30</v>
      </c>
      <c r="AO5" s="358">
        <f t="shared" si="12"/>
        <v>30</v>
      </c>
      <c r="AP5" s="358">
        <f t="shared" si="12"/>
        <v>37</v>
      </c>
      <c r="AQ5" s="358">
        <f t="shared" si="12"/>
        <v>37</v>
      </c>
      <c r="AR5" s="358">
        <f t="shared" si="12"/>
        <v>37</v>
      </c>
      <c r="AS5" s="358">
        <f t="shared" si="12"/>
        <v>37</v>
      </c>
      <c r="AT5" s="358">
        <f t="shared" si="12"/>
        <v>37</v>
      </c>
      <c r="AU5" s="358">
        <f t="shared" si="12"/>
        <v>37</v>
      </c>
      <c r="AV5" s="358">
        <f t="shared" si="12"/>
        <v>41</v>
      </c>
      <c r="AW5" s="358">
        <f t="shared" si="12"/>
        <v>41</v>
      </c>
      <c r="AX5" s="358">
        <f t="shared" si="12"/>
        <v>41</v>
      </c>
      <c r="AY5" s="358">
        <f t="shared" si="12"/>
        <v>41</v>
      </c>
      <c r="AZ5" s="358">
        <f t="shared" si="12"/>
        <v>41</v>
      </c>
      <c r="BA5" s="358">
        <f t="shared" si="12"/>
        <v>41</v>
      </c>
      <c r="BB5" s="358">
        <f t="shared" si="12"/>
        <v>45</v>
      </c>
      <c r="BC5" s="358">
        <f t="shared" si="12"/>
        <v>45</v>
      </c>
      <c r="BD5" s="358">
        <f t="shared" si="12"/>
        <v>45</v>
      </c>
      <c r="BE5" s="358">
        <f t="shared" si="12"/>
        <v>45</v>
      </c>
      <c r="BF5" s="358">
        <f t="shared" si="12"/>
        <v>45</v>
      </c>
      <c r="BG5" s="358">
        <f t="shared" si="12"/>
        <v>45</v>
      </c>
      <c r="BH5" s="358">
        <f t="shared" si="12"/>
        <v>48</v>
      </c>
      <c r="BI5" s="358">
        <f t="shared" si="12"/>
        <v>48</v>
      </c>
      <c r="BJ5" s="358">
        <f t="shared" si="12"/>
        <v>48</v>
      </c>
      <c r="BK5" s="358">
        <f t="shared" si="12"/>
        <v>48</v>
      </c>
      <c r="BL5" s="358">
        <f t="shared" si="12"/>
        <v>48</v>
      </c>
      <c r="BM5" s="358">
        <f t="shared" si="12"/>
        <v>48</v>
      </c>
      <c r="BN5" s="358">
        <f t="shared" si="12"/>
        <v>56</v>
      </c>
      <c r="BO5" s="358">
        <f t="shared" si="12"/>
        <v>56</v>
      </c>
      <c r="BP5" s="358">
        <f t="shared" si="12"/>
        <v>56</v>
      </c>
      <c r="BQ5" s="358">
        <f t="shared" si="12"/>
        <v>56</v>
      </c>
      <c r="BR5" s="358">
        <f t="shared" si="12"/>
        <v>56</v>
      </c>
      <c r="BS5" s="358">
        <f t="shared" si="12"/>
        <v>56</v>
      </c>
      <c r="BT5" s="358">
        <f t="shared" si="13"/>
        <v>60</v>
      </c>
      <c r="BU5" s="358">
        <f t="shared" si="13"/>
        <v>60</v>
      </c>
      <c r="BV5" s="358">
        <f t="shared" si="13"/>
        <v>60</v>
      </c>
      <c r="BW5" s="358">
        <f t="shared" si="13"/>
        <v>60</v>
      </c>
      <c r="BX5" s="358">
        <f t="shared" si="13"/>
        <v>60</v>
      </c>
      <c r="BY5" s="358">
        <f t="shared" si="13"/>
        <v>60</v>
      </c>
      <c r="BZ5" s="358">
        <f t="shared" si="13"/>
        <v>63</v>
      </c>
      <c r="CA5" s="358">
        <f t="shared" si="13"/>
        <v>63</v>
      </c>
      <c r="CB5" s="358">
        <f t="shared" si="13"/>
        <v>63</v>
      </c>
      <c r="CC5" s="358">
        <f t="shared" si="13"/>
        <v>63</v>
      </c>
      <c r="CD5" s="358">
        <f t="shared" si="13"/>
        <v>63</v>
      </c>
      <c r="CE5" s="358">
        <f t="shared" si="13"/>
        <v>63</v>
      </c>
      <c r="CF5" s="358">
        <f t="shared" si="13"/>
        <v>67</v>
      </c>
      <c r="CG5" s="358">
        <f t="shared" si="13"/>
        <v>67</v>
      </c>
      <c r="CH5" s="358">
        <f t="shared" si="13"/>
        <v>67</v>
      </c>
      <c r="CI5" s="358">
        <f t="shared" si="13"/>
        <v>67</v>
      </c>
      <c r="CJ5" s="358">
        <f t="shared" si="13"/>
        <v>67</v>
      </c>
      <c r="CK5" s="358">
        <f t="shared" si="13"/>
        <v>67</v>
      </c>
    </row>
    <row r="6" spans="2:89" x14ac:dyDescent="0.3">
      <c r="B6" s="357">
        <v>0.5</v>
      </c>
      <c r="C6" t="s">
        <v>342</v>
      </c>
      <c r="F6" s="355">
        <v>1</v>
      </c>
      <c r="G6" s="355">
        <v>1</v>
      </c>
      <c r="H6" s="355">
        <f t="shared" ref="H6:H7" si="14">+ROUNDDOWN(H$3*$B6, 0)</f>
        <v>4</v>
      </c>
      <c r="I6" s="355">
        <f t="shared" si="12"/>
        <v>4</v>
      </c>
      <c r="J6" s="355">
        <v>4</v>
      </c>
      <c r="K6" s="355">
        <f t="shared" si="12"/>
        <v>4</v>
      </c>
      <c r="L6" s="355">
        <f t="shared" si="12"/>
        <v>4</v>
      </c>
      <c r="M6" s="355">
        <f t="shared" si="12"/>
        <v>7</v>
      </c>
      <c r="N6" s="593">
        <f t="shared" si="12"/>
        <v>7</v>
      </c>
      <c r="O6" s="358">
        <f t="shared" si="12"/>
        <v>7</v>
      </c>
      <c r="P6" s="358">
        <f t="shared" si="12"/>
        <v>7</v>
      </c>
      <c r="Q6" s="358">
        <f t="shared" si="12"/>
        <v>7</v>
      </c>
      <c r="R6" s="358">
        <f t="shared" si="12"/>
        <v>15</v>
      </c>
      <c r="S6" s="358">
        <f t="shared" si="12"/>
        <v>15</v>
      </c>
      <c r="T6" s="358">
        <f t="shared" si="12"/>
        <v>15</v>
      </c>
      <c r="U6" s="358">
        <f t="shared" si="12"/>
        <v>15</v>
      </c>
      <c r="V6" s="358">
        <f t="shared" si="12"/>
        <v>15</v>
      </c>
      <c r="W6" s="358">
        <f t="shared" si="12"/>
        <v>15</v>
      </c>
      <c r="X6" s="358">
        <f t="shared" si="12"/>
        <v>17</v>
      </c>
      <c r="Y6" s="358">
        <f t="shared" si="12"/>
        <v>17</v>
      </c>
      <c r="Z6" s="358">
        <f t="shared" si="12"/>
        <v>17</v>
      </c>
      <c r="AA6" s="358">
        <f t="shared" si="12"/>
        <v>17</v>
      </c>
      <c r="AB6" s="358">
        <f t="shared" si="12"/>
        <v>17</v>
      </c>
      <c r="AC6" s="358">
        <f t="shared" si="12"/>
        <v>17</v>
      </c>
      <c r="AD6" s="358">
        <f t="shared" si="12"/>
        <v>17</v>
      </c>
      <c r="AE6" s="358">
        <f t="shared" si="12"/>
        <v>17</v>
      </c>
      <c r="AF6" s="358">
        <f t="shared" si="12"/>
        <v>17</v>
      </c>
      <c r="AG6" s="358">
        <f t="shared" si="12"/>
        <v>17</v>
      </c>
      <c r="AH6" s="358">
        <f t="shared" si="12"/>
        <v>17</v>
      </c>
      <c r="AI6" s="358">
        <f t="shared" si="12"/>
        <v>17</v>
      </c>
      <c r="AJ6" s="358">
        <f t="shared" si="12"/>
        <v>20</v>
      </c>
      <c r="AK6" s="358">
        <f t="shared" si="12"/>
        <v>20</v>
      </c>
      <c r="AL6" s="358">
        <f t="shared" si="12"/>
        <v>20</v>
      </c>
      <c r="AM6" s="358">
        <f t="shared" si="12"/>
        <v>20</v>
      </c>
      <c r="AN6" s="358">
        <f t="shared" si="12"/>
        <v>20</v>
      </c>
      <c r="AO6" s="358">
        <f t="shared" si="12"/>
        <v>20</v>
      </c>
      <c r="AP6" s="358">
        <f t="shared" si="12"/>
        <v>25</v>
      </c>
      <c r="AQ6" s="358">
        <f t="shared" si="12"/>
        <v>25</v>
      </c>
      <c r="AR6" s="358">
        <f t="shared" si="12"/>
        <v>25</v>
      </c>
      <c r="AS6" s="358">
        <f t="shared" si="12"/>
        <v>25</v>
      </c>
      <c r="AT6" s="358">
        <f t="shared" si="12"/>
        <v>25</v>
      </c>
      <c r="AU6" s="358">
        <f t="shared" si="12"/>
        <v>25</v>
      </c>
      <c r="AV6" s="358">
        <f t="shared" si="12"/>
        <v>27</v>
      </c>
      <c r="AW6" s="358">
        <f t="shared" si="12"/>
        <v>27</v>
      </c>
      <c r="AX6" s="358">
        <f t="shared" si="12"/>
        <v>27</v>
      </c>
      <c r="AY6" s="358">
        <f t="shared" si="12"/>
        <v>27</v>
      </c>
      <c r="AZ6" s="358">
        <f t="shared" si="12"/>
        <v>27</v>
      </c>
      <c r="BA6" s="358">
        <f t="shared" si="12"/>
        <v>27</v>
      </c>
      <c r="BB6" s="358">
        <f t="shared" si="12"/>
        <v>30</v>
      </c>
      <c r="BC6" s="358">
        <f t="shared" si="12"/>
        <v>30</v>
      </c>
      <c r="BD6" s="358">
        <f t="shared" si="12"/>
        <v>30</v>
      </c>
      <c r="BE6" s="358">
        <f t="shared" si="12"/>
        <v>30</v>
      </c>
      <c r="BF6" s="358">
        <f t="shared" si="12"/>
        <v>30</v>
      </c>
      <c r="BG6" s="358">
        <f t="shared" si="12"/>
        <v>30</v>
      </c>
      <c r="BH6" s="358">
        <f t="shared" si="12"/>
        <v>32</v>
      </c>
      <c r="BI6" s="358">
        <f t="shared" si="12"/>
        <v>32</v>
      </c>
      <c r="BJ6" s="358">
        <f t="shared" si="12"/>
        <v>32</v>
      </c>
      <c r="BK6" s="358">
        <f t="shared" si="12"/>
        <v>32</v>
      </c>
      <c r="BL6" s="358">
        <f t="shared" si="12"/>
        <v>32</v>
      </c>
      <c r="BM6" s="358">
        <f t="shared" si="12"/>
        <v>32</v>
      </c>
      <c r="BN6" s="358">
        <f t="shared" si="12"/>
        <v>37</v>
      </c>
      <c r="BO6" s="358">
        <f t="shared" si="12"/>
        <v>37</v>
      </c>
      <c r="BP6" s="358">
        <f t="shared" si="12"/>
        <v>37</v>
      </c>
      <c r="BQ6" s="358">
        <f t="shared" si="12"/>
        <v>37</v>
      </c>
      <c r="BR6" s="358">
        <f t="shared" si="12"/>
        <v>37</v>
      </c>
      <c r="BS6" s="358">
        <f t="shared" si="12"/>
        <v>37</v>
      </c>
      <c r="BT6" s="358">
        <f t="shared" si="13"/>
        <v>40</v>
      </c>
      <c r="BU6" s="358">
        <f t="shared" si="13"/>
        <v>40</v>
      </c>
      <c r="BV6" s="358">
        <f t="shared" si="13"/>
        <v>40</v>
      </c>
      <c r="BW6" s="358">
        <f t="shared" si="13"/>
        <v>40</v>
      </c>
      <c r="BX6" s="358">
        <f t="shared" si="13"/>
        <v>40</v>
      </c>
      <c r="BY6" s="358">
        <f t="shared" si="13"/>
        <v>40</v>
      </c>
      <c r="BZ6" s="358">
        <f t="shared" si="13"/>
        <v>42</v>
      </c>
      <c r="CA6" s="358">
        <f t="shared" si="13"/>
        <v>42</v>
      </c>
      <c r="CB6" s="358">
        <f t="shared" si="13"/>
        <v>42</v>
      </c>
      <c r="CC6" s="358">
        <f t="shared" si="13"/>
        <v>42</v>
      </c>
      <c r="CD6" s="358">
        <f t="shared" si="13"/>
        <v>42</v>
      </c>
      <c r="CE6" s="358">
        <f t="shared" si="13"/>
        <v>42</v>
      </c>
      <c r="CF6" s="358">
        <f t="shared" si="13"/>
        <v>45</v>
      </c>
      <c r="CG6" s="358">
        <f t="shared" si="13"/>
        <v>45</v>
      </c>
      <c r="CH6" s="358">
        <f t="shared" si="13"/>
        <v>45</v>
      </c>
      <c r="CI6" s="358">
        <f t="shared" si="13"/>
        <v>45</v>
      </c>
      <c r="CJ6" s="358">
        <f t="shared" si="13"/>
        <v>45</v>
      </c>
      <c r="CK6" s="358">
        <f t="shared" si="13"/>
        <v>45</v>
      </c>
    </row>
    <row r="7" spans="2:89" x14ac:dyDescent="0.3">
      <c r="B7" s="357">
        <v>0.33</v>
      </c>
      <c r="C7" t="s">
        <v>343</v>
      </c>
      <c r="F7" s="355">
        <v>1</v>
      </c>
      <c r="G7" s="355">
        <v>1</v>
      </c>
      <c r="H7" s="355">
        <f t="shared" si="14"/>
        <v>2</v>
      </c>
      <c r="I7" s="355">
        <f t="shared" si="12"/>
        <v>2</v>
      </c>
      <c r="J7" s="355">
        <v>2</v>
      </c>
      <c r="K7" s="355">
        <f t="shared" si="12"/>
        <v>2</v>
      </c>
      <c r="L7" s="355">
        <f t="shared" si="12"/>
        <v>2</v>
      </c>
      <c r="M7" s="355">
        <f t="shared" si="12"/>
        <v>4</v>
      </c>
      <c r="N7" s="593">
        <f t="shared" si="12"/>
        <v>4</v>
      </c>
      <c r="O7" s="358">
        <f t="shared" si="12"/>
        <v>4</v>
      </c>
      <c r="P7" s="358">
        <f t="shared" si="12"/>
        <v>4</v>
      </c>
      <c r="Q7" s="358">
        <f t="shared" si="12"/>
        <v>4</v>
      </c>
      <c r="R7" s="358">
        <f t="shared" si="12"/>
        <v>9</v>
      </c>
      <c r="S7" s="358">
        <f t="shared" si="12"/>
        <v>9</v>
      </c>
      <c r="T7" s="358">
        <f t="shared" si="12"/>
        <v>9</v>
      </c>
      <c r="U7" s="358">
        <f t="shared" si="12"/>
        <v>9</v>
      </c>
      <c r="V7" s="358">
        <f t="shared" si="12"/>
        <v>9</v>
      </c>
      <c r="W7" s="358">
        <f t="shared" si="12"/>
        <v>9</v>
      </c>
      <c r="X7" s="358">
        <f t="shared" si="12"/>
        <v>11</v>
      </c>
      <c r="Y7" s="358">
        <f t="shared" si="12"/>
        <v>11</v>
      </c>
      <c r="Z7" s="358">
        <f t="shared" si="12"/>
        <v>11</v>
      </c>
      <c r="AA7" s="358">
        <f t="shared" si="12"/>
        <v>11</v>
      </c>
      <c r="AB7" s="358">
        <f t="shared" si="12"/>
        <v>11</v>
      </c>
      <c r="AC7" s="358">
        <f t="shared" si="12"/>
        <v>11</v>
      </c>
      <c r="AD7" s="358">
        <f t="shared" si="12"/>
        <v>11</v>
      </c>
      <c r="AE7" s="358">
        <f t="shared" si="12"/>
        <v>11</v>
      </c>
      <c r="AF7" s="358">
        <f t="shared" si="12"/>
        <v>11</v>
      </c>
      <c r="AG7" s="358">
        <f t="shared" si="12"/>
        <v>11</v>
      </c>
      <c r="AH7" s="358">
        <f t="shared" si="12"/>
        <v>11</v>
      </c>
      <c r="AI7" s="358">
        <f t="shared" si="12"/>
        <v>11</v>
      </c>
      <c r="AJ7" s="358">
        <f t="shared" si="12"/>
        <v>13</v>
      </c>
      <c r="AK7" s="358">
        <f t="shared" si="12"/>
        <v>13</v>
      </c>
      <c r="AL7" s="358">
        <f t="shared" si="12"/>
        <v>13</v>
      </c>
      <c r="AM7" s="358">
        <f t="shared" si="12"/>
        <v>13</v>
      </c>
      <c r="AN7" s="358">
        <f t="shared" si="12"/>
        <v>13</v>
      </c>
      <c r="AO7" s="358">
        <f t="shared" si="12"/>
        <v>13</v>
      </c>
      <c r="AP7" s="358">
        <f t="shared" si="12"/>
        <v>16</v>
      </c>
      <c r="AQ7" s="358">
        <f t="shared" si="12"/>
        <v>16</v>
      </c>
      <c r="AR7" s="358">
        <f t="shared" si="12"/>
        <v>16</v>
      </c>
      <c r="AS7" s="358">
        <f t="shared" si="12"/>
        <v>16</v>
      </c>
      <c r="AT7" s="358">
        <f t="shared" si="12"/>
        <v>16</v>
      </c>
      <c r="AU7" s="358">
        <f t="shared" si="12"/>
        <v>16</v>
      </c>
      <c r="AV7" s="358">
        <f t="shared" si="12"/>
        <v>18</v>
      </c>
      <c r="AW7" s="358">
        <f t="shared" si="12"/>
        <v>18</v>
      </c>
      <c r="AX7" s="358">
        <f t="shared" si="12"/>
        <v>18</v>
      </c>
      <c r="AY7" s="358">
        <f t="shared" si="12"/>
        <v>18</v>
      </c>
      <c r="AZ7" s="358">
        <f t="shared" si="12"/>
        <v>18</v>
      </c>
      <c r="BA7" s="358">
        <f t="shared" si="12"/>
        <v>18</v>
      </c>
      <c r="BB7" s="358">
        <f t="shared" si="12"/>
        <v>19</v>
      </c>
      <c r="BC7" s="358">
        <f t="shared" si="12"/>
        <v>19</v>
      </c>
      <c r="BD7" s="358">
        <f t="shared" si="12"/>
        <v>19</v>
      </c>
      <c r="BE7" s="358">
        <f t="shared" si="12"/>
        <v>19</v>
      </c>
      <c r="BF7" s="358">
        <f t="shared" si="12"/>
        <v>19</v>
      </c>
      <c r="BG7" s="358">
        <f t="shared" si="12"/>
        <v>19</v>
      </c>
      <c r="BH7" s="358">
        <f t="shared" si="12"/>
        <v>21</v>
      </c>
      <c r="BI7" s="358">
        <f t="shared" si="12"/>
        <v>21</v>
      </c>
      <c r="BJ7" s="358">
        <f t="shared" si="12"/>
        <v>21</v>
      </c>
      <c r="BK7" s="358">
        <f t="shared" si="12"/>
        <v>21</v>
      </c>
      <c r="BL7" s="358">
        <f t="shared" si="12"/>
        <v>21</v>
      </c>
      <c r="BM7" s="358">
        <f t="shared" si="12"/>
        <v>21</v>
      </c>
      <c r="BN7" s="358">
        <f t="shared" si="12"/>
        <v>24</v>
      </c>
      <c r="BO7" s="358">
        <f t="shared" si="12"/>
        <v>24</v>
      </c>
      <c r="BP7" s="358">
        <f t="shared" si="12"/>
        <v>24</v>
      </c>
      <c r="BQ7" s="358">
        <f t="shared" si="12"/>
        <v>24</v>
      </c>
      <c r="BR7" s="358">
        <f t="shared" si="12"/>
        <v>24</v>
      </c>
      <c r="BS7" s="358">
        <f t="shared" si="12"/>
        <v>24</v>
      </c>
      <c r="BT7" s="358">
        <f t="shared" si="13"/>
        <v>26</v>
      </c>
      <c r="BU7" s="358">
        <f t="shared" si="13"/>
        <v>26</v>
      </c>
      <c r="BV7" s="358">
        <f t="shared" si="13"/>
        <v>26</v>
      </c>
      <c r="BW7" s="358">
        <f t="shared" si="13"/>
        <v>26</v>
      </c>
      <c r="BX7" s="358">
        <f t="shared" si="13"/>
        <v>26</v>
      </c>
      <c r="BY7" s="358">
        <f t="shared" si="13"/>
        <v>26</v>
      </c>
      <c r="BZ7" s="358">
        <f t="shared" si="13"/>
        <v>28</v>
      </c>
      <c r="CA7" s="358">
        <f t="shared" si="13"/>
        <v>28</v>
      </c>
      <c r="CB7" s="358">
        <f t="shared" si="13"/>
        <v>28</v>
      </c>
      <c r="CC7" s="358">
        <f t="shared" si="13"/>
        <v>28</v>
      </c>
      <c r="CD7" s="358">
        <f t="shared" si="13"/>
        <v>28</v>
      </c>
      <c r="CE7" s="358">
        <f t="shared" si="13"/>
        <v>28</v>
      </c>
      <c r="CF7" s="358">
        <f t="shared" si="13"/>
        <v>29</v>
      </c>
      <c r="CG7" s="358">
        <f t="shared" si="13"/>
        <v>29</v>
      </c>
      <c r="CH7" s="358">
        <f t="shared" si="13"/>
        <v>29</v>
      </c>
      <c r="CI7" s="358">
        <f t="shared" si="13"/>
        <v>29</v>
      </c>
      <c r="CJ7" s="358">
        <f t="shared" si="13"/>
        <v>29</v>
      </c>
      <c r="CK7" s="358">
        <f t="shared" si="13"/>
        <v>29</v>
      </c>
    </row>
    <row r="8" spans="2:89" x14ac:dyDescent="0.3">
      <c r="B8" s="357">
        <v>0.1</v>
      </c>
      <c r="C8" t="s">
        <v>344</v>
      </c>
      <c r="F8" s="355">
        <v>0</v>
      </c>
      <c r="G8" s="355">
        <v>0</v>
      </c>
      <c r="H8" s="355">
        <v>1</v>
      </c>
      <c r="I8" s="355">
        <v>0</v>
      </c>
      <c r="J8" s="355">
        <v>2</v>
      </c>
      <c r="K8" s="355">
        <v>0</v>
      </c>
      <c r="L8" s="355">
        <v>1</v>
      </c>
      <c r="M8" s="355">
        <v>4</v>
      </c>
      <c r="N8" s="593">
        <v>2</v>
      </c>
      <c r="O8" s="355">
        <v>1</v>
      </c>
      <c r="P8" s="358">
        <f t="shared" ref="P8:BS8" si="15">+ROUNDDOWN(P$3*$B8, 0)</f>
        <v>1</v>
      </c>
      <c r="Q8" s="358">
        <f t="shared" si="15"/>
        <v>1</v>
      </c>
      <c r="R8" s="358">
        <f t="shared" si="15"/>
        <v>3</v>
      </c>
      <c r="S8" s="358">
        <f t="shared" si="15"/>
        <v>3</v>
      </c>
      <c r="T8" s="358">
        <f t="shared" si="15"/>
        <v>3</v>
      </c>
      <c r="U8" s="358">
        <f t="shared" si="15"/>
        <v>3</v>
      </c>
      <c r="V8" s="358">
        <f t="shared" si="15"/>
        <v>3</v>
      </c>
      <c r="W8" s="358">
        <f t="shared" si="15"/>
        <v>3</v>
      </c>
      <c r="X8" s="358">
        <f t="shared" si="15"/>
        <v>3</v>
      </c>
      <c r="Y8" s="358">
        <f t="shared" si="15"/>
        <v>3</v>
      </c>
      <c r="Z8" s="358">
        <f t="shared" si="15"/>
        <v>3</v>
      </c>
      <c r="AA8" s="358">
        <f t="shared" si="15"/>
        <v>3</v>
      </c>
      <c r="AB8" s="358">
        <f t="shared" si="15"/>
        <v>3</v>
      </c>
      <c r="AC8" s="358">
        <f t="shared" si="15"/>
        <v>3</v>
      </c>
      <c r="AD8" s="358">
        <f t="shared" si="15"/>
        <v>3</v>
      </c>
      <c r="AE8" s="358">
        <f t="shared" si="15"/>
        <v>3</v>
      </c>
      <c r="AF8" s="358">
        <f t="shared" si="15"/>
        <v>3</v>
      </c>
      <c r="AG8" s="358">
        <f t="shared" si="15"/>
        <v>3</v>
      </c>
      <c r="AH8" s="358">
        <f t="shared" si="15"/>
        <v>3</v>
      </c>
      <c r="AI8" s="358">
        <f t="shared" si="15"/>
        <v>3</v>
      </c>
      <c r="AJ8" s="358">
        <f t="shared" si="15"/>
        <v>4</v>
      </c>
      <c r="AK8" s="358">
        <f t="shared" si="15"/>
        <v>4</v>
      </c>
      <c r="AL8" s="358">
        <f t="shared" si="15"/>
        <v>4</v>
      </c>
      <c r="AM8" s="358">
        <f t="shared" si="15"/>
        <v>4</v>
      </c>
      <c r="AN8" s="358">
        <f t="shared" si="15"/>
        <v>4</v>
      </c>
      <c r="AO8" s="358">
        <f t="shared" si="15"/>
        <v>4</v>
      </c>
      <c r="AP8" s="358">
        <f t="shared" si="15"/>
        <v>5</v>
      </c>
      <c r="AQ8" s="358">
        <f t="shared" si="15"/>
        <v>5</v>
      </c>
      <c r="AR8" s="358">
        <f t="shared" si="15"/>
        <v>5</v>
      </c>
      <c r="AS8" s="358">
        <f t="shared" si="15"/>
        <v>5</v>
      </c>
      <c r="AT8" s="358">
        <f t="shared" si="15"/>
        <v>5</v>
      </c>
      <c r="AU8" s="358">
        <f t="shared" si="15"/>
        <v>5</v>
      </c>
      <c r="AV8" s="358">
        <f t="shared" si="15"/>
        <v>5</v>
      </c>
      <c r="AW8" s="358">
        <f t="shared" si="15"/>
        <v>5</v>
      </c>
      <c r="AX8" s="358">
        <f t="shared" si="15"/>
        <v>5</v>
      </c>
      <c r="AY8" s="358">
        <f t="shared" si="15"/>
        <v>5</v>
      </c>
      <c r="AZ8" s="358">
        <f t="shared" si="15"/>
        <v>5</v>
      </c>
      <c r="BA8" s="358">
        <f t="shared" si="15"/>
        <v>5</v>
      </c>
      <c r="BB8" s="358">
        <f t="shared" si="15"/>
        <v>6</v>
      </c>
      <c r="BC8" s="358">
        <f t="shared" si="15"/>
        <v>6</v>
      </c>
      <c r="BD8" s="358">
        <f t="shared" si="15"/>
        <v>6</v>
      </c>
      <c r="BE8" s="358">
        <f t="shared" si="15"/>
        <v>6</v>
      </c>
      <c r="BF8" s="358">
        <f t="shared" si="15"/>
        <v>6</v>
      </c>
      <c r="BG8" s="358">
        <f t="shared" si="15"/>
        <v>6</v>
      </c>
      <c r="BH8" s="358">
        <f t="shared" si="15"/>
        <v>6</v>
      </c>
      <c r="BI8" s="358">
        <f t="shared" si="15"/>
        <v>6</v>
      </c>
      <c r="BJ8" s="358">
        <f t="shared" si="15"/>
        <v>6</v>
      </c>
      <c r="BK8" s="358">
        <f t="shared" si="15"/>
        <v>6</v>
      </c>
      <c r="BL8" s="358">
        <f t="shared" si="15"/>
        <v>6</v>
      </c>
      <c r="BM8" s="358">
        <f t="shared" si="15"/>
        <v>6</v>
      </c>
      <c r="BN8" s="358">
        <f t="shared" si="15"/>
        <v>7</v>
      </c>
      <c r="BO8" s="358">
        <f t="shared" si="15"/>
        <v>7</v>
      </c>
      <c r="BP8" s="358">
        <f t="shared" si="15"/>
        <v>7</v>
      </c>
      <c r="BQ8" s="358">
        <f t="shared" si="15"/>
        <v>7</v>
      </c>
      <c r="BR8" s="358">
        <f t="shared" si="15"/>
        <v>7</v>
      </c>
      <c r="BS8" s="358">
        <f t="shared" si="15"/>
        <v>7</v>
      </c>
      <c r="BT8" s="358">
        <f t="shared" si="13"/>
        <v>8</v>
      </c>
      <c r="BU8" s="358">
        <f t="shared" si="13"/>
        <v>8</v>
      </c>
      <c r="BV8" s="358">
        <f t="shared" si="13"/>
        <v>8</v>
      </c>
      <c r="BW8" s="358">
        <f t="shared" si="13"/>
        <v>8</v>
      </c>
      <c r="BX8" s="358">
        <f t="shared" si="13"/>
        <v>8</v>
      </c>
      <c r="BY8" s="358">
        <f t="shared" si="13"/>
        <v>8</v>
      </c>
      <c r="BZ8" s="358">
        <f t="shared" si="13"/>
        <v>8</v>
      </c>
      <c r="CA8" s="358">
        <f t="shared" si="13"/>
        <v>8</v>
      </c>
      <c r="CB8" s="358">
        <f t="shared" si="13"/>
        <v>8</v>
      </c>
      <c r="CC8" s="358">
        <f t="shared" si="13"/>
        <v>8</v>
      </c>
      <c r="CD8" s="358">
        <f t="shared" si="13"/>
        <v>8</v>
      </c>
      <c r="CE8" s="358">
        <f t="shared" si="13"/>
        <v>8</v>
      </c>
      <c r="CF8" s="358">
        <f t="shared" si="13"/>
        <v>9</v>
      </c>
      <c r="CG8" s="358">
        <f t="shared" si="13"/>
        <v>9</v>
      </c>
      <c r="CH8" s="358">
        <f t="shared" si="13"/>
        <v>9</v>
      </c>
      <c r="CI8" s="358">
        <f t="shared" si="13"/>
        <v>9</v>
      </c>
      <c r="CJ8" s="358">
        <f t="shared" si="13"/>
        <v>9</v>
      </c>
      <c r="CK8" s="358">
        <f t="shared" si="13"/>
        <v>9</v>
      </c>
    </row>
    <row r="9" spans="2:89" x14ac:dyDescent="0.3">
      <c r="F9" s="359"/>
      <c r="G9" s="359"/>
      <c r="H9" s="359"/>
      <c r="I9" s="359"/>
      <c r="J9" s="359"/>
      <c r="K9" s="359"/>
      <c r="L9" s="359"/>
      <c r="M9" s="359"/>
      <c r="N9" s="594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  <c r="AI9" s="359"/>
      <c r="AJ9" s="359"/>
      <c r="AK9" s="359"/>
      <c r="AL9" s="359"/>
      <c r="AM9" s="359"/>
      <c r="AN9" s="359"/>
      <c r="AO9" s="359"/>
      <c r="AP9" s="359"/>
      <c r="AQ9" s="359"/>
      <c r="AR9" s="359"/>
      <c r="AS9" s="359"/>
      <c r="AT9" s="359"/>
      <c r="AU9" s="359"/>
      <c r="AV9" s="359"/>
      <c r="AW9" s="359"/>
      <c r="AX9" s="359"/>
      <c r="AY9" s="359"/>
      <c r="AZ9" s="359"/>
      <c r="BA9" s="359"/>
      <c r="BB9" s="359"/>
      <c r="BC9" s="359"/>
      <c r="BD9" s="359"/>
      <c r="BE9" s="359"/>
      <c r="BF9" s="359"/>
      <c r="BG9" s="359"/>
      <c r="BH9" s="359"/>
      <c r="BI9" s="359"/>
      <c r="BJ9" s="359"/>
      <c r="BK9" s="359"/>
      <c r="BL9" s="359"/>
      <c r="BM9" s="359"/>
      <c r="BN9" s="359"/>
      <c r="BO9" s="359"/>
      <c r="BP9" s="359"/>
      <c r="BQ9" s="359"/>
      <c r="BR9" s="359"/>
      <c r="BS9" s="359"/>
      <c r="BT9" s="359"/>
      <c r="BU9" s="359"/>
      <c r="BV9" s="359"/>
      <c r="BW9" s="359"/>
      <c r="BX9" s="359"/>
      <c r="BY9" s="359"/>
      <c r="BZ9" s="359"/>
      <c r="CA9" s="359"/>
      <c r="CB9" s="359"/>
      <c r="CC9" s="359"/>
      <c r="CD9" s="359"/>
      <c r="CE9" s="359"/>
      <c r="CF9" s="359"/>
      <c r="CG9" s="359"/>
      <c r="CH9" s="359"/>
      <c r="CI9" s="359"/>
      <c r="CJ9" s="359"/>
      <c r="CK9" s="359"/>
    </row>
    <row r="10" spans="2:89" x14ac:dyDescent="0.3">
      <c r="F10" s="359"/>
      <c r="G10" s="359"/>
      <c r="H10" s="359"/>
      <c r="I10" s="359"/>
      <c r="J10" s="359"/>
      <c r="K10" s="359"/>
      <c r="L10" s="359"/>
      <c r="M10" s="359"/>
      <c r="N10" s="594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  <c r="AA10" s="359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59"/>
      <c r="BK10" s="359"/>
      <c r="BL10" s="359"/>
      <c r="BM10" s="359"/>
      <c r="BN10" s="359"/>
      <c r="BO10" s="359"/>
      <c r="BP10" s="359"/>
      <c r="BQ10" s="359"/>
      <c r="BR10" s="359"/>
      <c r="BS10" s="359"/>
      <c r="BT10" s="359"/>
      <c r="BU10" s="359"/>
      <c r="BV10" s="359"/>
      <c r="BW10" s="359"/>
      <c r="BX10" s="359"/>
      <c r="BY10" s="359"/>
      <c r="BZ10" s="359"/>
      <c r="CA10" s="359"/>
      <c r="CB10" s="359"/>
      <c r="CC10" s="359"/>
      <c r="CD10" s="359"/>
      <c r="CE10" s="359"/>
      <c r="CF10" s="359"/>
      <c r="CG10" s="359"/>
      <c r="CH10" s="359"/>
      <c r="CI10" s="359"/>
      <c r="CJ10" s="359"/>
      <c r="CK10" s="359"/>
    </row>
    <row r="11" spans="2:89" x14ac:dyDescent="0.3">
      <c r="C11" t="s">
        <v>340</v>
      </c>
      <c r="F11" s="360">
        <f>+F4/F$3</f>
        <v>1.25</v>
      </c>
      <c r="G11" s="360">
        <f t="shared" ref="G11:BR15" si="16">+G4/G$3</f>
        <v>1.25</v>
      </c>
      <c r="H11" s="360">
        <f t="shared" si="16"/>
        <v>1</v>
      </c>
      <c r="I11" s="360">
        <f t="shared" si="16"/>
        <v>1</v>
      </c>
      <c r="J11" s="360">
        <f t="shared" si="16"/>
        <v>0.875</v>
      </c>
      <c r="K11" s="360">
        <f t="shared" si="16"/>
        <v>1</v>
      </c>
      <c r="L11" s="360">
        <f t="shared" ref="L11:L15" si="17">+L4/L$3</f>
        <v>1</v>
      </c>
      <c r="M11" s="360">
        <f t="shared" si="16"/>
        <v>1</v>
      </c>
      <c r="N11" s="595">
        <f t="shared" ref="N11" si="18">+N4/N$3</f>
        <v>1</v>
      </c>
      <c r="O11" s="360">
        <f t="shared" si="16"/>
        <v>1</v>
      </c>
      <c r="P11" s="360">
        <f t="shared" si="16"/>
        <v>1</v>
      </c>
      <c r="Q11" s="360">
        <f t="shared" si="16"/>
        <v>1</v>
      </c>
      <c r="R11" s="360">
        <f t="shared" si="16"/>
        <v>1</v>
      </c>
      <c r="S11" s="360">
        <f t="shared" si="16"/>
        <v>1</v>
      </c>
      <c r="T11" s="360">
        <f t="shared" si="16"/>
        <v>1</v>
      </c>
      <c r="U11" s="360">
        <f t="shared" si="16"/>
        <v>1</v>
      </c>
      <c r="V11" s="360">
        <f t="shared" si="16"/>
        <v>1</v>
      </c>
      <c r="W11" s="360">
        <f t="shared" si="16"/>
        <v>1</v>
      </c>
      <c r="X11" s="360">
        <f t="shared" si="16"/>
        <v>1</v>
      </c>
      <c r="Y11" s="360">
        <f t="shared" si="16"/>
        <v>1</v>
      </c>
      <c r="Z11" s="360">
        <f t="shared" si="16"/>
        <v>1</v>
      </c>
      <c r="AA11" s="360">
        <f t="shared" si="16"/>
        <v>1</v>
      </c>
      <c r="AB11" s="360">
        <f t="shared" si="16"/>
        <v>1</v>
      </c>
      <c r="AC11" s="360">
        <f t="shared" si="16"/>
        <v>1</v>
      </c>
      <c r="AD11" s="360">
        <f t="shared" si="16"/>
        <v>1</v>
      </c>
      <c r="AE11" s="360">
        <f t="shared" si="16"/>
        <v>1</v>
      </c>
      <c r="AF11" s="360">
        <f t="shared" si="16"/>
        <v>1</v>
      </c>
      <c r="AG11" s="360">
        <f t="shared" si="16"/>
        <v>1</v>
      </c>
      <c r="AH11" s="360">
        <f t="shared" si="16"/>
        <v>1</v>
      </c>
      <c r="AI11" s="360">
        <f t="shared" si="16"/>
        <v>1</v>
      </c>
      <c r="AJ11" s="360">
        <f t="shared" si="16"/>
        <v>1</v>
      </c>
      <c r="AK11" s="360">
        <f t="shared" si="16"/>
        <v>1</v>
      </c>
      <c r="AL11" s="360">
        <f t="shared" si="16"/>
        <v>1</v>
      </c>
      <c r="AM11" s="360">
        <f t="shared" si="16"/>
        <v>1</v>
      </c>
      <c r="AN11" s="360">
        <f t="shared" si="16"/>
        <v>1</v>
      </c>
      <c r="AO11" s="360">
        <f t="shared" si="16"/>
        <v>1</v>
      </c>
      <c r="AP11" s="360">
        <f t="shared" si="16"/>
        <v>1</v>
      </c>
      <c r="AQ11" s="360">
        <f t="shared" si="16"/>
        <v>1</v>
      </c>
      <c r="AR11" s="360">
        <f t="shared" si="16"/>
        <v>1</v>
      </c>
      <c r="AS11" s="360">
        <f t="shared" si="16"/>
        <v>1</v>
      </c>
      <c r="AT11" s="360">
        <f t="shared" si="16"/>
        <v>1</v>
      </c>
      <c r="AU11" s="360">
        <f t="shared" si="16"/>
        <v>1</v>
      </c>
      <c r="AV11" s="360">
        <f t="shared" si="16"/>
        <v>1</v>
      </c>
      <c r="AW11" s="360">
        <f t="shared" si="16"/>
        <v>1</v>
      </c>
      <c r="AX11" s="360">
        <f t="shared" si="16"/>
        <v>1</v>
      </c>
      <c r="AY11" s="360">
        <f t="shared" si="16"/>
        <v>1</v>
      </c>
      <c r="AZ11" s="360">
        <f t="shared" si="16"/>
        <v>1</v>
      </c>
      <c r="BA11" s="360">
        <f t="shared" si="16"/>
        <v>1</v>
      </c>
      <c r="BB11" s="360">
        <f t="shared" si="16"/>
        <v>1</v>
      </c>
      <c r="BC11" s="360">
        <f t="shared" si="16"/>
        <v>1</v>
      </c>
      <c r="BD11" s="360">
        <f t="shared" si="16"/>
        <v>1</v>
      </c>
      <c r="BE11" s="360">
        <f t="shared" si="16"/>
        <v>1</v>
      </c>
      <c r="BF11" s="360">
        <f t="shared" si="16"/>
        <v>1</v>
      </c>
      <c r="BG11" s="360">
        <f t="shared" si="16"/>
        <v>1</v>
      </c>
      <c r="BH11" s="360">
        <f t="shared" si="16"/>
        <v>1</v>
      </c>
      <c r="BI11" s="360">
        <f t="shared" si="16"/>
        <v>1</v>
      </c>
      <c r="BJ11" s="360">
        <f t="shared" si="16"/>
        <v>1</v>
      </c>
      <c r="BK11" s="360">
        <f t="shared" si="16"/>
        <v>1</v>
      </c>
      <c r="BL11" s="360">
        <f t="shared" si="16"/>
        <v>1</v>
      </c>
      <c r="BM11" s="360">
        <f t="shared" si="16"/>
        <v>1</v>
      </c>
      <c r="BN11" s="360">
        <f t="shared" si="16"/>
        <v>1</v>
      </c>
      <c r="BO11" s="360">
        <f t="shared" si="16"/>
        <v>1</v>
      </c>
      <c r="BP11" s="360">
        <f t="shared" si="16"/>
        <v>1</v>
      </c>
      <c r="BQ11" s="360">
        <f t="shared" si="16"/>
        <v>1</v>
      </c>
      <c r="BR11" s="360">
        <f t="shared" si="16"/>
        <v>1</v>
      </c>
      <c r="BS11" s="360">
        <f t="shared" ref="BS11:CK15" si="19">+BS4/BS$3</f>
        <v>1</v>
      </c>
      <c r="BT11" s="360">
        <f t="shared" si="19"/>
        <v>1</v>
      </c>
      <c r="BU11" s="360">
        <f t="shared" si="19"/>
        <v>1</v>
      </c>
      <c r="BV11" s="360">
        <f t="shared" si="19"/>
        <v>1</v>
      </c>
      <c r="BW11" s="360">
        <f t="shared" si="19"/>
        <v>1</v>
      </c>
      <c r="BX11" s="360">
        <f t="shared" si="19"/>
        <v>1</v>
      </c>
      <c r="BY11" s="360">
        <f t="shared" si="19"/>
        <v>1</v>
      </c>
      <c r="BZ11" s="360">
        <f t="shared" si="19"/>
        <v>1</v>
      </c>
      <c r="CA11" s="360">
        <f t="shared" si="19"/>
        <v>1</v>
      </c>
      <c r="CB11" s="360">
        <f t="shared" si="19"/>
        <v>1</v>
      </c>
      <c r="CC11" s="360">
        <f t="shared" si="19"/>
        <v>1</v>
      </c>
      <c r="CD11" s="360">
        <f t="shared" si="19"/>
        <v>1</v>
      </c>
      <c r="CE11" s="360">
        <f t="shared" si="19"/>
        <v>1</v>
      </c>
      <c r="CF11" s="360">
        <f t="shared" si="19"/>
        <v>1</v>
      </c>
      <c r="CG11" s="360">
        <f t="shared" si="19"/>
        <v>1</v>
      </c>
      <c r="CH11" s="360">
        <f t="shared" si="19"/>
        <v>1</v>
      </c>
      <c r="CI11" s="360">
        <f t="shared" si="19"/>
        <v>1</v>
      </c>
      <c r="CJ11" s="360">
        <f t="shared" si="19"/>
        <v>1</v>
      </c>
      <c r="CK11" s="360">
        <f t="shared" si="19"/>
        <v>1</v>
      </c>
    </row>
    <row r="12" spans="2:89" x14ac:dyDescent="0.3">
      <c r="C12" t="s">
        <v>341</v>
      </c>
      <c r="F12" s="360">
        <f t="shared" ref="F12:U15" si="20">+F5/F$3</f>
        <v>0.125</v>
      </c>
      <c r="G12" s="360">
        <f t="shared" si="20"/>
        <v>0.125</v>
      </c>
      <c r="H12" s="360">
        <f t="shared" si="20"/>
        <v>0.75</v>
      </c>
      <c r="I12" s="360">
        <f t="shared" si="20"/>
        <v>0.75</v>
      </c>
      <c r="J12" s="360">
        <f t="shared" si="20"/>
        <v>0.75</v>
      </c>
      <c r="K12" s="360">
        <f t="shared" si="20"/>
        <v>0.75</v>
      </c>
      <c r="L12" s="360">
        <f t="shared" ref="L12" si="21">+L5/L$3</f>
        <v>0.75</v>
      </c>
      <c r="M12" s="360">
        <f t="shared" si="20"/>
        <v>0.73333333333333328</v>
      </c>
      <c r="N12" s="595">
        <f t="shared" ref="N12" si="22">+N5/N$3</f>
        <v>0.73333333333333328</v>
      </c>
      <c r="O12" s="360">
        <f t="shared" si="20"/>
        <v>0.73333333333333328</v>
      </c>
      <c r="P12" s="360">
        <f t="shared" si="20"/>
        <v>0.73333333333333328</v>
      </c>
      <c r="Q12" s="360">
        <f t="shared" si="20"/>
        <v>0.73333333333333328</v>
      </c>
      <c r="R12" s="360">
        <f t="shared" si="20"/>
        <v>0.73333333333333328</v>
      </c>
      <c r="S12" s="360">
        <f t="shared" si="20"/>
        <v>0.73333333333333328</v>
      </c>
      <c r="T12" s="360">
        <f t="shared" si="20"/>
        <v>0.73333333333333328</v>
      </c>
      <c r="U12" s="360">
        <f t="shared" si="20"/>
        <v>0.73333333333333328</v>
      </c>
      <c r="V12" s="360">
        <f t="shared" si="16"/>
        <v>0.73333333333333328</v>
      </c>
      <c r="W12" s="360">
        <f t="shared" si="16"/>
        <v>0.73333333333333328</v>
      </c>
      <c r="X12" s="360">
        <f t="shared" si="16"/>
        <v>0.74285714285714288</v>
      </c>
      <c r="Y12" s="360">
        <f t="shared" si="16"/>
        <v>0.74285714285714288</v>
      </c>
      <c r="Z12" s="360">
        <f t="shared" si="16"/>
        <v>0.74285714285714288</v>
      </c>
      <c r="AA12" s="360">
        <f t="shared" si="16"/>
        <v>0.74285714285714288</v>
      </c>
      <c r="AB12" s="360">
        <f t="shared" si="16"/>
        <v>0.74285714285714288</v>
      </c>
      <c r="AC12" s="360">
        <f t="shared" si="16"/>
        <v>0.74285714285714288</v>
      </c>
      <c r="AD12" s="360">
        <f t="shared" si="16"/>
        <v>0.74285714285714288</v>
      </c>
      <c r="AE12" s="360">
        <f t="shared" si="16"/>
        <v>0.74285714285714288</v>
      </c>
      <c r="AF12" s="360">
        <f t="shared" si="16"/>
        <v>0.74285714285714288</v>
      </c>
      <c r="AG12" s="360">
        <f t="shared" si="16"/>
        <v>0.74285714285714288</v>
      </c>
      <c r="AH12" s="360">
        <f t="shared" si="16"/>
        <v>0.74285714285714288</v>
      </c>
      <c r="AI12" s="360">
        <f t="shared" si="16"/>
        <v>0.74285714285714288</v>
      </c>
      <c r="AJ12" s="360">
        <f t="shared" si="16"/>
        <v>0.75</v>
      </c>
      <c r="AK12" s="360">
        <f t="shared" si="16"/>
        <v>0.75</v>
      </c>
      <c r="AL12" s="360">
        <f t="shared" si="16"/>
        <v>0.75</v>
      </c>
      <c r="AM12" s="360">
        <f t="shared" si="16"/>
        <v>0.75</v>
      </c>
      <c r="AN12" s="360">
        <f t="shared" si="16"/>
        <v>0.75</v>
      </c>
      <c r="AO12" s="360">
        <f t="shared" si="16"/>
        <v>0.75</v>
      </c>
      <c r="AP12" s="360">
        <f t="shared" si="16"/>
        <v>0.74</v>
      </c>
      <c r="AQ12" s="360">
        <f t="shared" si="16"/>
        <v>0.74</v>
      </c>
      <c r="AR12" s="360">
        <f t="shared" si="16"/>
        <v>0.74</v>
      </c>
      <c r="AS12" s="360">
        <f t="shared" si="16"/>
        <v>0.74</v>
      </c>
      <c r="AT12" s="360">
        <f t="shared" si="16"/>
        <v>0.74</v>
      </c>
      <c r="AU12" s="360">
        <f t="shared" si="16"/>
        <v>0.74</v>
      </c>
      <c r="AV12" s="360">
        <f t="shared" si="16"/>
        <v>0.74545454545454548</v>
      </c>
      <c r="AW12" s="360">
        <f t="shared" si="16"/>
        <v>0.74545454545454548</v>
      </c>
      <c r="AX12" s="360">
        <f t="shared" si="16"/>
        <v>0.74545454545454548</v>
      </c>
      <c r="AY12" s="360">
        <f t="shared" si="16"/>
        <v>0.74545454545454548</v>
      </c>
      <c r="AZ12" s="360">
        <f t="shared" si="16"/>
        <v>0.74545454545454548</v>
      </c>
      <c r="BA12" s="360">
        <f t="shared" si="16"/>
        <v>0.74545454545454548</v>
      </c>
      <c r="BB12" s="360">
        <f t="shared" si="16"/>
        <v>0.75</v>
      </c>
      <c r="BC12" s="360">
        <f t="shared" si="16"/>
        <v>0.75</v>
      </c>
      <c r="BD12" s="360">
        <f t="shared" si="16"/>
        <v>0.75</v>
      </c>
      <c r="BE12" s="360">
        <f t="shared" si="16"/>
        <v>0.75</v>
      </c>
      <c r="BF12" s="360">
        <f t="shared" si="16"/>
        <v>0.75</v>
      </c>
      <c r="BG12" s="360">
        <f t="shared" si="16"/>
        <v>0.75</v>
      </c>
      <c r="BH12" s="360">
        <f t="shared" si="16"/>
        <v>0.7384615384615385</v>
      </c>
      <c r="BI12" s="360">
        <f t="shared" si="16"/>
        <v>0.7384615384615385</v>
      </c>
      <c r="BJ12" s="360">
        <f t="shared" si="16"/>
        <v>0.7384615384615385</v>
      </c>
      <c r="BK12" s="360">
        <f t="shared" si="16"/>
        <v>0.7384615384615385</v>
      </c>
      <c r="BL12" s="360">
        <f t="shared" si="16"/>
        <v>0.7384615384615385</v>
      </c>
      <c r="BM12" s="360">
        <f t="shared" si="16"/>
        <v>0.7384615384615385</v>
      </c>
      <c r="BN12" s="360">
        <f t="shared" si="16"/>
        <v>0.7466666666666667</v>
      </c>
      <c r="BO12" s="360">
        <f t="shared" si="16"/>
        <v>0.7466666666666667</v>
      </c>
      <c r="BP12" s="360">
        <f t="shared" si="16"/>
        <v>0.7466666666666667</v>
      </c>
      <c r="BQ12" s="360">
        <f t="shared" si="16"/>
        <v>0.7466666666666667</v>
      </c>
      <c r="BR12" s="360">
        <f t="shared" si="16"/>
        <v>0.7466666666666667</v>
      </c>
      <c r="BS12" s="360">
        <f t="shared" si="19"/>
        <v>0.7466666666666667</v>
      </c>
      <c r="BT12" s="360">
        <f t="shared" si="19"/>
        <v>0.75</v>
      </c>
      <c r="BU12" s="360">
        <f t="shared" si="19"/>
        <v>0.75</v>
      </c>
      <c r="BV12" s="360">
        <f t="shared" si="19"/>
        <v>0.75</v>
      </c>
      <c r="BW12" s="360">
        <f t="shared" si="19"/>
        <v>0.75</v>
      </c>
      <c r="BX12" s="360">
        <f t="shared" si="19"/>
        <v>0.75</v>
      </c>
      <c r="BY12" s="360">
        <f t="shared" si="19"/>
        <v>0.75</v>
      </c>
      <c r="BZ12" s="360">
        <f t="shared" si="19"/>
        <v>0.74117647058823533</v>
      </c>
      <c r="CA12" s="360">
        <f t="shared" si="19"/>
        <v>0.74117647058823533</v>
      </c>
      <c r="CB12" s="360">
        <f t="shared" si="19"/>
        <v>0.74117647058823533</v>
      </c>
      <c r="CC12" s="360">
        <f t="shared" si="19"/>
        <v>0.74117647058823533</v>
      </c>
      <c r="CD12" s="360">
        <f t="shared" si="19"/>
        <v>0.74117647058823533</v>
      </c>
      <c r="CE12" s="360">
        <f t="shared" si="19"/>
        <v>0.74117647058823533</v>
      </c>
      <c r="CF12" s="360">
        <f t="shared" si="19"/>
        <v>0.74444444444444446</v>
      </c>
      <c r="CG12" s="360">
        <f t="shared" si="19"/>
        <v>0.74444444444444446</v>
      </c>
      <c r="CH12" s="360">
        <f t="shared" si="19"/>
        <v>0.74444444444444446</v>
      </c>
      <c r="CI12" s="360">
        <f t="shared" si="19"/>
        <v>0.74444444444444446</v>
      </c>
      <c r="CJ12" s="360">
        <f t="shared" si="19"/>
        <v>0.74444444444444446</v>
      </c>
      <c r="CK12" s="360">
        <f t="shared" si="19"/>
        <v>0.74444444444444446</v>
      </c>
    </row>
    <row r="13" spans="2:89" x14ac:dyDescent="0.3">
      <c r="C13" t="s">
        <v>342</v>
      </c>
      <c r="F13" s="360">
        <f t="shared" si="20"/>
        <v>0.125</v>
      </c>
      <c r="G13" s="360">
        <f t="shared" si="20"/>
        <v>0.125</v>
      </c>
      <c r="H13" s="360">
        <f t="shared" si="20"/>
        <v>0.5</v>
      </c>
      <c r="I13" s="360">
        <f t="shared" si="20"/>
        <v>0.5</v>
      </c>
      <c r="J13" s="360">
        <f t="shared" si="20"/>
        <v>0.5</v>
      </c>
      <c r="K13" s="360">
        <f t="shared" si="20"/>
        <v>0.5</v>
      </c>
      <c r="L13" s="360">
        <f t="shared" ref="L13" si="23">+L6/L$3</f>
        <v>0.5</v>
      </c>
      <c r="M13" s="360">
        <f t="shared" si="20"/>
        <v>0.46666666666666667</v>
      </c>
      <c r="N13" s="595">
        <f t="shared" ref="N13" si="24">+N6/N$3</f>
        <v>0.46666666666666667</v>
      </c>
      <c r="O13" s="360">
        <f t="shared" si="20"/>
        <v>0.46666666666666667</v>
      </c>
      <c r="P13" s="360">
        <f t="shared" si="20"/>
        <v>0.46666666666666667</v>
      </c>
      <c r="Q13" s="360">
        <f t="shared" si="20"/>
        <v>0.46666666666666667</v>
      </c>
      <c r="R13" s="360">
        <f t="shared" si="20"/>
        <v>0.5</v>
      </c>
      <c r="S13" s="360">
        <f t="shared" si="20"/>
        <v>0.5</v>
      </c>
      <c r="T13" s="360">
        <f t="shared" si="20"/>
        <v>0.5</v>
      </c>
      <c r="U13" s="360">
        <f t="shared" si="20"/>
        <v>0.5</v>
      </c>
      <c r="V13" s="360">
        <f t="shared" si="16"/>
        <v>0.5</v>
      </c>
      <c r="W13" s="360">
        <f t="shared" si="16"/>
        <v>0.5</v>
      </c>
      <c r="X13" s="360">
        <f t="shared" si="16"/>
        <v>0.48571428571428571</v>
      </c>
      <c r="Y13" s="360">
        <f t="shared" si="16"/>
        <v>0.48571428571428571</v>
      </c>
      <c r="Z13" s="360">
        <f t="shared" si="16"/>
        <v>0.48571428571428571</v>
      </c>
      <c r="AA13" s="360">
        <f t="shared" si="16"/>
        <v>0.48571428571428571</v>
      </c>
      <c r="AB13" s="360">
        <f t="shared" si="16"/>
        <v>0.48571428571428571</v>
      </c>
      <c r="AC13" s="360">
        <f t="shared" si="16"/>
        <v>0.48571428571428571</v>
      </c>
      <c r="AD13" s="360">
        <f t="shared" si="16"/>
        <v>0.48571428571428571</v>
      </c>
      <c r="AE13" s="360">
        <f t="shared" si="16"/>
        <v>0.48571428571428571</v>
      </c>
      <c r="AF13" s="360">
        <f t="shared" si="16"/>
        <v>0.48571428571428571</v>
      </c>
      <c r="AG13" s="360">
        <f t="shared" si="16"/>
        <v>0.48571428571428571</v>
      </c>
      <c r="AH13" s="360">
        <f t="shared" si="16"/>
        <v>0.48571428571428571</v>
      </c>
      <c r="AI13" s="360">
        <f t="shared" si="16"/>
        <v>0.48571428571428571</v>
      </c>
      <c r="AJ13" s="360">
        <f t="shared" si="16"/>
        <v>0.5</v>
      </c>
      <c r="AK13" s="360">
        <f t="shared" si="16"/>
        <v>0.5</v>
      </c>
      <c r="AL13" s="360">
        <f t="shared" si="16"/>
        <v>0.5</v>
      </c>
      <c r="AM13" s="360">
        <f t="shared" si="16"/>
        <v>0.5</v>
      </c>
      <c r="AN13" s="360">
        <f t="shared" si="16"/>
        <v>0.5</v>
      </c>
      <c r="AO13" s="360">
        <f t="shared" si="16"/>
        <v>0.5</v>
      </c>
      <c r="AP13" s="360">
        <f t="shared" si="16"/>
        <v>0.5</v>
      </c>
      <c r="AQ13" s="360">
        <f t="shared" si="16"/>
        <v>0.5</v>
      </c>
      <c r="AR13" s="360">
        <f t="shared" si="16"/>
        <v>0.5</v>
      </c>
      <c r="AS13" s="360">
        <f t="shared" si="16"/>
        <v>0.5</v>
      </c>
      <c r="AT13" s="360">
        <f t="shared" si="16"/>
        <v>0.5</v>
      </c>
      <c r="AU13" s="360">
        <f t="shared" si="16"/>
        <v>0.5</v>
      </c>
      <c r="AV13" s="360">
        <f t="shared" si="16"/>
        <v>0.49090909090909091</v>
      </c>
      <c r="AW13" s="360">
        <f t="shared" si="16"/>
        <v>0.49090909090909091</v>
      </c>
      <c r="AX13" s="360">
        <f t="shared" si="16"/>
        <v>0.49090909090909091</v>
      </c>
      <c r="AY13" s="360">
        <f t="shared" si="16"/>
        <v>0.49090909090909091</v>
      </c>
      <c r="AZ13" s="360">
        <f t="shared" si="16"/>
        <v>0.49090909090909091</v>
      </c>
      <c r="BA13" s="360">
        <f t="shared" si="16"/>
        <v>0.49090909090909091</v>
      </c>
      <c r="BB13" s="360">
        <f t="shared" si="16"/>
        <v>0.5</v>
      </c>
      <c r="BC13" s="360">
        <f t="shared" si="16"/>
        <v>0.5</v>
      </c>
      <c r="BD13" s="360">
        <f t="shared" si="16"/>
        <v>0.5</v>
      </c>
      <c r="BE13" s="360">
        <f t="shared" si="16"/>
        <v>0.5</v>
      </c>
      <c r="BF13" s="360">
        <f t="shared" si="16"/>
        <v>0.5</v>
      </c>
      <c r="BG13" s="360">
        <f t="shared" si="16"/>
        <v>0.5</v>
      </c>
      <c r="BH13" s="360">
        <f t="shared" si="16"/>
        <v>0.49230769230769234</v>
      </c>
      <c r="BI13" s="360">
        <f t="shared" si="16"/>
        <v>0.49230769230769234</v>
      </c>
      <c r="BJ13" s="360">
        <f t="shared" si="16"/>
        <v>0.49230769230769234</v>
      </c>
      <c r="BK13" s="360">
        <f t="shared" si="16"/>
        <v>0.49230769230769234</v>
      </c>
      <c r="BL13" s="360">
        <f t="shared" si="16"/>
        <v>0.49230769230769234</v>
      </c>
      <c r="BM13" s="360">
        <f t="shared" si="16"/>
        <v>0.49230769230769234</v>
      </c>
      <c r="BN13" s="360">
        <f t="shared" si="16"/>
        <v>0.49333333333333335</v>
      </c>
      <c r="BO13" s="360">
        <f t="shared" si="16"/>
        <v>0.49333333333333335</v>
      </c>
      <c r="BP13" s="360">
        <f t="shared" si="16"/>
        <v>0.49333333333333335</v>
      </c>
      <c r="BQ13" s="360">
        <f t="shared" si="16"/>
        <v>0.49333333333333335</v>
      </c>
      <c r="BR13" s="360">
        <f t="shared" si="16"/>
        <v>0.49333333333333335</v>
      </c>
      <c r="BS13" s="360">
        <f t="shared" si="19"/>
        <v>0.49333333333333335</v>
      </c>
      <c r="BT13" s="360">
        <f t="shared" si="19"/>
        <v>0.5</v>
      </c>
      <c r="BU13" s="360">
        <f t="shared" si="19"/>
        <v>0.5</v>
      </c>
      <c r="BV13" s="360">
        <f t="shared" si="19"/>
        <v>0.5</v>
      </c>
      <c r="BW13" s="360">
        <f t="shared" si="19"/>
        <v>0.5</v>
      </c>
      <c r="BX13" s="360">
        <f t="shared" si="19"/>
        <v>0.5</v>
      </c>
      <c r="BY13" s="360">
        <f t="shared" si="19"/>
        <v>0.5</v>
      </c>
      <c r="BZ13" s="360">
        <f t="shared" si="19"/>
        <v>0.49411764705882355</v>
      </c>
      <c r="CA13" s="360">
        <f t="shared" si="19"/>
        <v>0.49411764705882355</v>
      </c>
      <c r="CB13" s="360">
        <f t="shared" si="19"/>
        <v>0.49411764705882355</v>
      </c>
      <c r="CC13" s="360">
        <f t="shared" si="19"/>
        <v>0.49411764705882355</v>
      </c>
      <c r="CD13" s="360">
        <f t="shared" si="19"/>
        <v>0.49411764705882355</v>
      </c>
      <c r="CE13" s="360">
        <f t="shared" si="19"/>
        <v>0.49411764705882355</v>
      </c>
      <c r="CF13" s="360">
        <f t="shared" si="19"/>
        <v>0.5</v>
      </c>
      <c r="CG13" s="360">
        <f t="shared" si="19"/>
        <v>0.5</v>
      </c>
      <c r="CH13" s="360">
        <f t="shared" si="19"/>
        <v>0.5</v>
      </c>
      <c r="CI13" s="360">
        <f t="shared" si="19"/>
        <v>0.5</v>
      </c>
      <c r="CJ13" s="360">
        <f t="shared" si="19"/>
        <v>0.5</v>
      </c>
      <c r="CK13" s="360">
        <f t="shared" si="19"/>
        <v>0.5</v>
      </c>
    </row>
    <row r="14" spans="2:89" x14ac:dyDescent="0.3">
      <c r="C14" t="s">
        <v>343</v>
      </c>
      <c r="F14" s="360">
        <f t="shared" si="20"/>
        <v>0.125</v>
      </c>
      <c r="G14" s="360">
        <f t="shared" si="16"/>
        <v>0.125</v>
      </c>
      <c r="H14" s="360">
        <f t="shared" si="16"/>
        <v>0.25</v>
      </c>
      <c r="I14" s="360">
        <f t="shared" si="16"/>
        <v>0.25</v>
      </c>
      <c r="J14" s="360">
        <f t="shared" si="16"/>
        <v>0.25</v>
      </c>
      <c r="K14" s="360">
        <f t="shared" si="16"/>
        <v>0.25</v>
      </c>
      <c r="L14" s="360">
        <f t="shared" si="17"/>
        <v>0.25</v>
      </c>
      <c r="M14" s="360">
        <f t="shared" si="16"/>
        <v>0.26666666666666666</v>
      </c>
      <c r="N14" s="595">
        <f t="shared" ref="N14" si="25">+N7/N$3</f>
        <v>0.26666666666666666</v>
      </c>
      <c r="O14" s="360">
        <f t="shared" si="16"/>
        <v>0.26666666666666666</v>
      </c>
      <c r="P14" s="360">
        <f t="shared" si="16"/>
        <v>0.26666666666666666</v>
      </c>
      <c r="Q14" s="360">
        <f t="shared" si="16"/>
        <v>0.26666666666666666</v>
      </c>
      <c r="R14" s="360">
        <f t="shared" si="16"/>
        <v>0.3</v>
      </c>
      <c r="S14" s="360">
        <f t="shared" si="16"/>
        <v>0.3</v>
      </c>
      <c r="T14" s="360">
        <f t="shared" si="16"/>
        <v>0.3</v>
      </c>
      <c r="U14" s="360">
        <f t="shared" si="16"/>
        <v>0.3</v>
      </c>
      <c r="V14" s="360">
        <f t="shared" si="16"/>
        <v>0.3</v>
      </c>
      <c r="W14" s="360">
        <f t="shared" si="16"/>
        <v>0.3</v>
      </c>
      <c r="X14" s="360">
        <f t="shared" si="16"/>
        <v>0.31428571428571428</v>
      </c>
      <c r="Y14" s="360">
        <f t="shared" si="16"/>
        <v>0.31428571428571428</v>
      </c>
      <c r="Z14" s="360">
        <f t="shared" si="16"/>
        <v>0.31428571428571428</v>
      </c>
      <c r="AA14" s="360">
        <f t="shared" si="16"/>
        <v>0.31428571428571428</v>
      </c>
      <c r="AB14" s="360">
        <f t="shared" si="16"/>
        <v>0.31428571428571428</v>
      </c>
      <c r="AC14" s="360">
        <f t="shared" si="16"/>
        <v>0.31428571428571428</v>
      </c>
      <c r="AD14" s="360">
        <f t="shared" si="16"/>
        <v>0.31428571428571428</v>
      </c>
      <c r="AE14" s="360">
        <f t="shared" si="16"/>
        <v>0.31428571428571428</v>
      </c>
      <c r="AF14" s="360">
        <f t="shared" si="16"/>
        <v>0.31428571428571428</v>
      </c>
      <c r="AG14" s="360">
        <f t="shared" si="16"/>
        <v>0.31428571428571428</v>
      </c>
      <c r="AH14" s="360">
        <f t="shared" si="16"/>
        <v>0.31428571428571428</v>
      </c>
      <c r="AI14" s="360">
        <f t="shared" si="16"/>
        <v>0.31428571428571428</v>
      </c>
      <c r="AJ14" s="360">
        <f t="shared" si="16"/>
        <v>0.32500000000000001</v>
      </c>
      <c r="AK14" s="360">
        <f t="shared" si="16"/>
        <v>0.32500000000000001</v>
      </c>
      <c r="AL14" s="360">
        <f t="shared" si="16"/>
        <v>0.32500000000000001</v>
      </c>
      <c r="AM14" s="360">
        <f t="shared" si="16"/>
        <v>0.32500000000000001</v>
      </c>
      <c r="AN14" s="360">
        <f t="shared" si="16"/>
        <v>0.32500000000000001</v>
      </c>
      <c r="AO14" s="360">
        <f t="shared" si="16"/>
        <v>0.32500000000000001</v>
      </c>
      <c r="AP14" s="360">
        <f t="shared" si="16"/>
        <v>0.32</v>
      </c>
      <c r="AQ14" s="360">
        <f t="shared" si="16"/>
        <v>0.32</v>
      </c>
      <c r="AR14" s="360">
        <f t="shared" si="16"/>
        <v>0.32</v>
      </c>
      <c r="AS14" s="360">
        <f t="shared" si="16"/>
        <v>0.32</v>
      </c>
      <c r="AT14" s="360">
        <f t="shared" si="16"/>
        <v>0.32</v>
      </c>
      <c r="AU14" s="360">
        <f t="shared" si="16"/>
        <v>0.32</v>
      </c>
      <c r="AV14" s="360">
        <f t="shared" si="16"/>
        <v>0.32727272727272727</v>
      </c>
      <c r="AW14" s="360">
        <f t="shared" si="16"/>
        <v>0.32727272727272727</v>
      </c>
      <c r="AX14" s="360">
        <f t="shared" si="16"/>
        <v>0.32727272727272727</v>
      </c>
      <c r="AY14" s="360">
        <f t="shared" si="16"/>
        <v>0.32727272727272727</v>
      </c>
      <c r="AZ14" s="360">
        <f t="shared" si="16"/>
        <v>0.32727272727272727</v>
      </c>
      <c r="BA14" s="360">
        <f t="shared" si="16"/>
        <v>0.32727272727272727</v>
      </c>
      <c r="BB14" s="360">
        <f t="shared" si="16"/>
        <v>0.31666666666666665</v>
      </c>
      <c r="BC14" s="360">
        <f t="shared" si="16"/>
        <v>0.31666666666666665</v>
      </c>
      <c r="BD14" s="360">
        <f t="shared" si="16"/>
        <v>0.31666666666666665</v>
      </c>
      <c r="BE14" s="360">
        <f t="shared" si="16"/>
        <v>0.31666666666666665</v>
      </c>
      <c r="BF14" s="360">
        <f t="shared" si="16"/>
        <v>0.31666666666666665</v>
      </c>
      <c r="BG14" s="360">
        <f t="shared" si="16"/>
        <v>0.31666666666666665</v>
      </c>
      <c r="BH14" s="360">
        <f t="shared" si="16"/>
        <v>0.32307692307692309</v>
      </c>
      <c r="BI14" s="360">
        <f t="shared" si="16"/>
        <v>0.32307692307692309</v>
      </c>
      <c r="BJ14" s="360">
        <f t="shared" si="16"/>
        <v>0.32307692307692309</v>
      </c>
      <c r="BK14" s="360">
        <f t="shared" si="16"/>
        <v>0.32307692307692309</v>
      </c>
      <c r="BL14" s="360">
        <f t="shared" si="16"/>
        <v>0.32307692307692309</v>
      </c>
      <c r="BM14" s="360">
        <f t="shared" si="16"/>
        <v>0.32307692307692309</v>
      </c>
      <c r="BN14" s="360">
        <f t="shared" si="16"/>
        <v>0.32</v>
      </c>
      <c r="BO14" s="360">
        <f t="shared" si="16"/>
        <v>0.32</v>
      </c>
      <c r="BP14" s="360">
        <f t="shared" si="16"/>
        <v>0.32</v>
      </c>
      <c r="BQ14" s="360">
        <f t="shared" si="16"/>
        <v>0.32</v>
      </c>
      <c r="BR14" s="360">
        <f t="shared" si="16"/>
        <v>0.32</v>
      </c>
      <c r="BS14" s="360">
        <f t="shared" si="19"/>
        <v>0.32</v>
      </c>
      <c r="BT14" s="360">
        <f t="shared" si="19"/>
        <v>0.32500000000000001</v>
      </c>
      <c r="BU14" s="360">
        <f t="shared" si="19"/>
        <v>0.32500000000000001</v>
      </c>
      <c r="BV14" s="360">
        <f t="shared" si="19"/>
        <v>0.32500000000000001</v>
      </c>
      <c r="BW14" s="360">
        <f t="shared" si="19"/>
        <v>0.32500000000000001</v>
      </c>
      <c r="BX14" s="360">
        <f t="shared" si="19"/>
        <v>0.32500000000000001</v>
      </c>
      <c r="BY14" s="360">
        <f t="shared" si="19"/>
        <v>0.32500000000000001</v>
      </c>
      <c r="BZ14" s="360">
        <f t="shared" si="19"/>
        <v>0.32941176470588235</v>
      </c>
      <c r="CA14" s="360">
        <f t="shared" si="19"/>
        <v>0.32941176470588235</v>
      </c>
      <c r="CB14" s="360">
        <f t="shared" si="19"/>
        <v>0.32941176470588235</v>
      </c>
      <c r="CC14" s="360">
        <f t="shared" si="19"/>
        <v>0.32941176470588235</v>
      </c>
      <c r="CD14" s="360">
        <f t="shared" si="19"/>
        <v>0.32941176470588235</v>
      </c>
      <c r="CE14" s="360">
        <f t="shared" si="19"/>
        <v>0.32941176470588235</v>
      </c>
      <c r="CF14" s="360">
        <f t="shared" si="19"/>
        <v>0.32222222222222224</v>
      </c>
      <c r="CG14" s="360">
        <f t="shared" si="19"/>
        <v>0.32222222222222224</v>
      </c>
      <c r="CH14" s="360">
        <f t="shared" si="19"/>
        <v>0.32222222222222224</v>
      </c>
      <c r="CI14" s="360">
        <f t="shared" si="19"/>
        <v>0.32222222222222224</v>
      </c>
      <c r="CJ14" s="360">
        <f t="shared" si="19"/>
        <v>0.32222222222222224</v>
      </c>
      <c r="CK14" s="360">
        <f t="shared" si="19"/>
        <v>0.32222222222222224</v>
      </c>
    </row>
    <row r="15" spans="2:89" x14ac:dyDescent="0.3">
      <c r="C15" t="s">
        <v>345</v>
      </c>
      <c r="F15" s="360">
        <f t="shared" si="20"/>
        <v>0</v>
      </c>
      <c r="G15" s="360">
        <f t="shared" si="16"/>
        <v>0</v>
      </c>
      <c r="H15" s="360">
        <f t="shared" si="16"/>
        <v>0.125</v>
      </c>
      <c r="I15" s="360">
        <f t="shared" si="16"/>
        <v>0</v>
      </c>
      <c r="J15" s="360">
        <f t="shared" si="16"/>
        <v>0.25</v>
      </c>
      <c r="K15" s="360">
        <f t="shared" si="16"/>
        <v>0</v>
      </c>
      <c r="L15" s="360">
        <f t="shared" si="17"/>
        <v>0.125</v>
      </c>
      <c r="M15" s="360">
        <f t="shared" si="16"/>
        <v>0.26666666666666666</v>
      </c>
      <c r="N15" s="595">
        <f t="shared" ref="N15" si="26">+N8/N$3</f>
        <v>0.13333333333333333</v>
      </c>
      <c r="O15" s="360">
        <f t="shared" si="16"/>
        <v>6.6666666666666666E-2</v>
      </c>
      <c r="P15" s="360">
        <f t="shared" si="16"/>
        <v>6.6666666666666666E-2</v>
      </c>
      <c r="Q15" s="360">
        <f t="shared" si="16"/>
        <v>6.6666666666666666E-2</v>
      </c>
      <c r="R15" s="360">
        <f t="shared" si="16"/>
        <v>0.1</v>
      </c>
      <c r="S15" s="360">
        <f t="shared" si="16"/>
        <v>0.1</v>
      </c>
      <c r="T15" s="360">
        <f t="shared" si="16"/>
        <v>0.1</v>
      </c>
      <c r="U15" s="360">
        <f t="shared" si="16"/>
        <v>0.1</v>
      </c>
      <c r="V15" s="360">
        <f t="shared" si="16"/>
        <v>0.1</v>
      </c>
      <c r="W15" s="360">
        <f t="shared" si="16"/>
        <v>0.1</v>
      </c>
      <c r="X15" s="360">
        <f t="shared" si="16"/>
        <v>8.5714285714285715E-2</v>
      </c>
      <c r="Y15" s="360">
        <f t="shared" si="16"/>
        <v>8.5714285714285715E-2</v>
      </c>
      <c r="Z15" s="360">
        <f t="shared" si="16"/>
        <v>8.5714285714285715E-2</v>
      </c>
      <c r="AA15" s="360">
        <f t="shared" si="16"/>
        <v>8.5714285714285715E-2</v>
      </c>
      <c r="AB15" s="360">
        <f t="shared" si="16"/>
        <v>8.5714285714285715E-2</v>
      </c>
      <c r="AC15" s="360">
        <f t="shared" si="16"/>
        <v>8.5714285714285715E-2</v>
      </c>
      <c r="AD15" s="360">
        <f t="shared" si="16"/>
        <v>8.5714285714285715E-2</v>
      </c>
      <c r="AE15" s="360">
        <f t="shared" si="16"/>
        <v>8.5714285714285715E-2</v>
      </c>
      <c r="AF15" s="360">
        <f t="shared" si="16"/>
        <v>8.5714285714285715E-2</v>
      </c>
      <c r="AG15" s="360">
        <f t="shared" si="16"/>
        <v>8.5714285714285715E-2</v>
      </c>
      <c r="AH15" s="360">
        <f t="shared" si="16"/>
        <v>8.5714285714285715E-2</v>
      </c>
      <c r="AI15" s="360">
        <f t="shared" si="16"/>
        <v>8.5714285714285715E-2</v>
      </c>
      <c r="AJ15" s="360">
        <f t="shared" ref="AJ15:BR15" si="27">+AJ8/AJ$3</f>
        <v>0.1</v>
      </c>
      <c r="AK15" s="360">
        <f t="shared" si="27"/>
        <v>0.1</v>
      </c>
      <c r="AL15" s="360">
        <f t="shared" si="27"/>
        <v>0.1</v>
      </c>
      <c r="AM15" s="360">
        <f t="shared" si="27"/>
        <v>0.1</v>
      </c>
      <c r="AN15" s="360">
        <f t="shared" si="27"/>
        <v>0.1</v>
      </c>
      <c r="AO15" s="360">
        <f t="shared" si="27"/>
        <v>0.1</v>
      </c>
      <c r="AP15" s="360">
        <f t="shared" si="27"/>
        <v>0.1</v>
      </c>
      <c r="AQ15" s="360">
        <f t="shared" si="27"/>
        <v>0.1</v>
      </c>
      <c r="AR15" s="360">
        <f t="shared" si="27"/>
        <v>0.1</v>
      </c>
      <c r="AS15" s="360">
        <f t="shared" si="27"/>
        <v>0.1</v>
      </c>
      <c r="AT15" s="360">
        <f t="shared" si="27"/>
        <v>0.1</v>
      </c>
      <c r="AU15" s="360">
        <f t="shared" si="27"/>
        <v>0.1</v>
      </c>
      <c r="AV15" s="360">
        <f t="shared" si="27"/>
        <v>9.0909090909090912E-2</v>
      </c>
      <c r="AW15" s="360">
        <f t="shared" si="27"/>
        <v>9.0909090909090912E-2</v>
      </c>
      <c r="AX15" s="360">
        <f t="shared" si="27"/>
        <v>9.0909090909090912E-2</v>
      </c>
      <c r="AY15" s="360">
        <f t="shared" si="27"/>
        <v>9.0909090909090912E-2</v>
      </c>
      <c r="AZ15" s="360">
        <f t="shared" si="27"/>
        <v>9.0909090909090912E-2</v>
      </c>
      <c r="BA15" s="360">
        <f t="shared" si="27"/>
        <v>9.0909090909090912E-2</v>
      </c>
      <c r="BB15" s="360">
        <f t="shared" si="27"/>
        <v>0.1</v>
      </c>
      <c r="BC15" s="360">
        <f t="shared" si="27"/>
        <v>0.1</v>
      </c>
      <c r="BD15" s="360">
        <f t="shared" si="27"/>
        <v>0.1</v>
      </c>
      <c r="BE15" s="360">
        <f t="shared" si="27"/>
        <v>0.1</v>
      </c>
      <c r="BF15" s="360">
        <f t="shared" si="27"/>
        <v>0.1</v>
      </c>
      <c r="BG15" s="360">
        <f t="shared" si="27"/>
        <v>0.1</v>
      </c>
      <c r="BH15" s="360">
        <f t="shared" si="27"/>
        <v>9.2307692307692313E-2</v>
      </c>
      <c r="BI15" s="360">
        <f t="shared" si="27"/>
        <v>9.2307692307692313E-2</v>
      </c>
      <c r="BJ15" s="360">
        <f t="shared" si="27"/>
        <v>9.2307692307692313E-2</v>
      </c>
      <c r="BK15" s="360">
        <f t="shared" si="27"/>
        <v>9.2307692307692313E-2</v>
      </c>
      <c r="BL15" s="360">
        <f t="shared" si="27"/>
        <v>9.2307692307692313E-2</v>
      </c>
      <c r="BM15" s="360">
        <f t="shared" si="27"/>
        <v>9.2307692307692313E-2</v>
      </c>
      <c r="BN15" s="360">
        <f t="shared" si="27"/>
        <v>9.3333333333333338E-2</v>
      </c>
      <c r="BO15" s="360">
        <f t="shared" si="27"/>
        <v>9.3333333333333338E-2</v>
      </c>
      <c r="BP15" s="360">
        <f t="shared" si="27"/>
        <v>9.3333333333333338E-2</v>
      </c>
      <c r="BQ15" s="360">
        <f t="shared" si="27"/>
        <v>9.3333333333333338E-2</v>
      </c>
      <c r="BR15" s="360">
        <f t="shared" si="27"/>
        <v>9.3333333333333338E-2</v>
      </c>
      <c r="BS15" s="360">
        <f t="shared" si="19"/>
        <v>9.3333333333333338E-2</v>
      </c>
      <c r="BT15" s="360">
        <f t="shared" si="19"/>
        <v>0.1</v>
      </c>
      <c r="BU15" s="360">
        <f t="shared" si="19"/>
        <v>0.1</v>
      </c>
      <c r="BV15" s="360">
        <f t="shared" si="19"/>
        <v>0.1</v>
      </c>
      <c r="BW15" s="360">
        <f t="shared" si="19"/>
        <v>0.1</v>
      </c>
      <c r="BX15" s="360">
        <f t="shared" si="19"/>
        <v>0.1</v>
      </c>
      <c r="BY15" s="360">
        <f t="shared" si="19"/>
        <v>0.1</v>
      </c>
      <c r="BZ15" s="360">
        <f t="shared" si="19"/>
        <v>9.4117647058823528E-2</v>
      </c>
      <c r="CA15" s="360">
        <f t="shared" si="19"/>
        <v>9.4117647058823528E-2</v>
      </c>
      <c r="CB15" s="360">
        <f t="shared" si="19"/>
        <v>9.4117647058823528E-2</v>
      </c>
      <c r="CC15" s="360">
        <f t="shared" si="19"/>
        <v>9.4117647058823528E-2</v>
      </c>
      <c r="CD15" s="360">
        <f t="shared" si="19"/>
        <v>9.4117647058823528E-2</v>
      </c>
      <c r="CE15" s="360">
        <f t="shared" si="19"/>
        <v>9.4117647058823528E-2</v>
      </c>
      <c r="CF15" s="360">
        <f t="shared" si="19"/>
        <v>0.1</v>
      </c>
      <c r="CG15" s="360">
        <f t="shared" si="19"/>
        <v>0.1</v>
      </c>
      <c r="CH15" s="360">
        <f t="shared" si="19"/>
        <v>0.1</v>
      </c>
      <c r="CI15" s="360">
        <f t="shared" si="19"/>
        <v>0.1</v>
      </c>
      <c r="CJ15" s="360">
        <f t="shared" si="19"/>
        <v>0.1</v>
      </c>
      <c r="CK15" s="360">
        <f t="shared" si="19"/>
        <v>0.1</v>
      </c>
    </row>
    <row r="16" spans="2:89" x14ac:dyDescent="0.3">
      <c r="F16" s="361"/>
      <c r="G16" s="361"/>
      <c r="H16" s="361"/>
      <c r="I16" s="361"/>
      <c r="J16" s="361"/>
      <c r="K16" s="361"/>
      <c r="L16" s="361"/>
      <c r="M16" s="361"/>
      <c r="N16" s="596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361"/>
      <c r="AB16" s="361"/>
      <c r="AC16" s="361"/>
      <c r="AD16" s="361"/>
      <c r="AE16" s="361"/>
      <c r="AF16" s="361"/>
      <c r="AG16" s="361"/>
      <c r="AH16" s="361"/>
      <c r="AI16" s="361"/>
      <c r="AJ16" s="361"/>
      <c r="AK16" s="361"/>
      <c r="AL16" s="361"/>
      <c r="AM16" s="361"/>
      <c r="AN16" s="361"/>
      <c r="AO16" s="361"/>
      <c r="AP16" s="361"/>
      <c r="AQ16" s="361"/>
      <c r="AR16" s="361"/>
      <c r="AS16" s="361"/>
      <c r="AT16" s="361"/>
      <c r="AU16" s="361"/>
      <c r="AV16" s="361"/>
      <c r="AW16" s="361"/>
      <c r="AX16" s="361"/>
      <c r="AY16" s="361"/>
      <c r="AZ16" s="361"/>
      <c r="BA16" s="361"/>
      <c r="BB16" s="361"/>
      <c r="BC16" s="361"/>
      <c r="BD16" s="361"/>
      <c r="BE16" s="361"/>
      <c r="BF16" s="361"/>
      <c r="BG16" s="361"/>
      <c r="BH16" s="361"/>
      <c r="BI16" s="361"/>
      <c r="BJ16" s="361"/>
      <c r="BK16" s="361"/>
      <c r="BL16" s="361"/>
      <c r="BM16" s="361"/>
      <c r="BN16" s="361"/>
      <c r="BO16" s="361"/>
      <c r="BP16" s="361"/>
      <c r="BQ16" s="361"/>
      <c r="BR16" s="361"/>
      <c r="BS16" s="361"/>
      <c r="BT16" s="361"/>
      <c r="BU16" s="361"/>
      <c r="BV16" s="361"/>
      <c r="BW16" s="361"/>
      <c r="BX16" s="361"/>
      <c r="BY16" s="361"/>
      <c r="BZ16" s="361"/>
      <c r="CA16" s="361"/>
      <c r="CB16" s="361"/>
      <c r="CC16" s="361"/>
      <c r="CD16" s="361"/>
      <c r="CE16" s="361"/>
      <c r="CF16" s="361"/>
      <c r="CG16" s="361"/>
      <c r="CH16" s="361"/>
      <c r="CI16" s="361"/>
      <c r="CJ16" s="361"/>
      <c r="CK16" s="361"/>
    </row>
    <row r="17" spans="3:89" x14ac:dyDescent="0.3">
      <c r="C17" s="337" t="s">
        <v>492</v>
      </c>
      <c r="F17" s="355">
        <v>0</v>
      </c>
      <c r="G17" s="355">
        <v>0</v>
      </c>
      <c r="H17" s="355">
        <v>1</v>
      </c>
      <c r="I17" s="355">
        <v>0</v>
      </c>
      <c r="J17" s="355">
        <v>2</v>
      </c>
      <c r="K17" s="355">
        <v>0</v>
      </c>
      <c r="L17" s="355">
        <v>1</v>
      </c>
      <c r="M17" s="355">
        <v>4</v>
      </c>
      <c r="N17" s="593">
        <v>2</v>
      </c>
      <c r="O17" s="387">
        <v>1</v>
      </c>
      <c r="P17" s="362">
        <f>+IF(SUM(N17:O17)&lt;=0, P8, 0)</f>
        <v>0</v>
      </c>
      <c r="Q17" s="362">
        <f t="shared" ref="Q17:CB17" si="28">+IF(SUM(O17:P17)&lt;=0, Q8, 0)</f>
        <v>0</v>
      </c>
      <c r="R17" s="362">
        <f t="shared" si="28"/>
        <v>3</v>
      </c>
      <c r="S17" s="362">
        <f t="shared" si="28"/>
        <v>0</v>
      </c>
      <c r="T17" s="362">
        <f t="shared" si="28"/>
        <v>0</v>
      </c>
      <c r="U17" s="362">
        <f t="shared" si="28"/>
        <v>3</v>
      </c>
      <c r="V17" s="362">
        <f t="shared" si="28"/>
        <v>0</v>
      </c>
      <c r="W17" s="362">
        <f t="shared" si="28"/>
        <v>0</v>
      </c>
      <c r="X17" s="362">
        <f t="shared" si="28"/>
        <v>3</v>
      </c>
      <c r="Y17" s="362">
        <f t="shared" si="28"/>
        <v>0</v>
      </c>
      <c r="Z17" s="362">
        <f t="shared" si="28"/>
        <v>0</v>
      </c>
      <c r="AA17" s="362">
        <f t="shared" si="28"/>
        <v>3</v>
      </c>
      <c r="AB17" s="362">
        <f t="shared" si="28"/>
        <v>0</v>
      </c>
      <c r="AC17" s="362">
        <f t="shared" si="28"/>
        <v>0</v>
      </c>
      <c r="AD17" s="362">
        <f t="shared" si="28"/>
        <v>3</v>
      </c>
      <c r="AE17" s="362">
        <f t="shared" si="28"/>
        <v>0</v>
      </c>
      <c r="AF17" s="362">
        <f t="shared" si="28"/>
        <v>0</v>
      </c>
      <c r="AG17" s="362">
        <f t="shared" si="28"/>
        <v>3</v>
      </c>
      <c r="AH17" s="362">
        <f t="shared" si="28"/>
        <v>0</v>
      </c>
      <c r="AI17" s="362">
        <f t="shared" si="28"/>
        <v>0</v>
      </c>
      <c r="AJ17" s="362">
        <f t="shared" si="28"/>
        <v>4</v>
      </c>
      <c r="AK17" s="362">
        <f t="shared" si="28"/>
        <v>0</v>
      </c>
      <c r="AL17" s="362">
        <f t="shared" si="28"/>
        <v>0</v>
      </c>
      <c r="AM17" s="362">
        <f t="shared" si="28"/>
        <v>4</v>
      </c>
      <c r="AN17" s="362">
        <f t="shared" si="28"/>
        <v>0</v>
      </c>
      <c r="AO17" s="362">
        <f t="shared" si="28"/>
        <v>0</v>
      </c>
      <c r="AP17" s="362">
        <f t="shared" si="28"/>
        <v>5</v>
      </c>
      <c r="AQ17" s="362">
        <f t="shared" si="28"/>
        <v>0</v>
      </c>
      <c r="AR17" s="362">
        <f t="shared" si="28"/>
        <v>0</v>
      </c>
      <c r="AS17" s="362">
        <f t="shared" si="28"/>
        <v>5</v>
      </c>
      <c r="AT17" s="362">
        <f t="shared" si="28"/>
        <v>0</v>
      </c>
      <c r="AU17" s="362">
        <f t="shared" si="28"/>
        <v>0</v>
      </c>
      <c r="AV17" s="362">
        <f t="shared" si="28"/>
        <v>5</v>
      </c>
      <c r="AW17" s="362">
        <f t="shared" si="28"/>
        <v>0</v>
      </c>
      <c r="AX17" s="362">
        <f t="shared" si="28"/>
        <v>0</v>
      </c>
      <c r="AY17" s="362">
        <f t="shared" si="28"/>
        <v>5</v>
      </c>
      <c r="AZ17" s="362">
        <f t="shared" si="28"/>
        <v>0</v>
      </c>
      <c r="BA17" s="362">
        <f t="shared" si="28"/>
        <v>0</v>
      </c>
      <c r="BB17" s="362">
        <f t="shared" si="28"/>
        <v>6</v>
      </c>
      <c r="BC17" s="362">
        <f t="shared" si="28"/>
        <v>0</v>
      </c>
      <c r="BD17" s="362">
        <f t="shared" si="28"/>
        <v>0</v>
      </c>
      <c r="BE17" s="362">
        <f t="shared" si="28"/>
        <v>6</v>
      </c>
      <c r="BF17" s="362">
        <f t="shared" si="28"/>
        <v>0</v>
      </c>
      <c r="BG17" s="362">
        <f t="shared" si="28"/>
        <v>0</v>
      </c>
      <c r="BH17" s="362">
        <f t="shared" si="28"/>
        <v>6</v>
      </c>
      <c r="BI17" s="362">
        <f t="shared" si="28"/>
        <v>0</v>
      </c>
      <c r="BJ17" s="362">
        <f t="shared" si="28"/>
        <v>0</v>
      </c>
      <c r="BK17" s="362">
        <f t="shared" si="28"/>
        <v>6</v>
      </c>
      <c r="BL17" s="362">
        <f t="shared" si="28"/>
        <v>0</v>
      </c>
      <c r="BM17" s="362">
        <f t="shared" si="28"/>
        <v>0</v>
      </c>
      <c r="BN17" s="362">
        <f t="shared" si="28"/>
        <v>7</v>
      </c>
      <c r="BO17" s="362">
        <f t="shared" si="28"/>
        <v>0</v>
      </c>
      <c r="BP17" s="362">
        <f t="shared" si="28"/>
        <v>0</v>
      </c>
      <c r="BQ17" s="362">
        <f t="shared" si="28"/>
        <v>7</v>
      </c>
      <c r="BR17" s="362">
        <f t="shared" si="28"/>
        <v>0</v>
      </c>
      <c r="BS17" s="362">
        <f t="shared" si="28"/>
        <v>0</v>
      </c>
      <c r="BT17" s="362">
        <f t="shared" si="28"/>
        <v>8</v>
      </c>
      <c r="BU17" s="362">
        <f t="shared" si="28"/>
        <v>0</v>
      </c>
      <c r="BV17" s="362">
        <f t="shared" si="28"/>
        <v>0</v>
      </c>
      <c r="BW17" s="362">
        <f t="shared" si="28"/>
        <v>8</v>
      </c>
      <c r="BX17" s="362">
        <f t="shared" si="28"/>
        <v>0</v>
      </c>
      <c r="BY17" s="362">
        <f t="shared" si="28"/>
        <v>0</v>
      </c>
      <c r="BZ17" s="362">
        <f t="shared" si="28"/>
        <v>8</v>
      </c>
      <c r="CA17" s="362">
        <f t="shared" si="28"/>
        <v>0</v>
      </c>
      <c r="CB17" s="362">
        <f t="shared" si="28"/>
        <v>0</v>
      </c>
      <c r="CC17" s="362">
        <f t="shared" ref="CC17:CK17" si="29">+IF(SUM(CA17:CB17)&lt;=0, CC8, 0)</f>
        <v>8</v>
      </c>
      <c r="CD17" s="362">
        <f t="shared" si="29"/>
        <v>0</v>
      </c>
      <c r="CE17" s="362">
        <f t="shared" si="29"/>
        <v>0</v>
      </c>
      <c r="CF17" s="362">
        <f t="shared" si="29"/>
        <v>9</v>
      </c>
      <c r="CG17" s="362">
        <f t="shared" si="29"/>
        <v>0</v>
      </c>
      <c r="CH17" s="362">
        <f t="shared" si="29"/>
        <v>0</v>
      </c>
      <c r="CI17" s="362">
        <f t="shared" si="29"/>
        <v>9</v>
      </c>
      <c r="CJ17" s="362">
        <f t="shared" si="29"/>
        <v>0</v>
      </c>
      <c r="CK17" s="362">
        <f t="shared" si="29"/>
        <v>0</v>
      </c>
    </row>
    <row r="18" spans="3:89" x14ac:dyDescent="0.3">
      <c r="D18" s="363" t="s">
        <v>346</v>
      </c>
      <c r="E18" s="3"/>
      <c r="F18" s="364">
        <f t="shared" ref="F18:AK18" si="30">SUM(F17:F17)</f>
        <v>0</v>
      </c>
      <c r="G18" s="364">
        <f t="shared" si="30"/>
        <v>0</v>
      </c>
      <c r="H18" s="364">
        <f t="shared" si="30"/>
        <v>1</v>
      </c>
      <c r="I18" s="364">
        <f t="shared" si="30"/>
        <v>0</v>
      </c>
      <c r="J18" s="364">
        <f t="shared" si="30"/>
        <v>2</v>
      </c>
      <c r="K18" s="364">
        <f t="shared" si="30"/>
        <v>0</v>
      </c>
      <c r="L18" s="364">
        <f t="shared" ref="L18" si="31">SUM(L17:L17)</f>
        <v>1</v>
      </c>
      <c r="M18" s="364">
        <f t="shared" si="30"/>
        <v>4</v>
      </c>
      <c r="N18" s="597">
        <f t="shared" ref="N18" si="32">SUM(N17:N17)</f>
        <v>2</v>
      </c>
      <c r="O18" s="364">
        <f t="shared" si="30"/>
        <v>1</v>
      </c>
      <c r="P18" s="364">
        <f t="shared" si="30"/>
        <v>0</v>
      </c>
      <c r="Q18" s="364">
        <f t="shared" si="30"/>
        <v>0</v>
      </c>
      <c r="R18" s="364">
        <f t="shared" si="30"/>
        <v>3</v>
      </c>
      <c r="S18" s="364">
        <f t="shared" si="30"/>
        <v>0</v>
      </c>
      <c r="T18" s="364">
        <f t="shared" si="30"/>
        <v>0</v>
      </c>
      <c r="U18" s="364">
        <f t="shared" si="30"/>
        <v>3</v>
      </c>
      <c r="V18" s="364">
        <f t="shared" si="30"/>
        <v>0</v>
      </c>
      <c r="W18" s="364">
        <f t="shared" si="30"/>
        <v>0</v>
      </c>
      <c r="X18" s="364">
        <f t="shared" si="30"/>
        <v>3</v>
      </c>
      <c r="Y18" s="364">
        <f t="shared" si="30"/>
        <v>0</v>
      </c>
      <c r="Z18" s="364">
        <f t="shared" si="30"/>
        <v>0</v>
      </c>
      <c r="AA18" s="364">
        <f t="shared" si="30"/>
        <v>3</v>
      </c>
      <c r="AB18" s="364">
        <f t="shared" si="30"/>
        <v>0</v>
      </c>
      <c r="AC18" s="364">
        <f t="shared" si="30"/>
        <v>0</v>
      </c>
      <c r="AD18" s="364">
        <f t="shared" si="30"/>
        <v>3</v>
      </c>
      <c r="AE18" s="364">
        <f t="shared" si="30"/>
        <v>0</v>
      </c>
      <c r="AF18" s="364">
        <f t="shared" si="30"/>
        <v>0</v>
      </c>
      <c r="AG18" s="364">
        <f t="shared" si="30"/>
        <v>3</v>
      </c>
      <c r="AH18" s="364">
        <f t="shared" si="30"/>
        <v>0</v>
      </c>
      <c r="AI18" s="364">
        <f t="shared" si="30"/>
        <v>0</v>
      </c>
      <c r="AJ18" s="364">
        <f t="shared" si="30"/>
        <v>4</v>
      </c>
      <c r="AK18" s="364">
        <f t="shared" si="30"/>
        <v>0</v>
      </c>
      <c r="AL18" s="364">
        <f t="shared" ref="AL18:BQ18" si="33">SUM(AL17:AL17)</f>
        <v>0</v>
      </c>
      <c r="AM18" s="364">
        <f t="shared" si="33"/>
        <v>4</v>
      </c>
      <c r="AN18" s="364">
        <f t="shared" si="33"/>
        <v>0</v>
      </c>
      <c r="AO18" s="364">
        <f t="shared" si="33"/>
        <v>0</v>
      </c>
      <c r="AP18" s="364">
        <f t="shared" si="33"/>
        <v>5</v>
      </c>
      <c r="AQ18" s="364">
        <f t="shared" si="33"/>
        <v>0</v>
      </c>
      <c r="AR18" s="364">
        <f t="shared" si="33"/>
        <v>0</v>
      </c>
      <c r="AS18" s="364">
        <f t="shared" si="33"/>
        <v>5</v>
      </c>
      <c r="AT18" s="364">
        <f t="shared" si="33"/>
        <v>0</v>
      </c>
      <c r="AU18" s="364">
        <f t="shared" si="33"/>
        <v>0</v>
      </c>
      <c r="AV18" s="364">
        <f t="shared" si="33"/>
        <v>5</v>
      </c>
      <c r="AW18" s="364">
        <f t="shared" si="33"/>
        <v>0</v>
      </c>
      <c r="AX18" s="364">
        <f t="shared" si="33"/>
        <v>0</v>
      </c>
      <c r="AY18" s="364">
        <f t="shared" si="33"/>
        <v>5</v>
      </c>
      <c r="AZ18" s="364">
        <f t="shared" si="33"/>
        <v>0</v>
      </c>
      <c r="BA18" s="364">
        <f t="shared" si="33"/>
        <v>0</v>
      </c>
      <c r="BB18" s="364">
        <f t="shared" si="33"/>
        <v>6</v>
      </c>
      <c r="BC18" s="364">
        <f t="shared" si="33"/>
        <v>0</v>
      </c>
      <c r="BD18" s="364">
        <f t="shared" si="33"/>
        <v>0</v>
      </c>
      <c r="BE18" s="364">
        <f t="shared" si="33"/>
        <v>6</v>
      </c>
      <c r="BF18" s="364">
        <f t="shared" si="33"/>
        <v>0</v>
      </c>
      <c r="BG18" s="364">
        <f t="shared" si="33"/>
        <v>0</v>
      </c>
      <c r="BH18" s="364">
        <f t="shared" si="33"/>
        <v>6</v>
      </c>
      <c r="BI18" s="364">
        <f t="shared" si="33"/>
        <v>0</v>
      </c>
      <c r="BJ18" s="364">
        <f t="shared" si="33"/>
        <v>0</v>
      </c>
      <c r="BK18" s="364">
        <f t="shared" si="33"/>
        <v>6</v>
      </c>
      <c r="BL18" s="364">
        <f t="shared" si="33"/>
        <v>0</v>
      </c>
      <c r="BM18" s="364">
        <f t="shared" si="33"/>
        <v>0</v>
      </c>
      <c r="BN18" s="364">
        <f t="shared" si="33"/>
        <v>7</v>
      </c>
      <c r="BO18" s="364">
        <f t="shared" si="33"/>
        <v>0</v>
      </c>
      <c r="BP18" s="364">
        <f t="shared" si="33"/>
        <v>0</v>
      </c>
      <c r="BQ18" s="364">
        <f t="shared" si="33"/>
        <v>7</v>
      </c>
      <c r="BR18" s="364">
        <f t="shared" ref="BR18:CK18" si="34">SUM(BR17:BR17)</f>
        <v>0</v>
      </c>
      <c r="BS18" s="364">
        <f t="shared" si="34"/>
        <v>0</v>
      </c>
      <c r="BT18" s="364">
        <f t="shared" si="34"/>
        <v>8</v>
      </c>
      <c r="BU18" s="364">
        <f t="shared" si="34"/>
        <v>0</v>
      </c>
      <c r="BV18" s="364">
        <f t="shared" si="34"/>
        <v>0</v>
      </c>
      <c r="BW18" s="364">
        <f t="shared" si="34"/>
        <v>8</v>
      </c>
      <c r="BX18" s="364">
        <f t="shared" si="34"/>
        <v>0</v>
      </c>
      <c r="BY18" s="364">
        <f t="shared" si="34"/>
        <v>0</v>
      </c>
      <c r="BZ18" s="364">
        <f t="shared" si="34"/>
        <v>8</v>
      </c>
      <c r="CA18" s="364">
        <f t="shared" si="34"/>
        <v>0</v>
      </c>
      <c r="CB18" s="364">
        <f t="shared" si="34"/>
        <v>0</v>
      </c>
      <c r="CC18" s="364">
        <f t="shared" si="34"/>
        <v>8</v>
      </c>
      <c r="CD18" s="364">
        <f t="shared" si="34"/>
        <v>0</v>
      </c>
      <c r="CE18" s="364">
        <f t="shared" si="34"/>
        <v>0</v>
      </c>
      <c r="CF18" s="364">
        <f t="shared" si="34"/>
        <v>9</v>
      </c>
      <c r="CG18" s="364">
        <f t="shared" si="34"/>
        <v>0</v>
      </c>
      <c r="CH18" s="364">
        <f t="shared" si="34"/>
        <v>0</v>
      </c>
      <c r="CI18" s="364">
        <f t="shared" si="34"/>
        <v>9</v>
      </c>
      <c r="CJ18" s="364">
        <f t="shared" si="34"/>
        <v>0</v>
      </c>
      <c r="CK18" s="364">
        <f t="shared" si="34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D30B-5EF6-4768-AE2C-72E11A796B48}">
  <sheetPr>
    <tabColor theme="9" tint="-0.249977111117893"/>
  </sheetPr>
  <dimension ref="C4:G55"/>
  <sheetViews>
    <sheetView topLeftCell="A19" workbookViewId="0">
      <selection activeCell="G40" sqref="G40"/>
    </sheetView>
  </sheetViews>
  <sheetFormatPr defaultRowHeight="14.4" x14ac:dyDescent="0.3"/>
  <cols>
    <col min="3" max="3" width="51.33203125" bestFit="1" customWidth="1"/>
  </cols>
  <sheetData>
    <row r="4" spans="3:7" x14ac:dyDescent="0.3">
      <c r="D4" t="s">
        <v>480</v>
      </c>
      <c r="E4" t="s">
        <v>481</v>
      </c>
      <c r="F4" t="s">
        <v>482</v>
      </c>
      <c r="G4" t="s">
        <v>485</v>
      </c>
    </row>
    <row r="5" spans="3:7" x14ac:dyDescent="0.3">
      <c r="C5" t="s">
        <v>244</v>
      </c>
      <c r="D5">
        <v>1</v>
      </c>
      <c r="E5" s="107">
        <v>0</v>
      </c>
      <c r="F5" s="107">
        <v>0</v>
      </c>
    </row>
    <row r="6" spans="3:7" x14ac:dyDescent="0.3">
      <c r="D6">
        <v>2</v>
      </c>
      <c r="E6" s="107">
        <v>0</v>
      </c>
      <c r="F6" s="107">
        <v>6.0269731703560328E-3</v>
      </c>
    </row>
    <row r="7" spans="3:7" x14ac:dyDescent="0.3">
      <c r="D7">
        <v>3</v>
      </c>
      <c r="E7" s="107">
        <v>0</v>
      </c>
      <c r="F7" s="107">
        <v>8.6200970005680751E-4</v>
      </c>
    </row>
    <row r="8" spans="3:7" x14ac:dyDescent="0.3">
      <c r="D8">
        <v>4</v>
      </c>
      <c r="E8" s="107">
        <v>3.6961861538461538E-2</v>
      </c>
      <c r="F8" s="107">
        <v>3.5724111915393354E-2</v>
      </c>
    </row>
    <row r="9" spans="3:7" x14ac:dyDescent="0.3">
      <c r="D9">
        <v>5</v>
      </c>
      <c r="E9" s="107">
        <v>2.7971076923076921E-3</v>
      </c>
      <c r="F9" s="107">
        <v>3.2247676458174541E-3</v>
      </c>
    </row>
    <row r="10" spans="3:7" x14ac:dyDescent="0.3">
      <c r="D10">
        <v>6</v>
      </c>
      <c r="E10" s="107">
        <v>0.12653803076923076</v>
      </c>
      <c r="F10" s="107">
        <v>0.14588488984970452</v>
      </c>
    </row>
    <row r="11" spans="3:7" x14ac:dyDescent="0.3">
      <c r="D11">
        <v>7</v>
      </c>
      <c r="E11" s="107">
        <v>0.22694461538461538</v>
      </c>
      <c r="F11" s="107">
        <v>0.26162102591357245</v>
      </c>
    </row>
    <row r="12" spans="3:7" x14ac:dyDescent="0.3">
      <c r="D12">
        <v>8</v>
      </c>
      <c r="E12" s="107">
        <v>0.2067583825641027</v>
      </c>
      <c r="F12" s="107">
        <v>0.17628477934218939</v>
      </c>
    </row>
    <row r="13" spans="3:7" x14ac:dyDescent="0.3">
      <c r="D13">
        <v>9</v>
      </c>
      <c r="E13" s="107">
        <v>0.11632586776175244</v>
      </c>
      <c r="F13" s="107">
        <v>0.11632586776175244</v>
      </c>
    </row>
    <row r="14" spans="3:7" x14ac:dyDescent="0.3">
      <c r="D14">
        <v>10</v>
      </c>
      <c r="E14" s="107">
        <v>2.4353973392917717E-2</v>
      </c>
      <c r="F14" s="107">
        <v>2.4353973392917717E-2</v>
      </c>
    </row>
    <row r="15" spans="3:7" x14ac:dyDescent="0.3">
      <c r="D15">
        <v>11</v>
      </c>
      <c r="E15" s="107">
        <v>0.18650287560050682</v>
      </c>
      <c r="F15" s="107">
        <v>0.18650287560050682</v>
      </c>
    </row>
    <row r="16" spans="3:7" x14ac:dyDescent="0.3">
      <c r="D16">
        <v>12</v>
      </c>
      <c r="E16" s="107">
        <v>7.281728570773302E-2</v>
      </c>
      <c r="F16" s="107">
        <v>4.3188725707733022E-2</v>
      </c>
    </row>
    <row r="18" spans="3:6" x14ac:dyDescent="0.3">
      <c r="C18" t="s">
        <v>484</v>
      </c>
      <c r="D18">
        <v>1</v>
      </c>
      <c r="E18" s="107">
        <v>0</v>
      </c>
    </row>
    <row r="19" spans="3:6" x14ac:dyDescent="0.3">
      <c r="D19">
        <v>2</v>
      </c>
      <c r="E19" s="107">
        <v>6.0269731703560328E-3</v>
      </c>
    </row>
    <row r="20" spans="3:6" x14ac:dyDescent="0.3">
      <c r="D20">
        <v>3</v>
      </c>
      <c r="E20" s="107">
        <v>8.6200970005680751E-4</v>
      </c>
    </row>
    <row r="21" spans="3:6" x14ac:dyDescent="0.3">
      <c r="D21">
        <v>4</v>
      </c>
      <c r="E21" s="107">
        <v>3.5724111915393354E-2</v>
      </c>
    </row>
    <row r="22" spans="3:6" x14ac:dyDescent="0.3">
      <c r="D22">
        <v>5</v>
      </c>
      <c r="E22" s="107">
        <v>3.2247676458174541E-3</v>
      </c>
    </row>
    <row r="23" spans="3:6" x14ac:dyDescent="0.3">
      <c r="D23">
        <v>6</v>
      </c>
      <c r="E23" s="107">
        <v>0.14588488984970452</v>
      </c>
    </row>
    <row r="24" spans="3:6" x14ac:dyDescent="0.3">
      <c r="D24">
        <v>7</v>
      </c>
      <c r="E24" s="107">
        <v>0.26162102591357245</v>
      </c>
    </row>
    <row r="25" spans="3:6" x14ac:dyDescent="0.3">
      <c r="D25">
        <v>8</v>
      </c>
      <c r="E25" s="107">
        <v>0.17628477934218939</v>
      </c>
    </row>
    <row r="26" spans="3:6" x14ac:dyDescent="0.3">
      <c r="D26">
        <v>9</v>
      </c>
      <c r="E26" s="107">
        <v>0.11632586776175244</v>
      </c>
    </row>
    <row r="27" spans="3:6" x14ac:dyDescent="0.3">
      <c r="D27">
        <v>10</v>
      </c>
      <c r="E27" s="107">
        <v>2.4353973392917717E-2</v>
      </c>
    </row>
    <row r="28" spans="3:6" x14ac:dyDescent="0.3">
      <c r="D28">
        <v>11</v>
      </c>
      <c r="E28" s="107">
        <v>0.18650287560050682</v>
      </c>
    </row>
    <row r="29" spans="3:6" x14ac:dyDescent="0.3">
      <c r="D29">
        <v>12</v>
      </c>
      <c r="E29" s="107">
        <v>4.3188725707733022E-2</v>
      </c>
    </row>
    <row r="30" spans="3:6" x14ac:dyDescent="0.3">
      <c r="E30" s="107"/>
    </row>
    <row r="31" spans="3:6" x14ac:dyDescent="0.3">
      <c r="C31" t="s">
        <v>483</v>
      </c>
      <c r="D31">
        <v>1</v>
      </c>
      <c r="E31" s="107">
        <v>0.1</v>
      </c>
      <c r="F31" s="107">
        <v>0.1</v>
      </c>
    </row>
    <row r="32" spans="3:6" x14ac:dyDescent="0.3">
      <c r="D32">
        <v>2</v>
      </c>
      <c r="E32" s="107">
        <v>0</v>
      </c>
      <c r="F32" s="107">
        <v>0</v>
      </c>
    </row>
    <row r="33" spans="3:6" x14ac:dyDescent="0.3">
      <c r="D33">
        <v>3</v>
      </c>
      <c r="E33" s="107">
        <v>0</v>
      </c>
      <c r="F33" s="107">
        <v>0</v>
      </c>
    </row>
    <row r="34" spans="3:6" x14ac:dyDescent="0.3">
      <c r="D34">
        <v>4</v>
      </c>
      <c r="E34" s="107">
        <v>0</v>
      </c>
      <c r="F34" s="107">
        <v>0</v>
      </c>
    </row>
    <row r="35" spans="3:6" x14ac:dyDescent="0.3">
      <c r="D35">
        <v>5</v>
      </c>
      <c r="E35" s="107">
        <v>0</v>
      </c>
      <c r="F35" s="107">
        <v>0.2</v>
      </c>
    </row>
    <row r="36" spans="3:6" x14ac:dyDescent="0.3">
      <c r="D36">
        <v>6</v>
      </c>
      <c r="E36" s="107">
        <v>0.2</v>
      </c>
      <c r="F36" s="107">
        <v>0.25</v>
      </c>
    </row>
    <row r="37" spans="3:6" x14ac:dyDescent="0.3">
      <c r="D37">
        <v>7</v>
      </c>
      <c r="E37" s="107">
        <v>0.25</v>
      </c>
      <c r="F37" s="107">
        <v>0.15</v>
      </c>
    </row>
    <row r="38" spans="3:6" x14ac:dyDescent="0.3">
      <c r="D38">
        <v>8</v>
      </c>
      <c r="E38" s="107">
        <v>0.15</v>
      </c>
      <c r="F38" s="107">
        <v>0</v>
      </c>
    </row>
    <row r="39" spans="3:6" x14ac:dyDescent="0.3">
      <c r="D39">
        <v>9</v>
      </c>
      <c r="E39" s="107">
        <v>0</v>
      </c>
      <c r="F39" s="107">
        <v>0.15</v>
      </c>
    </row>
    <row r="40" spans="3:6" x14ac:dyDescent="0.3">
      <c r="D40">
        <v>10</v>
      </c>
      <c r="E40" s="107">
        <v>0.15</v>
      </c>
      <c r="F40" s="107">
        <v>0</v>
      </c>
    </row>
    <row r="41" spans="3:6" x14ac:dyDescent="0.3">
      <c r="D41">
        <v>11</v>
      </c>
      <c r="E41" s="107">
        <v>0.15</v>
      </c>
      <c r="F41" s="107">
        <v>0.15</v>
      </c>
    </row>
    <row r="42" spans="3:6" x14ac:dyDescent="0.3">
      <c r="D42">
        <v>12</v>
      </c>
      <c r="E42" s="107">
        <v>0</v>
      </c>
      <c r="F42" s="107">
        <v>0</v>
      </c>
    </row>
    <row r="44" spans="3:6" x14ac:dyDescent="0.3">
      <c r="C44" t="s">
        <v>491</v>
      </c>
      <c r="D44">
        <v>1</v>
      </c>
      <c r="E44" s="107">
        <v>0.33</v>
      </c>
    </row>
    <row r="45" spans="3:6" x14ac:dyDescent="0.3">
      <c r="D45">
        <v>2</v>
      </c>
      <c r="E45" s="107">
        <v>0.4</v>
      </c>
    </row>
    <row r="46" spans="3:6" x14ac:dyDescent="0.3">
      <c r="D46">
        <v>3</v>
      </c>
      <c r="E46" s="107">
        <v>0.27</v>
      </c>
    </row>
    <row r="47" spans="3:6" x14ac:dyDescent="0.3">
      <c r="E47" s="107"/>
    </row>
    <row r="48" spans="3:6" x14ac:dyDescent="0.3">
      <c r="E48" s="107"/>
    </row>
    <row r="49" spans="5:5" x14ac:dyDescent="0.3">
      <c r="E49" s="107"/>
    </row>
    <row r="50" spans="5:5" x14ac:dyDescent="0.3">
      <c r="E50" s="107"/>
    </row>
    <row r="51" spans="5:5" x14ac:dyDescent="0.3">
      <c r="E51" s="107"/>
    </row>
    <row r="52" spans="5:5" x14ac:dyDescent="0.3">
      <c r="E52" s="107"/>
    </row>
    <row r="53" spans="5:5" x14ac:dyDescent="0.3">
      <c r="E53" s="107"/>
    </row>
    <row r="54" spans="5:5" x14ac:dyDescent="0.3">
      <c r="E54" s="107"/>
    </row>
    <row r="55" spans="5:5" x14ac:dyDescent="0.3">
      <c r="E55" s="107"/>
    </row>
  </sheetData>
  <phoneticPr fontId="3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1:FB8"/>
  <sheetViews>
    <sheetView workbookViewId="0">
      <pane xSplit="3" ySplit="4" topLeftCell="L5" activePane="bottomRight" state="frozen"/>
      <selection activeCell="S7" sqref="S7"/>
      <selection pane="topRight" activeCell="S7" sqref="S7"/>
      <selection pane="bottomLeft" activeCell="S7" sqref="S7"/>
      <selection pane="bottomRight" activeCell="S7" sqref="S7"/>
    </sheetView>
  </sheetViews>
  <sheetFormatPr defaultRowHeight="14.4" x14ac:dyDescent="0.3"/>
  <cols>
    <col min="3" max="3" width="7.5546875" bestFit="1" customWidth="1"/>
    <col min="4" max="4" width="0.6640625" customWidth="1"/>
    <col min="8" max="11" width="9.5546875" bestFit="1" customWidth="1"/>
    <col min="12" max="14" width="10.5546875" bestFit="1" customWidth="1"/>
    <col min="15" max="23" width="9.5546875" bestFit="1" customWidth="1"/>
    <col min="24" max="26" width="10.5546875" bestFit="1" customWidth="1"/>
    <col min="27" max="35" width="9.5546875" bestFit="1" customWidth="1"/>
    <col min="36" max="38" width="10.5546875" bestFit="1" customWidth="1"/>
    <col min="39" max="47" width="9.5546875" bestFit="1" customWidth="1"/>
    <col min="48" max="50" width="10.5546875" bestFit="1" customWidth="1"/>
    <col min="51" max="59" width="9.5546875" bestFit="1" customWidth="1"/>
    <col min="60" max="62" width="10.5546875" bestFit="1" customWidth="1"/>
    <col min="63" max="71" width="9.5546875" bestFit="1" customWidth="1"/>
    <col min="72" max="74" width="10.5546875" bestFit="1" customWidth="1"/>
    <col min="75" max="83" width="9.5546875" bestFit="1" customWidth="1"/>
    <col min="84" max="86" width="10.5546875" bestFit="1" customWidth="1"/>
    <col min="87" max="95" width="9.5546875" bestFit="1" customWidth="1"/>
    <col min="96" max="98" width="10.5546875" bestFit="1" customWidth="1"/>
    <col min="99" max="107" width="9.5546875" bestFit="1" customWidth="1"/>
    <col min="108" max="110" width="10.5546875" bestFit="1" customWidth="1"/>
    <col min="111" max="119" width="9.5546875" bestFit="1" customWidth="1"/>
    <col min="120" max="122" width="10.5546875" bestFit="1" customWidth="1"/>
    <col min="123" max="131" width="9.5546875" bestFit="1" customWidth="1"/>
    <col min="132" max="134" width="10.5546875" bestFit="1" customWidth="1"/>
    <col min="135" max="143" width="9.5546875" bestFit="1" customWidth="1"/>
    <col min="144" max="146" width="10.5546875" bestFit="1" customWidth="1"/>
    <col min="147" max="155" width="9.5546875" bestFit="1" customWidth="1"/>
    <col min="156" max="158" width="10.5546875" bestFit="1" customWidth="1"/>
  </cols>
  <sheetData>
    <row r="1" spans="2:158" x14ac:dyDescent="0.3">
      <c r="E1" s="16">
        <f t="shared" ref="E1:AZ1" si="0">YEAR(E4)</f>
        <v>2023</v>
      </c>
      <c r="F1" s="16">
        <f t="shared" si="0"/>
        <v>2023</v>
      </c>
      <c r="G1" s="16">
        <f t="shared" si="0"/>
        <v>2023</v>
      </c>
      <c r="H1" s="16">
        <f t="shared" si="0"/>
        <v>2023</v>
      </c>
      <c r="I1" s="16">
        <f t="shared" si="0"/>
        <v>2023</v>
      </c>
      <c r="J1" s="16">
        <f t="shared" si="0"/>
        <v>2023</v>
      </c>
      <c r="K1" s="16">
        <f t="shared" si="0"/>
        <v>2023</v>
      </c>
      <c r="L1" s="16">
        <f t="shared" si="0"/>
        <v>2023</v>
      </c>
      <c r="M1" s="16">
        <f t="shared" si="0"/>
        <v>2023</v>
      </c>
      <c r="N1" s="16">
        <f t="shared" si="0"/>
        <v>2023</v>
      </c>
      <c r="O1" s="16">
        <f t="shared" si="0"/>
        <v>2023</v>
      </c>
      <c r="P1" s="16">
        <f t="shared" si="0"/>
        <v>2023</v>
      </c>
      <c r="Q1" s="159">
        <f t="shared" si="0"/>
        <v>2024</v>
      </c>
      <c r="R1" s="16">
        <f t="shared" si="0"/>
        <v>2024</v>
      </c>
      <c r="S1" s="16">
        <f t="shared" si="0"/>
        <v>2024</v>
      </c>
      <c r="T1" s="16">
        <f t="shared" si="0"/>
        <v>2024</v>
      </c>
      <c r="U1" s="16">
        <f t="shared" si="0"/>
        <v>2024</v>
      </c>
      <c r="V1" s="16">
        <f t="shared" si="0"/>
        <v>2024</v>
      </c>
      <c r="W1" s="16">
        <f t="shared" si="0"/>
        <v>2024</v>
      </c>
      <c r="X1" s="16">
        <f t="shared" si="0"/>
        <v>2024</v>
      </c>
      <c r="Y1" s="16">
        <f t="shared" si="0"/>
        <v>2024</v>
      </c>
      <c r="Z1" s="16">
        <f t="shared" si="0"/>
        <v>2024</v>
      </c>
      <c r="AA1" s="16">
        <f t="shared" si="0"/>
        <v>2024</v>
      </c>
      <c r="AB1" s="16">
        <f t="shared" si="0"/>
        <v>2024</v>
      </c>
      <c r="AC1" s="16">
        <f t="shared" si="0"/>
        <v>2025</v>
      </c>
      <c r="AD1" s="16">
        <f t="shared" si="0"/>
        <v>2025</v>
      </c>
      <c r="AE1" s="16">
        <f t="shared" si="0"/>
        <v>2025</v>
      </c>
      <c r="AF1" s="16">
        <f t="shared" si="0"/>
        <v>2025</v>
      </c>
      <c r="AG1" s="16">
        <f t="shared" si="0"/>
        <v>2025</v>
      </c>
      <c r="AH1" s="16">
        <f t="shared" si="0"/>
        <v>2025</v>
      </c>
      <c r="AI1" s="16">
        <f t="shared" si="0"/>
        <v>2025</v>
      </c>
      <c r="AJ1" s="16">
        <f t="shared" si="0"/>
        <v>2025</v>
      </c>
      <c r="AK1" s="16">
        <f t="shared" si="0"/>
        <v>2025</v>
      </c>
      <c r="AL1" s="16">
        <f t="shared" si="0"/>
        <v>2025</v>
      </c>
      <c r="AM1" s="16">
        <f t="shared" si="0"/>
        <v>2025</v>
      </c>
      <c r="AN1" s="16">
        <f t="shared" si="0"/>
        <v>2025</v>
      </c>
      <c r="AO1" s="16">
        <f t="shared" si="0"/>
        <v>2026</v>
      </c>
      <c r="AP1" s="16">
        <f t="shared" si="0"/>
        <v>2026</v>
      </c>
      <c r="AQ1" s="16">
        <f t="shared" si="0"/>
        <v>2026</v>
      </c>
      <c r="AR1" s="16">
        <f t="shared" si="0"/>
        <v>2026</v>
      </c>
      <c r="AS1" s="16">
        <f t="shared" si="0"/>
        <v>2026</v>
      </c>
      <c r="AT1" s="16">
        <f t="shared" si="0"/>
        <v>2026</v>
      </c>
      <c r="AU1" s="16">
        <f t="shared" si="0"/>
        <v>2026</v>
      </c>
      <c r="AV1" s="16">
        <f t="shared" si="0"/>
        <v>2026</v>
      </c>
      <c r="AW1" s="16">
        <f t="shared" si="0"/>
        <v>2026</v>
      </c>
      <c r="AX1" s="16">
        <f t="shared" si="0"/>
        <v>2026</v>
      </c>
      <c r="AY1" s="16">
        <f t="shared" si="0"/>
        <v>2026</v>
      </c>
      <c r="AZ1" s="16">
        <f t="shared" si="0"/>
        <v>2026</v>
      </c>
    </row>
    <row r="2" spans="2:158" x14ac:dyDescent="0.3">
      <c r="E2" s="16" t="s">
        <v>187</v>
      </c>
      <c r="F2" s="16" t="s">
        <v>187</v>
      </c>
      <c r="G2" s="16" t="s">
        <v>189</v>
      </c>
      <c r="H2" s="16" t="s">
        <v>188</v>
      </c>
      <c r="I2" s="16" t="s">
        <v>188</v>
      </c>
      <c r="J2" s="16" t="s">
        <v>189</v>
      </c>
      <c r="K2" s="16" t="s">
        <v>188</v>
      </c>
      <c r="L2" s="16" t="s">
        <v>189</v>
      </c>
      <c r="M2" s="16" t="s">
        <v>187</v>
      </c>
      <c r="N2" s="16" t="s">
        <v>187</v>
      </c>
      <c r="O2" s="16" t="s">
        <v>189</v>
      </c>
      <c r="P2" s="16" t="s">
        <v>188</v>
      </c>
      <c r="Q2" s="159" t="str">
        <f>+E2</f>
        <v>Peak</v>
      </c>
      <c r="R2" s="16" t="str">
        <f t="shared" ref="R2:AZ2" si="1">+F2</f>
        <v>Peak</v>
      </c>
      <c r="S2" s="16" t="str">
        <f t="shared" si="1"/>
        <v>Shoulder</v>
      </c>
      <c r="T2" s="16" t="str">
        <f t="shared" si="1"/>
        <v>Trough</v>
      </c>
      <c r="U2" s="16" t="str">
        <f t="shared" si="1"/>
        <v>Trough</v>
      </c>
      <c r="V2" s="16" t="str">
        <f t="shared" si="1"/>
        <v>Shoulder</v>
      </c>
      <c r="W2" s="16" t="str">
        <f t="shared" si="1"/>
        <v>Trough</v>
      </c>
      <c r="X2" s="16" t="str">
        <f t="shared" si="1"/>
        <v>Shoulder</v>
      </c>
      <c r="Y2" s="16" t="str">
        <f t="shared" si="1"/>
        <v>Peak</v>
      </c>
      <c r="Z2" s="16" t="str">
        <f t="shared" si="1"/>
        <v>Peak</v>
      </c>
      <c r="AA2" s="16" t="str">
        <f t="shared" si="1"/>
        <v>Shoulder</v>
      </c>
      <c r="AB2" s="16" t="str">
        <f t="shared" si="1"/>
        <v>Trough</v>
      </c>
      <c r="AC2" s="16" t="str">
        <f t="shared" si="1"/>
        <v>Peak</v>
      </c>
      <c r="AD2" s="16" t="str">
        <f t="shared" si="1"/>
        <v>Peak</v>
      </c>
      <c r="AE2" s="16" t="str">
        <f t="shared" si="1"/>
        <v>Shoulder</v>
      </c>
      <c r="AF2" s="16" t="str">
        <f t="shared" si="1"/>
        <v>Trough</v>
      </c>
      <c r="AG2" s="16" t="str">
        <f t="shared" si="1"/>
        <v>Trough</v>
      </c>
      <c r="AH2" s="16" t="str">
        <f t="shared" si="1"/>
        <v>Shoulder</v>
      </c>
      <c r="AI2" s="16" t="str">
        <f t="shared" si="1"/>
        <v>Trough</v>
      </c>
      <c r="AJ2" s="16" t="str">
        <f t="shared" si="1"/>
        <v>Shoulder</v>
      </c>
      <c r="AK2" s="16" t="str">
        <f t="shared" si="1"/>
        <v>Peak</v>
      </c>
      <c r="AL2" s="16" t="str">
        <f t="shared" si="1"/>
        <v>Peak</v>
      </c>
      <c r="AM2" s="16" t="str">
        <f t="shared" si="1"/>
        <v>Shoulder</v>
      </c>
      <c r="AN2" s="16" t="str">
        <f t="shared" si="1"/>
        <v>Trough</v>
      </c>
      <c r="AO2" s="16" t="str">
        <f t="shared" si="1"/>
        <v>Peak</v>
      </c>
      <c r="AP2" s="16" t="str">
        <f t="shared" si="1"/>
        <v>Peak</v>
      </c>
      <c r="AQ2" s="16" t="str">
        <f t="shared" si="1"/>
        <v>Shoulder</v>
      </c>
      <c r="AR2" s="16" t="str">
        <f t="shared" si="1"/>
        <v>Trough</v>
      </c>
      <c r="AS2" s="16" t="str">
        <f t="shared" si="1"/>
        <v>Trough</v>
      </c>
      <c r="AT2" s="16" t="str">
        <f t="shared" si="1"/>
        <v>Shoulder</v>
      </c>
      <c r="AU2" s="16" t="str">
        <f t="shared" si="1"/>
        <v>Trough</v>
      </c>
      <c r="AV2" s="16" t="str">
        <f t="shared" si="1"/>
        <v>Shoulder</v>
      </c>
      <c r="AW2" s="16" t="str">
        <f t="shared" si="1"/>
        <v>Peak</v>
      </c>
      <c r="AX2" s="16" t="str">
        <f t="shared" si="1"/>
        <v>Peak</v>
      </c>
      <c r="AY2" s="16" t="str">
        <f t="shared" si="1"/>
        <v>Shoulder</v>
      </c>
      <c r="AZ2" s="16" t="str">
        <f t="shared" si="1"/>
        <v>Trough</v>
      </c>
    </row>
    <row r="3" spans="2:158" x14ac:dyDescent="0.3">
      <c r="E3" s="138" t="str">
        <f>+"Q1 "&amp;E1</f>
        <v>Q1 2023</v>
      </c>
      <c r="F3" s="138" t="str">
        <f>+"Q1 "&amp;F1</f>
        <v>Q1 2023</v>
      </c>
      <c r="G3" s="138" t="str">
        <f>+"Q1 "&amp;G1</f>
        <v>Q1 2023</v>
      </c>
      <c r="H3" s="138" t="str">
        <f>+"Q2 "&amp;H1</f>
        <v>Q2 2023</v>
      </c>
      <c r="I3" s="138" t="str">
        <f>+"Q2 "&amp;I1</f>
        <v>Q2 2023</v>
      </c>
      <c r="J3" s="138" t="str">
        <f>+"Q2 "&amp;J1</f>
        <v>Q2 2023</v>
      </c>
      <c r="K3" s="138" t="str">
        <f>+"Q3 "&amp;K1</f>
        <v>Q3 2023</v>
      </c>
      <c r="L3" s="138" t="str">
        <f>+"Q3 "&amp;L1</f>
        <v>Q3 2023</v>
      </c>
      <c r="M3" s="138" t="str">
        <f>+"Q3 "&amp;M1</f>
        <v>Q3 2023</v>
      </c>
      <c r="N3" s="138" t="str">
        <f>+"Q4 "&amp;N1</f>
        <v>Q4 2023</v>
      </c>
      <c r="O3" s="138" t="str">
        <f>+"Q4 "&amp;O1</f>
        <v>Q4 2023</v>
      </c>
      <c r="P3" s="138" t="str">
        <f>+"Q4 "&amp;P1</f>
        <v>Q4 2023</v>
      </c>
      <c r="Q3" s="160" t="str">
        <f>+"Q1 "&amp;Q1</f>
        <v>Q1 2024</v>
      </c>
      <c r="R3" s="138" t="str">
        <f>+"Q1 "&amp;R1</f>
        <v>Q1 2024</v>
      </c>
      <c r="S3" s="138" t="str">
        <f>+"Q1 "&amp;S1</f>
        <v>Q1 2024</v>
      </c>
      <c r="T3" s="138" t="str">
        <f>+"Q2 "&amp;T1</f>
        <v>Q2 2024</v>
      </c>
      <c r="U3" s="138" t="str">
        <f>+"Q2 "&amp;U1</f>
        <v>Q2 2024</v>
      </c>
      <c r="V3" s="138" t="str">
        <f>+"Q2 "&amp;V1</f>
        <v>Q2 2024</v>
      </c>
      <c r="W3" s="138" t="str">
        <f>+"Q3 "&amp;W1</f>
        <v>Q3 2024</v>
      </c>
      <c r="X3" s="138" t="str">
        <f>+"Q3 "&amp;X1</f>
        <v>Q3 2024</v>
      </c>
      <c r="Y3" s="138" t="str">
        <f>+"Q3 "&amp;Y1</f>
        <v>Q3 2024</v>
      </c>
      <c r="Z3" s="138" t="str">
        <f>+"Q4 "&amp;Z1</f>
        <v>Q4 2024</v>
      </c>
      <c r="AA3" s="138" t="str">
        <f>+"Q4 "&amp;AA1</f>
        <v>Q4 2024</v>
      </c>
      <c r="AB3" s="138" t="str">
        <f>+"Q4 "&amp;AB1</f>
        <v>Q4 2024</v>
      </c>
      <c r="AC3" s="138" t="str">
        <f>+"Q1 "&amp;AC1</f>
        <v>Q1 2025</v>
      </c>
      <c r="AD3" s="138" t="str">
        <f>+"Q1 "&amp;AD1</f>
        <v>Q1 2025</v>
      </c>
      <c r="AE3" s="138" t="str">
        <f>+"Q1 "&amp;AE1</f>
        <v>Q1 2025</v>
      </c>
      <c r="AF3" s="138" t="str">
        <f>+"Q2 "&amp;AF1</f>
        <v>Q2 2025</v>
      </c>
      <c r="AG3" s="138" t="str">
        <f>+"Q2 "&amp;AG1</f>
        <v>Q2 2025</v>
      </c>
      <c r="AH3" s="138" t="str">
        <f>+"Q2 "&amp;AH1</f>
        <v>Q2 2025</v>
      </c>
      <c r="AI3" s="138" t="str">
        <f>+"Q3 "&amp;AI1</f>
        <v>Q3 2025</v>
      </c>
      <c r="AJ3" s="138" t="str">
        <f>+"Q3 "&amp;AJ1</f>
        <v>Q3 2025</v>
      </c>
      <c r="AK3" s="138" t="str">
        <f>+"Q3 "&amp;AK1</f>
        <v>Q3 2025</v>
      </c>
      <c r="AL3" s="138" t="str">
        <f>+"Q4 "&amp;AL1</f>
        <v>Q4 2025</v>
      </c>
      <c r="AM3" s="138" t="str">
        <f>+"Q4 "&amp;AM1</f>
        <v>Q4 2025</v>
      </c>
      <c r="AN3" s="138" t="str">
        <f>+"Q4 "&amp;AN1</f>
        <v>Q4 2025</v>
      </c>
      <c r="AO3" s="138" t="str">
        <f>+"Q1 "&amp;AO1</f>
        <v>Q1 2026</v>
      </c>
      <c r="AP3" s="138" t="str">
        <f>+"Q1 "&amp;AP1</f>
        <v>Q1 2026</v>
      </c>
      <c r="AQ3" s="138" t="str">
        <f>+"Q1 "&amp;AQ1</f>
        <v>Q1 2026</v>
      </c>
      <c r="AR3" s="138" t="str">
        <f>+"Q2 "&amp;AR1</f>
        <v>Q2 2026</v>
      </c>
      <c r="AS3" s="138" t="str">
        <f>+"Q2 "&amp;AS1</f>
        <v>Q2 2026</v>
      </c>
      <c r="AT3" s="138" t="str">
        <f>+"Q2 "&amp;AT1</f>
        <v>Q2 2026</v>
      </c>
      <c r="AU3" s="138" t="str">
        <f>+"Q3 "&amp;AU1</f>
        <v>Q3 2026</v>
      </c>
      <c r="AV3" s="138" t="str">
        <f>+"Q3 "&amp;AV1</f>
        <v>Q3 2026</v>
      </c>
      <c r="AW3" s="138" t="str">
        <f>+"Q3 "&amp;AW1</f>
        <v>Q3 2026</v>
      </c>
      <c r="AX3" s="138" t="str">
        <f>+"Q4 "&amp;AX1</f>
        <v>Q4 2026</v>
      </c>
      <c r="AY3" s="138" t="str">
        <f>+"Q4 "&amp;AY1</f>
        <v>Q4 2026</v>
      </c>
      <c r="AZ3" s="138" t="str">
        <f>+"Q4 "&amp;AZ1</f>
        <v>Q4 2026</v>
      </c>
    </row>
    <row r="4" spans="2:158" ht="15" thickBot="1" x14ac:dyDescent="0.35">
      <c r="E4" s="136">
        <v>44957</v>
      </c>
      <c r="F4" s="20">
        <v>44985</v>
      </c>
      <c r="G4" s="20">
        <v>45016</v>
      </c>
      <c r="H4" s="20">
        <v>45046</v>
      </c>
      <c r="I4" s="20">
        <v>45077</v>
      </c>
      <c r="J4" s="20">
        <v>45107</v>
      </c>
      <c r="K4" s="20">
        <v>45138</v>
      </c>
      <c r="L4" s="20">
        <v>45169</v>
      </c>
      <c r="M4" s="20">
        <v>45199</v>
      </c>
      <c r="N4" s="20">
        <v>45230</v>
      </c>
      <c r="O4" s="20">
        <v>45260</v>
      </c>
      <c r="P4" s="20">
        <v>45291</v>
      </c>
      <c r="Q4" s="161">
        <v>45322</v>
      </c>
      <c r="R4" s="20">
        <v>45351</v>
      </c>
      <c r="S4" s="20">
        <v>45382</v>
      </c>
      <c r="T4" s="20">
        <v>45412</v>
      </c>
      <c r="U4" s="20">
        <v>45443</v>
      </c>
      <c r="V4" s="20">
        <v>45473</v>
      </c>
      <c r="W4" s="20">
        <v>45504</v>
      </c>
      <c r="X4" s="20">
        <v>45535</v>
      </c>
      <c r="Y4" s="20">
        <v>45565</v>
      </c>
      <c r="Z4" s="20">
        <v>45596</v>
      </c>
      <c r="AA4" s="20">
        <v>45626</v>
      </c>
      <c r="AB4" s="20">
        <v>45657</v>
      </c>
      <c r="AC4" s="20">
        <v>45688</v>
      </c>
      <c r="AD4" s="20">
        <v>45716</v>
      </c>
      <c r="AE4" s="20">
        <v>45747</v>
      </c>
      <c r="AF4" s="20">
        <v>45777</v>
      </c>
      <c r="AG4" s="20">
        <v>45808</v>
      </c>
      <c r="AH4" s="20">
        <v>45838</v>
      </c>
      <c r="AI4" s="20">
        <v>45869</v>
      </c>
      <c r="AJ4" s="20">
        <v>45900</v>
      </c>
      <c r="AK4" s="20">
        <v>45930</v>
      </c>
      <c r="AL4" s="20">
        <v>45961</v>
      </c>
      <c r="AM4" s="20">
        <v>45991</v>
      </c>
      <c r="AN4" s="20">
        <v>46022</v>
      </c>
      <c r="AO4" s="20">
        <v>46053</v>
      </c>
      <c r="AP4" s="20">
        <v>46081</v>
      </c>
      <c r="AQ4" s="20">
        <v>46112</v>
      </c>
      <c r="AR4" s="20">
        <v>46142</v>
      </c>
      <c r="AS4" s="20">
        <v>46173</v>
      </c>
      <c r="AT4" s="20">
        <v>46203</v>
      </c>
      <c r="AU4" s="20">
        <v>46234</v>
      </c>
      <c r="AV4" s="20">
        <v>46265</v>
      </c>
      <c r="AW4" s="20">
        <v>46295</v>
      </c>
      <c r="AX4" s="20">
        <v>46326</v>
      </c>
      <c r="AY4" s="20">
        <v>46356</v>
      </c>
      <c r="AZ4" s="20">
        <v>46387</v>
      </c>
    </row>
    <row r="5" spans="2:158" x14ac:dyDescent="0.3"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  <c r="ER5" s="145"/>
      <c r="ES5" s="145"/>
      <c r="ET5" s="145"/>
      <c r="EU5" s="145"/>
      <c r="EV5" s="145"/>
      <c r="EW5" s="145"/>
      <c r="EX5" s="145"/>
      <c r="EY5" s="145"/>
      <c r="EZ5" s="145"/>
      <c r="FA5" s="145"/>
      <c r="FB5" s="145"/>
    </row>
    <row r="6" spans="2:158" x14ac:dyDescent="0.3">
      <c r="B6" t="s">
        <v>208</v>
      </c>
      <c r="C6" t="s">
        <v>209</v>
      </c>
    </row>
    <row r="7" spans="2:158" x14ac:dyDescent="0.3">
      <c r="B7" t="s">
        <v>285</v>
      </c>
      <c r="C7" t="s">
        <v>287</v>
      </c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 t="b">
        <f>+IF(S3&lt;&gt;R3, 'Monthly Detail'!AA1)</f>
        <v>0</v>
      </c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04"/>
      <c r="BP7" s="204"/>
      <c r="BQ7" s="204"/>
      <c r="BR7" s="204"/>
      <c r="BS7" s="204"/>
      <c r="BT7" s="204"/>
      <c r="BU7" s="204"/>
      <c r="BV7" s="204"/>
      <c r="BW7" s="204"/>
      <c r="BX7" s="204"/>
      <c r="BY7" s="204"/>
      <c r="BZ7" s="204"/>
      <c r="CA7" s="204"/>
      <c r="CB7" s="204"/>
      <c r="CC7" s="204"/>
      <c r="CD7" s="204"/>
      <c r="CE7" s="204"/>
      <c r="CF7" s="204"/>
      <c r="CG7" s="204"/>
      <c r="CH7" s="204"/>
      <c r="CI7" s="204"/>
      <c r="CJ7" s="204"/>
      <c r="CK7" s="204"/>
      <c r="CL7" s="204"/>
      <c r="CM7" s="204"/>
      <c r="CN7" s="204"/>
      <c r="CO7" s="204"/>
      <c r="CP7" s="204"/>
      <c r="CQ7" s="204"/>
      <c r="CR7" s="204"/>
      <c r="CS7" s="204"/>
      <c r="CT7" s="204"/>
      <c r="CU7" s="204"/>
      <c r="CV7" s="204"/>
      <c r="CW7" s="204"/>
      <c r="CX7" s="204"/>
      <c r="CY7" s="204"/>
      <c r="CZ7" s="204"/>
      <c r="DA7" s="204"/>
      <c r="DB7" s="204"/>
      <c r="DC7" s="204"/>
      <c r="DD7" s="204"/>
      <c r="DE7" s="204"/>
      <c r="DF7" s="204"/>
      <c r="DG7" s="204"/>
      <c r="DH7" s="204"/>
      <c r="DI7" s="204"/>
      <c r="DJ7" s="204"/>
      <c r="DK7" s="204"/>
      <c r="DL7" s="204"/>
      <c r="DM7" s="204"/>
      <c r="DN7" s="204"/>
      <c r="DO7" s="204"/>
      <c r="DP7" s="204"/>
      <c r="DQ7" s="204"/>
      <c r="DR7" s="204"/>
      <c r="DS7" s="204"/>
      <c r="DT7" s="204"/>
      <c r="DU7" s="204"/>
      <c r="DV7" s="204"/>
      <c r="DW7" s="204"/>
      <c r="DX7" s="204"/>
      <c r="DY7" s="204"/>
      <c r="DZ7" s="204"/>
      <c r="EA7" s="204"/>
      <c r="EB7" s="204"/>
      <c r="EC7" s="204"/>
      <c r="ED7" s="204"/>
      <c r="EE7" s="204"/>
      <c r="EF7" s="204"/>
      <c r="EG7" s="204"/>
      <c r="EH7" s="204"/>
      <c r="EI7" s="204"/>
      <c r="EJ7" s="204"/>
      <c r="EK7" s="204"/>
      <c r="EL7" s="204"/>
      <c r="EM7" s="204"/>
      <c r="EN7" s="204"/>
      <c r="EO7" s="204"/>
      <c r="EP7" s="204"/>
      <c r="EQ7" s="204"/>
      <c r="ER7" s="204"/>
      <c r="ES7" s="204"/>
      <c r="ET7" s="204"/>
      <c r="EU7" s="204"/>
      <c r="EV7" s="204"/>
      <c r="EW7" s="204"/>
      <c r="EX7" s="204"/>
      <c r="EY7" s="204"/>
      <c r="EZ7" s="204"/>
      <c r="FA7" s="204"/>
      <c r="FB7" s="204"/>
    </row>
    <row r="8" spans="2:158" x14ac:dyDescent="0.3">
      <c r="B8" t="s">
        <v>286</v>
      </c>
      <c r="C8" t="s">
        <v>287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B617-4C79-43D0-A4CD-D2ACA0495B0C}">
  <sheetPr>
    <tabColor theme="0" tint="-0.249977111117893"/>
  </sheetPr>
  <dimension ref="B10:I34"/>
  <sheetViews>
    <sheetView topLeftCell="A8" workbookViewId="0">
      <selection activeCell="G19" sqref="G19"/>
    </sheetView>
  </sheetViews>
  <sheetFormatPr defaultRowHeight="14.4" x14ac:dyDescent="0.3"/>
  <cols>
    <col min="2" max="2" width="31.5546875" customWidth="1"/>
    <col min="3" max="3" width="24.109375" bestFit="1" customWidth="1"/>
    <col min="4" max="4" width="0.33203125" customWidth="1"/>
    <col min="5" max="5" width="11.109375" customWidth="1"/>
    <col min="6" max="6" width="2.109375" customWidth="1"/>
    <col min="7" max="7" width="11.109375" customWidth="1"/>
    <col min="8" max="8" width="0.33203125" hidden="1" customWidth="1"/>
    <col min="9" max="9" width="10.6640625" bestFit="1" customWidth="1"/>
  </cols>
  <sheetData>
    <row r="10" spans="2:9" ht="15" thickBot="1" x14ac:dyDescent="0.35"/>
    <row r="11" spans="2:9" ht="15" thickTop="1" x14ac:dyDescent="0.3">
      <c r="B11" s="219"/>
      <c r="C11" s="220"/>
      <c r="D11" s="144"/>
      <c r="E11" s="226" t="s">
        <v>207</v>
      </c>
      <c r="F11" s="227"/>
      <c r="G11" s="226" t="s">
        <v>205</v>
      </c>
      <c r="H11" s="228"/>
      <c r="I11" s="229" t="s">
        <v>206</v>
      </c>
    </row>
    <row r="12" spans="2:9" x14ac:dyDescent="0.3">
      <c r="B12" s="221"/>
      <c r="C12" s="222"/>
      <c r="E12" s="225">
        <v>45322</v>
      </c>
      <c r="F12" s="145"/>
      <c r="G12" s="225">
        <v>45322</v>
      </c>
      <c r="I12" s="146"/>
    </row>
    <row r="13" spans="2:9" x14ac:dyDescent="0.3">
      <c r="B13" s="697" t="s">
        <v>3</v>
      </c>
      <c r="C13" s="698"/>
      <c r="E13" s="223">
        <v>3066.4791666666665</v>
      </c>
      <c r="F13" s="147"/>
      <c r="G13" s="223">
        <f>+SUMIF('Monthly Detail'!$3:$3, 'Actual vs. Forecast'!G12,'Monthly Detail'!$9:$9)</f>
        <v>0</v>
      </c>
      <c r="I13" s="148">
        <f t="shared" ref="I13:I17" si="0">+G13-E13</f>
        <v>-3066.4791666666665</v>
      </c>
    </row>
    <row r="14" spans="2:9" x14ac:dyDescent="0.3">
      <c r="B14" s="149"/>
      <c r="C14" s="140" t="s">
        <v>454</v>
      </c>
      <c r="D14" s="141"/>
      <c r="E14" s="230">
        <v>2</v>
      </c>
      <c r="F14" s="141"/>
      <c r="G14" s="230" t="e">
        <f>+SUMIF('Monthly Detail'!$3:$3, 'Actual vs. Forecast'!G$12,'Monthly Detail'!#REF!)</f>
        <v>#REF!</v>
      </c>
      <c r="H14" s="143"/>
      <c r="I14" s="231" t="e">
        <f t="shared" si="0"/>
        <v>#REF!</v>
      </c>
    </row>
    <row r="15" spans="2:9" x14ac:dyDescent="0.3">
      <c r="B15" s="150"/>
      <c r="C15" s="151" t="s">
        <v>467</v>
      </c>
      <c r="D15" s="143"/>
      <c r="E15" s="232">
        <v>2</v>
      </c>
      <c r="F15" s="152"/>
      <c r="G15" s="232" t="e">
        <f>+SUMIF('Monthly Detail'!$3:$3, 'Actual vs. Forecast'!G$12,'Monthly Detail'!#REF!)</f>
        <v>#REF!</v>
      </c>
      <c r="H15" s="143"/>
      <c r="I15" s="233" t="e">
        <f t="shared" si="0"/>
        <v>#REF!</v>
      </c>
    </row>
    <row r="16" spans="2:9" ht="2.4" customHeight="1" x14ac:dyDescent="0.3">
      <c r="B16" s="154"/>
      <c r="C16" s="153"/>
      <c r="D16" s="143"/>
      <c r="E16" s="234"/>
      <c r="F16" s="143"/>
      <c r="G16" s="234"/>
      <c r="H16" s="143"/>
      <c r="I16" s="235">
        <f t="shared" si="0"/>
        <v>0</v>
      </c>
    </row>
    <row r="17" spans="2:9" ht="15" thickBot="1" x14ac:dyDescent="0.35">
      <c r="B17" s="155"/>
      <c r="C17" s="189" t="s">
        <v>52</v>
      </c>
      <c r="D17" s="142"/>
      <c r="E17" s="236">
        <v>1.3060515873015871E-2</v>
      </c>
      <c r="F17" s="142"/>
      <c r="G17" s="236" t="e">
        <f>+SUMIF('Monthly Detail'!$3:$3, 'Actual vs. Forecast'!G$12,'Monthly Detail'!#REF!)</f>
        <v>#REF!</v>
      </c>
      <c r="H17" s="143"/>
      <c r="I17" s="237" t="e">
        <f t="shared" si="0"/>
        <v>#REF!</v>
      </c>
    </row>
    <row r="18" spans="2:9" x14ac:dyDescent="0.3">
      <c r="B18" s="701" t="s">
        <v>5</v>
      </c>
      <c r="C18" s="702"/>
      <c r="D18" s="190"/>
      <c r="E18" s="224"/>
      <c r="F18" s="190"/>
      <c r="G18" s="224"/>
      <c r="H18" s="218"/>
      <c r="I18" s="191"/>
    </row>
    <row r="19" spans="2:9" x14ac:dyDescent="0.3">
      <c r="B19" s="689" t="s">
        <v>229</v>
      </c>
      <c r="C19" s="690"/>
      <c r="E19" s="238">
        <v>12</v>
      </c>
      <c r="G19" s="238">
        <f>+SUMIF('Monthly Detail'!$3:$3, 'Actual vs. Forecast'!G$12,'Monthly Detail'!37:37)</f>
        <v>0</v>
      </c>
      <c r="I19" s="148">
        <f t="shared" ref="I19:I33" si="1">+G19-E19</f>
        <v>-12</v>
      </c>
    </row>
    <row r="20" spans="2:9" x14ac:dyDescent="0.3">
      <c r="B20" s="689" t="s">
        <v>230</v>
      </c>
      <c r="C20" s="690"/>
      <c r="E20" s="238">
        <v>100</v>
      </c>
      <c r="G20" s="238">
        <f>+SUMIF('Monthly Detail'!$3:$3, 'Actual vs. Forecast'!G$12,'Monthly Detail'!38:38)</f>
        <v>0</v>
      </c>
      <c r="I20" s="148">
        <f t="shared" si="1"/>
        <v>-100</v>
      </c>
    </row>
    <row r="21" spans="2:9" x14ac:dyDescent="0.3">
      <c r="B21" s="689" t="s">
        <v>231</v>
      </c>
      <c r="C21" s="690"/>
      <c r="E21" s="238">
        <v>0</v>
      </c>
      <c r="G21" s="238">
        <f>+SUMIF('Monthly Detail'!$3:$3, 'Actual vs. Forecast'!G$12,'Monthly Detail'!40:40)</f>
        <v>0</v>
      </c>
      <c r="I21" s="148">
        <f t="shared" si="1"/>
        <v>0</v>
      </c>
    </row>
    <row r="22" spans="2:9" x14ac:dyDescent="0.3">
      <c r="B22" s="689" t="s">
        <v>232</v>
      </c>
      <c r="C22" s="690"/>
      <c r="E22" s="238">
        <v>75</v>
      </c>
      <c r="G22" s="238">
        <f>+SUMIF('Monthly Detail'!$3:$3, 'Actual vs. Forecast'!G$12,'Monthly Detail'!41:41)</f>
        <v>0</v>
      </c>
      <c r="I22" s="148">
        <f t="shared" si="1"/>
        <v>-75</v>
      </c>
    </row>
    <row r="23" spans="2:9" x14ac:dyDescent="0.3">
      <c r="B23" s="689" t="s">
        <v>233</v>
      </c>
      <c r="C23" s="690"/>
      <c r="E23" s="238">
        <v>31.453999999999997</v>
      </c>
      <c r="G23" s="238">
        <f>+SUMIF('Monthly Detail'!$3:$3, 'Actual vs. Forecast'!G$12,'Monthly Detail'!42:42)</f>
        <v>0</v>
      </c>
      <c r="I23" s="148">
        <f t="shared" si="1"/>
        <v>-31.453999999999997</v>
      </c>
    </row>
    <row r="24" spans="2:9" x14ac:dyDescent="0.3">
      <c r="B24" s="689" t="s">
        <v>234</v>
      </c>
      <c r="C24" s="690"/>
      <c r="E24" s="238"/>
      <c r="G24" s="238">
        <f>+SUMIF('Monthly Detail'!$3:$3, 'Actual vs. Forecast'!G$12,'Monthly Detail'!50:50)</f>
        <v>0</v>
      </c>
      <c r="I24" s="148">
        <f t="shared" si="1"/>
        <v>0</v>
      </c>
    </row>
    <row r="25" spans="2:9" x14ac:dyDescent="0.3">
      <c r="B25" s="689" t="s">
        <v>235</v>
      </c>
      <c r="C25" s="690"/>
      <c r="E25" s="238">
        <v>105.16</v>
      </c>
      <c r="G25" s="238">
        <f>+SUMIF('Monthly Detail'!$3:$3, 'Actual vs. Forecast'!G$12,'Monthly Detail'!51:51)</f>
        <v>0</v>
      </c>
      <c r="I25" s="148">
        <f t="shared" si="1"/>
        <v>-105.16</v>
      </c>
    </row>
    <row r="26" spans="2:9" x14ac:dyDescent="0.3">
      <c r="B26" s="689" t="s">
        <v>236</v>
      </c>
      <c r="C26" s="690"/>
      <c r="E26" s="238">
        <v>296.16666666666669</v>
      </c>
      <c r="G26" s="238">
        <f>+SUMIF('Monthly Detail'!$3:$3, 'Actual vs. Forecast'!G$12,'Monthly Detail'!52:52)</f>
        <v>0</v>
      </c>
      <c r="I26" s="148">
        <f t="shared" si="1"/>
        <v>-296.16666666666669</v>
      </c>
    </row>
    <row r="27" spans="2:9" x14ac:dyDescent="0.3">
      <c r="B27" s="695" t="s">
        <v>237</v>
      </c>
      <c r="C27" s="696"/>
      <c r="E27" s="238">
        <v>190.98000000000002</v>
      </c>
      <c r="G27" s="238">
        <f>+SUMIF('Monthly Detail'!$3:$3, 'Actual vs. Forecast'!G$12,'Monthly Detail'!53:53)</f>
        <v>0</v>
      </c>
      <c r="I27" s="148">
        <f t="shared" si="1"/>
        <v>-190.98000000000002</v>
      </c>
    </row>
    <row r="28" spans="2:9" x14ac:dyDescent="0.3">
      <c r="B28" s="691" t="s">
        <v>6</v>
      </c>
      <c r="C28" s="692"/>
      <c r="D28" s="5"/>
      <c r="E28" s="239">
        <v>810.76066666666679</v>
      </c>
      <c r="F28" s="5"/>
      <c r="G28" s="239">
        <f t="shared" ref="G28" si="2">SUM(G19:G27)</f>
        <v>0</v>
      </c>
      <c r="I28" s="240">
        <f t="shared" si="1"/>
        <v>-810.76066666666679</v>
      </c>
    </row>
    <row r="29" spans="2:9" x14ac:dyDescent="0.3">
      <c r="B29" s="699" t="s">
        <v>7</v>
      </c>
      <c r="C29" s="700"/>
      <c r="E29" s="241">
        <v>2255.7184999999999</v>
      </c>
      <c r="G29" s="241">
        <f>+G13-G28</f>
        <v>0</v>
      </c>
      <c r="I29" s="148">
        <f t="shared" si="1"/>
        <v>-2255.7184999999999</v>
      </c>
    </row>
    <row r="30" spans="2:9" x14ac:dyDescent="0.3">
      <c r="B30" s="695" t="s">
        <v>9</v>
      </c>
      <c r="C30" s="696"/>
      <c r="E30" s="238">
        <v>0</v>
      </c>
      <c r="G30" s="238">
        <f>+SUMIF('Monthly Detail'!$3:$3, 'Actual vs. Forecast'!G$12,'Monthly Detail'!84:84)</f>
        <v>0</v>
      </c>
      <c r="I30" s="148">
        <f t="shared" si="1"/>
        <v>0</v>
      </c>
    </row>
    <row r="31" spans="2:9" x14ac:dyDescent="0.3">
      <c r="B31" s="691" t="s">
        <v>10</v>
      </c>
      <c r="C31" s="692"/>
      <c r="D31" s="5"/>
      <c r="E31" s="239">
        <v>2255.7184999999999</v>
      </c>
      <c r="F31" s="5"/>
      <c r="G31" s="239">
        <f t="shared" ref="G31" si="3">+G30</f>
        <v>0</v>
      </c>
      <c r="I31" s="240">
        <f t="shared" si="1"/>
        <v>-2255.7184999999999</v>
      </c>
    </row>
    <row r="32" spans="2:9" x14ac:dyDescent="0.3">
      <c r="B32" s="691" t="s">
        <v>11</v>
      </c>
      <c r="C32" s="692"/>
      <c r="D32" s="5"/>
      <c r="E32" s="239">
        <v>0</v>
      </c>
      <c r="F32" s="5"/>
      <c r="G32" s="239">
        <f t="shared" ref="G32" si="4">+G31</f>
        <v>0</v>
      </c>
      <c r="I32" s="240">
        <f t="shared" si="1"/>
        <v>0</v>
      </c>
    </row>
    <row r="33" spans="2:9" ht="15" thickBot="1" x14ac:dyDescent="0.35">
      <c r="B33" s="693" t="s">
        <v>12</v>
      </c>
      <c r="C33" s="694"/>
      <c r="D33" s="156"/>
      <c r="E33" s="242">
        <v>2255.7184999999999</v>
      </c>
      <c r="F33" s="156"/>
      <c r="G33" s="242">
        <f t="shared" ref="G33" si="5">+G32+G29</f>
        <v>0</v>
      </c>
      <c r="I33" s="243">
        <f t="shared" si="1"/>
        <v>-2255.7184999999999</v>
      </c>
    </row>
    <row r="34" spans="2:9" ht="15" thickTop="1" x14ac:dyDescent="0.3"/>
  </sheetData>
  <mergeCells count="17">
    <mergeCell ref="B13:C13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32:C32"/>
    <mergeCell ref="B33:C33"/>
    <mergeCell ref="B30:C30"/>
  </mergeCells>
  <pageMargins left="0.7" right="0.7" top="0.75" bottom="0.7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40</v>
      </c>
      <c r="C2" s="13"/>
    </row>
    <row r="3" spans="2:3" x14ac:dyDescent="0.3">
      <c r="B3" s="14">
        <v>43831</v>
      </c>
      <c r="C3" t="s">
        <v>41</v>
      </c>
    </row>
    <row r="4" spans="2:3" x14ac:dyDescent="0.3">
      <c r="B4" s="14">
        <v>43850</v>
      </c>
      <c r="C4" t="s">
        <v>42</v>
      </c>
    </row>
    <row r="5" spans="2:3" x14ac:dyDescent="0.3">
      <c r="B5" s="14">
        <v>43878</v>
      </c>
      <c r="C5" t="s">
        <v>43</v>
      </c>
    </row>
    <row r="6" spans="2:3" x14ac:dyDescent="0.3">
      <c r="B6" s="14">
        <v>43976</v>
      </c>
      <c r="C6" t="s">
        <v>44</v>
      </c>
    </row>
    <row r="7" spans="2:3" x14ac:dyDescent="0.3">
      <c r="B7" s="14">
        <v>44081</v>
      </c>
      <c r="C7" t="s">
        <v>45</v>
      </c>
    </row>
    <row r="8" spans="2:3" x14ac:dyDescent="0.3">
      <c r="B8" s="14">
        <v>44016</v>
      </c>
      <c r="C8" t="s">
        <v>46</v>
      </c>
    </row>
    <row r="9" spans="2:3" x14ac:dyDescent="0.3">
      <c r="B9" s="14">
        <v>44161</v>
      </c>
      <c r="C9" t="s">
        <v>47</v>
      </c>
    </row>
    <row r="10" spans="2:3" x14ac:dyDescent="0.3">
      <c r="B10" s="14">
        <f>+B9+1</f>
        <v>44162</v>
      </c>
      <c r="C10" t="s">
        <v>48</v>
      </c>
    </row>
    <row r="11" spans="2:3" x14ac:dyDescent="0.3">
      <c r="B11" s="14">
        <v>44189</v>
      </c>
      <c r="C11" t="s">
        <v>49</v>
      </c>
    </row>
    <row r="12" spans="2:3" x14ac:dyDescent="0.3">
      <c r="B12" s="14">
        <f>+B11+1</f>
        <v>44190</v>
      </c>
      <c r="C12" t="s">
        <v>50</v>
      </c>
    </row>
    <row r="13" spans="2:3" x14ac:dyDescent="0.3">
      <c r="B13" s="14">
        <f>+B3+366</f>
        <v>44197</v>
      </c>
      <c r="C13" t="s">
        <v>41</v>
      </c>
    </row>
    <row r="14" spans="2:3" x14ac:dyDescent="0.3">
      <c r="B14" s="14">
        <f t="shared" ref="B14:B22" si="0">+B4+366</f>
        <v>44216</v>
      </c>
      <c r="C14" t="s">
        <v>42</v>
      </c>
    </row>
    <row r="15" spans="2:3" x14ac:dyDescent="0.3">
      <c r="B15" s="14">
        <f t="shared" si="0"/>
        <v>44244</v>
      </c>
      <c r="C15" t="s">
        <v>43</v>
      </c>
    </row>
    <row r="16" spans="2:3" x14ac:dyDescent="0.3">
      <c r="B16" s="14">
        <f t="shared" si="0"/>
        <v>44342</v>
      </c>
      <c r="C16" t="s">
        <v>44</v>
      </c>
    </row>
    <row r="17" spans="2:3" x14ac:dyDescent="0.3">
      <c r="B17" s="14">
        <f t="shared" si="0"/>
        <v>44447</v>
      </c>
      <c r="C17" t="s">
        <v>45</v>
      </c>
    </row>
    <row r="18" spans="2:3" x14ac:dyDescent="0.3">
      <c r="B18" s="14">
        <f t="shared" si="0"/>
        <v>44382</v>
      </c>
      <c r="C18" t="s">
        <v>46</v>
      </c>
    </row>
    <row r="19" spans="2:3" x14ac:dyDescent="0.3">
      <c r="B19" s="14">
        <f t="shared" si="0"/>
        <v>44527</v>
      </c>
      <c r="C19" t="s">
        <v>47</v>
      </c>
    </row>
    <row r="20" spans="2:3" x14ac:dyDescent="0.3">
      <c r="B20" s="14">
        <f t="shared" si="0"/>
        <v>44528</v>
      </c>
      <c r="C20" t="s">
        <v>48</v>
      </c>
    </row>
    <row r="21" spans="2:3" x14ac:dyDescent="0.3">
      <c r="B21" s="14">
        <f t="shared" si="0"/>
        <v>44555</v>
      </c>
      <c r="C21" t="s">
        <v>49</v>
      </c>
    </row>
    <row r="22" spans="2:3" x14ac:dyDescent="0.3">
      <c r="B22" s="14">
        <f t="shared" si="0"/>
        <v>44556</v>
      </c>
      <c r="C22" t="s">
        <v>50</v>
      </c>
    </row>
    <row r="23" spans="2:3" x14ac:dyDescent="0.3">
      <c r="B23" s="14">
        <f>+B13+365</f>
        <v>44562</v>
      </c>
      <c r="C23" t="s">
        <v>41</v>
      </c>
    </row>
    <row r="24" spans="2:3" x14ac:dyDescent="0.3">
      <c r="B24" s="14">
        <f t="shared" ref="B24:B62" si="1">+B14+365</f>
        <v>44581</v>
      </c>
      <c r="C24" t="s">
        <v>42</v>
      </c>
    </row>
    <row r="25" spans="2:3" x14ac:dyDescent="0.3">
      <c r="B25" s="14">
        <f t="shared" si="1"/>
        <v>44609</v>
      </c>
      <c r="C25" t="s">
        <v>43</v>
      </c>
    </row>
    <row r="26" spans="2:3" x14ac:dyDescent="0.3">
      <c r="B26" s="14">
        <f t="shared" si="1"/>
        <v>44707</v>
      </c>
      <c r="C26" t="s">
        <v>44</v>
      </c>
    </row>
    <row r="27" spans="2:3" x14ac:dyDescent="0.3">
      <c r="B27" s="14">
        <f t="shared" si="1"/>
        <v>44812</v>
      </c>
      <c r="C27" t="s">
        <v>45</v>
      </c>
    </row>
    <row r="28" spans="2:3" x14ac:dyDescent="0.3">
      <c r="B28" s="14">
        <f t="shared" si="1"/>
        <v>44747</v>
      </c>
      <c r="C28" t="s">
        <v>46</v>
      </c>
    </row>
    <row r="29" spans="2:3" x14ac:dyDescent="0.3">
      <c r="B29" s="14">
        <f t="shared" si="1"/>
        <v>44892</v>
      </c>
      <c r="C29" t="s">
        <v>47</v>
      </c>
    </row>
    <row r="30" spans="2:3" x14ac:dyDescent="0.3">
      <c r="B30" s="14">
        <f t="shared" si="1"/>
        <v>44893</v>
      </c>
      <c r="C30" t="s">
        <v>48</v>
      </c>
    </row>
    <row r="31" spans="2:3" x14ac:dyDescent="0.3">
      <c r="B31" s="14">
        <f t="shared" si="1"/>
        <v>44920</v>
      </c>
      <c r="C31" t="s">
        <v>49</v>
      </c>
    </row>
    <row r="32" spans="2:3" x14ac:dyDescent="0.3">
      <c r="B32" s="14">
        <f t="shared" si="1"/>
        <v>44921</v>
      </c>
      <c r="C32" t="s">
        <v>50</v>
      </c>
    </row>
    <row r="33" spans="2:3" x14ac:dyDescent="0.3">
      <c r="B33" s="14">
        <f t="shared" si="1"/>
        <v>44927</v>
      </c>
      <c r="C33" t="s">
        <v>41</v>
      </c>
    </row>
    <row r="34" spans="2:3" x14ac:dyDescent="0.3">
      <c r="B34" s="14">
        <f t="shared" si="1"/>
        <v>44946</v>
      </c>
      <c r="C34" t="s">
        <v>42</v>
      </c>
    </row>
    <row r="35" spans="2:3" x14ac:dyDescent="0.3">
      <c r="B35" s="14">
        <f t="shared" si="1"/>
        <v>44974</v>
      </c>
      <c r="C35" t="s">
        <v>43</v>
      </c>
    </row>
    <row r="36" spans="2:3" x14ac:dyDescent="0.3">
      <c r="B36" s="14">
        <f t="shared" si="1"/>
        <v>45072</v>
      </c>
      <c r="C36" t="s">
        <v>44</v>
      </c>
    </row>
    <row r="37" spans="2:3" x14ac:dyDescent="0.3">
      <c r="B37" s="14">
        <f t="shared" si="1"/>
        <v>45177</v>
      </c>
      <c r="C37" t="s">
        <v>45</v>
      </c>
    </row>
    <row r="38" spans="2:3" x14ac:dyDescent="0.3">
      <c r="B38" s="14">
        <f t="shared" si="1"/>
        <v>45112</v>
      </c>
      <c r="C38" t="s">
        <v>46</v>
      </c>
    </row>
    <row r="39" spans="2:3" x14ac:dyDescent="0.3">
      <c r="B39" s="14">
        <f t="shared" si="1"/>
        <v>45257</v>
      </c>
      <c r="C39" t="s">
        <v>47</v>
      </c>
    </row>
    <row r="40" spans="2:3" x14ac:dyDescent="0.3">
      <c r="B40" s="14">
        <f t="shared" si="1"/>
        <v>45258</v>
      </c>
      <c r="C40" t="s">
        <v>48</v>
      </c>
    </row>
    <row r="41" spans="2:3" x14ac:dyDescent="0.3">
      <c r="B41" s="14">
        <f t="shared" si="1"/>
        <v>45285</v>
      </c>
      <c r="C41" t="s">
        <v>49</v>
      </c>
    </row>
    <row r="42" spans="2:3" x14ac:dyDescent="0.3">
      <c r="B42" s="14">
        <f t="shared" si="1"/>
        <v>45286</v>
      </c>
      <c r="C42" t="s">
        <v>50</v>
      </c>
    </row>
    <row r="43" spans="2:3" x14ac:dyDescent="0.3">
      <c r="B43" s="14">
        <f t="shared" si="1"/>
        <v>45292</v>
      </c>
      <c r="C43" t="s">
        <v>41</v>
      </c>
    </row>
    <row r="44" spans="2:3" x14ac:dyDescent="0.3">
      <c r="B44" s="14">
        <f t="shared" si="1"/>
        <v>45311</v>
      </c>
      <c r="C44" t="s">
        <v>42</v>
      </c>
    </row>
    <row r="45" spans="2:3" x14ac:dyDescent="0.3">
      <c r="B45" s="14">
        <f t="shared" si="1"/>
        <v>45339</v>
      </c>
      <c r="C45" t="s">
        <v>43</v>
      </c>
    </row>
    <row r="46" spans="2:3" x14ac:dyDescent="0.3">
      <c r="B46" s="14">
        <f t="shared" si="1"/>
        <v>45437</v>
      </c>
      <c r="C46" t="s">
        <v>44</v>
      </c>
    </row>
    <row r="47" spans="2:3" x14ac:dyDescent="0.3">
      <c r="B47" s="14">
        <f t="shared" si="1"/>
        <v>45542</v>
      </c>
      <c r="C47" t="s">
        <v>45</v>
      </c>
    </row>
    <row r="48" spans="2:3" x14ac:dyDescent="0.3">
      <c r="B48" s="14">
        <f t="shared" si="1"/>
        <v>45477</v>
      </c>
      <c r="C48" t="s">
        <v>46</v>
      </c>
    </row>
    <row r="49" spans="2:3" x14ac:dyDescent="0.3">
      <c r="B49" s="14">
        <f t="shared" si="1"/>
        <v>45622</v>
      </c>
      <c r="C49" t="s">
        <v>47</v>
      </c>
    </row>
    <row r="50" spans="2:3" x14ac:dyDescent="0.3">
      <c r="B50" s="14">
        <f t="shared" si="1"/>
        <v>45623</v>
      </c>
      <c r="C50" t="s">
        <v>48</v>
      </c>
    </row>
    <row r="51" spans="2:3" x14ac:dyDescent="0.3">
      <c r="B51" s="14">
        <f t="shared" si="1"/>
        <v>45650</v>
      </c>
      <c r="C51" t="s">
        <v>49</v>
      </c>
    </row>
    <row r="52" spans="2:3" x14ac:dyDescent="0.3">
      <c r="B52" s="14">
        <f t="shared" si="1"/>
        <v>45651</v>
      </c>
      <c r="C52" t="s">
        <v>50</v>
      </c>
    </row>
    <row r="53" spans="2:3" x14ac:dyDescent="0.3">
      <c r="B53" s="14">
        <f t="shared" si="1"/>
        <v>45657</v>
      </c>
      <c r="C53" t="s">
        <v>41</v>
      </c>
    </row>
    <row r="54" spans="2:3" x14ac:dyDescent="0.3">
      <c r="B54" s="14">
        <f t="shared" si="1"/>
        <v>45676</v>
      </c>
      <c r="C54" t="s">
        <v>42</v>
      </c>
    </row>
    <row r="55" spans="2:3" x14ac:dyDescent="0.3">
      <c r="B55" s="14">
        <f t="shared" si="1"/>
        <v>45704</v>
      </c>
      <c r="C55" t="s">
        <v>43</v>
      </c>
    </row>
    <row r="56" spans="2:3" x14ac:dyDescent="0.3">
      <c r="B56" s="14">
        <f t="shared" si="1"/>
        <v>45802</v>
      </c>
      <c r="C56" t="s">
        <v>44</v>
      </c>
    </row>
    <row r="57" spans="2:3" x14ac:dyDescent="0.3">
      <c r="B57" s="14">
        <f t="shared" si="1"/>
        <v>45907</v>
      </c>
      <c r="C57" t="s">
        <v>45</v>
      </c>
    </row>
    <row r="58" spans="2:3" x14ac:dyDescent="0.3">
      <c r="B58" s="14">
        <f t="shared" si="1"/>
        <v>45842</v>
      </c>
      <c r="C58" t="s">
        <v>46</v>
      </c>
    </row>
    <row r="59" spans="2:3" x14ac:dyDescent="0.3">
      <c r="B59" s="14">
        <f t="shared" si="1"/>
        <v>45987</v>
      </c>
      <c r="C59" t="s">
        <v>47</v>
      </c>
    </row>
    <row r="60" spans="2:3" x14ac:dyDescent="0.3">
      <c r="B60" s="14">
        <f t="shared" si="1"/>
        <v>45988</v>
      </c>
      <c r="C60" t="s">
        <v>48</v>
      </c>
    </row>
    <row r="61" spans="2:3" x14ac:dyDescent="0.3">
      <c r="B61" s="14">
        <f t="shared" si="1"/>
        <v>46015</v>
      </c>
      <c r="C61" t="s">
        <v>49</v>
      </c>
    </row>
    <row r="62" spans="2:3" x14ac:dyDescent="0.3">
      <c r="B62" s="14">
        <f t="shared" si="1"/>
        <v>46016</v>
      </c>
      <c r="C62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11"/>
    <col min="2" max="2" width="12.33203125" style="111" bestFit="1" customWidth="1"/>
    <col min="3" max="9" width="8.88671875" style="111"/>
    <col min="10" max="10" width="15" style="111" bestFit="1" customWidth="1"/>
    <col min="11" max="16384" width="8.88671875" style="111"/>
  </cols>
  <sheetData>
    <row r="1" spans="1:11 16384:16384" x14ac:dyDescent="0.3">
      <c r="A1" s="111" t="s">
        <v>54</v>
      </c>
      <c r="B1" s="111" t="s">
        <v>55</v>
      </c>
      <c r="C1" s="111" t="s">
        <v>56</v>
      </c>
      <c r="D1" s="111" t="s">
        <v>57</v>
      </c>
      <c r="E1" s="111" t="s">
        <v>58</v>
      </c>
      <c r="F1" s="111" t="s">
        <v>59</v>
      </c>
      <c r="G1" s="111" t="s">
        <v>60</v>
      </c>
      <c r="H1" s="111" t="s">
        <v>61</v>
      </c>
      <c r="I1" s="111" t="s">
        <v>62</v>
      </c>
      <c r="J1" s="112" t="s">
        <v>63</v>
      </c>
      <c r="K1" s="111" t="s">
        <v>64</v>
      </c>
    </row>
    <row r="2" spans="1:11 16384:16384" x14ac:dyDescent="0.3">
      <c r="A2" s="113" t="s">
        <v>77</v>
      </c>
      <c r="B2" s="113" t="s">
        <v>192</v>
      </c>
      <c r="C2" s="113">
        <v>2</v>
      </c>
      <c r="D2" s="113">
        <v>50</v>
      </c>
      <c r="E2" s="113">
        <v>100</v>
      </c>
      <c r="F2" s="113" t="s">
        <v>66</v>
      </c>
      <c r="G2" s="113" t="s">
        <v>66</v>
      </c>
      <c r="H2" s="113" t="s">
        <v>193</v>
      </c>
      <c r="I2" s="113"/>
      <c r="J2" s="114" t="s">
        <v>194</v>
      </c>
      <c r="K2" s="113">
        <v>100</v>
      </c>
    </row>
    <row r="3" spans="1:11 16384:16384" x14ac:dyDescent="0.3">
      <c r="A3" s="113" t="s">
        <v>84</v>
      </c>
      <c r="B3" s="115">
        <v>44906</v>
      </c>
      <c r="C3" s="113">
        <v>1.25</v>
      </c>
      <c r="D3" s="114">
        <v>60</v>
      </c>
      <c r="E3" s="113">
        <v>75</v>
      </c>
      <c r="F3" s="113" t="s">
        <v>66</v>
      </c>
      <c r="G3" s="113" t="s">
        <v>66</v>
      </c>
      <c r="H3" s="113" t="s">
        <v>85</v>
      </c>
      <c r="I3" s="113" t="s">
        <v>68</v>
      </c>
      <c r="J3" s="113" t="s">
        <v>163</v>
      </c>
      <c r="K3" s="113">
        <v>75</v>
      </c>
    </row>
    <row r="4" spans="1:11 16384:16384" x14ac:dyDescent="0.3">
      <c r="A4" s="113" t="s">
        <v>195</v>
      </c>
      <c r="B4" s="115">
        <v>44907</v>
      </c>
      <c r="C4" s="113">
        <v>1</v>
      </c>
      <c r="D4" s="114">
        <v>60</v>
      </c>
      <c r="E4" s="113">
        <v>60</v>
      </c>
      <c r="F4" s="113" t="s">
        <v>66</v>
      </c>
      <c r="G4" s="113" t="s">
        <v>66</v>
      </c>
      <c r="H4" s="113" t="s">
        <v>196</v>
      </c>
      <c r="I4" s="113" t="s">
        <v>68</v>
      </c>
      <c r="J4" s="113" t="s">
        <v>163</v>
      </c>
      <c r="K4" s="113">
        <v>60</v>
      </c>
    </row>
    <row r="5" spans="1:11 16384:16384" x14ac:dyDescent="0.3">
      <c r="A5" s="113" t="s">
        <v>195</v>
      </c>
      <c r="B5" s="115">
        <v>44908</v>
      </c>
      <c r="C5" s="113">
        <v>1.5</v>
      </c>
      <c r="D5" s="114">
        <v>60</v>
      </c>
      <c r="E5" s="113">
        <v>90</v>
      </c>
      <c r="F5" s="113" t="s">
        <v>66</v>
      </c>
      <c r="G5" s="113" t="s">
        <v>66</v>
      </c>
      <c r="H5" s="113" t="s">
        <v>196</v>
      </c>
      <c r="I5" s="113" t="s">
        <v>68</v>
      </c>
      <c r="J5" s="113" t="s">
        <v>163</v>
      </c>
      <c r="K5" s="113">
        <v>90</v>
      </c>
    </row>
    <row r="6" spans="1:11 16384:16384" x14ac:dyDescent="0.3">
      <c r="A6" s="113" t="s">
        <v>195</v>
      </c>
      <c r="B6" s="115">
        <v>44910</v>
      </c>
      <c r="C6" s="113">
        <v>1.5</v>
      </c>
      <c r="D6" s="113">
        <v>60</v>
      </c>
      <c r="E6" s="113">
        <v>90</v>
      </c>
      <c r="F6" s="113" t="s">
        <v>66</v>
      </c>
      <c r="G6" s="113" t="s">
        <v>66</v>
      </c>
      <c r="H6" s="113" t="s">
        <v>196</v>
      </c>
      <c r="I6" s="113" t="s">
        <v>68</v>
      </c>
      <c r="J6" s="113" t="s">
        <v>163</v>
      </c>
      <c r="K6" s="113">
        <v>90</v>
      </c>
    </row>
    <row r="7" spans="1:11 16384:16384" x14ac:dyDescent="0.3">
      <c r="A7" s="113" t="s">
        <v>197</v>
      </c>
      <c r="B7" s="115">
        <v>44905</v>
      </c>
      <c r="C7" s="113">
        <v>1</v>
      </c>
      <c r="D7" s="114">
        <v>60</v>
      </c>
      <c r="E7" s="113">
        <v>60</v>
      </c>
      <c r="F7" s="113" t="s">
        <v>66</v>
      </c>
      <c r="G7" s="113" t="s">
        <v>66</v>
      </c>
      <c r="H7" s="113" t="s">
        <v>198</v>
      </c>
      <c r="I7" s="113" t="s">
        <v>68</v>
      </c>
      <c r="J7" s="113" t="s">
        <v>163</v>
      </c>
      <c r="K7" s="113">
        <v>60</v>
      </c>
    </row>
    <row r="8" spans="1:11 16384:16384" x14ac:dyDescent="0.3">
      <c r="A8" s="113" t="s">
        <v>106</v>
      </c>
      <c r="B8" s="115">
        <v>44898</v>
      </c>
      <c r="C8" s="113">
        <v>1.5</v>
      </c>
      <c r="D8" s="113">
        <v>50</v>
      </c>
      <c r="E8" s="113">
        <v>75</v>
      </c>
      <c r="F8" s="113" t="s">
        <v>66</v>
      </c>
      <c r="G8" s="113" t="s">
        <v>66</v>
      </c>
      <c r="H8" s="113" t="s">
        <v>107</v>
      </c>
      <c r="I8" s="113" t="s">
        <v>68</v>
      </c>
      <c r="J8" s="113" t="s">
        <v>163</v>
      </c>
      <c r="K8" s="113">
        <v>75</v>
      </c>
    </row>
    <row r="9" spans="1:11 16384:16384" x14ac:dyDescent="0.3">
      <c r="A9" s="113" t="s">
        <v>106</v>
      </c>
      <c r="B9" s="115">
        <v>44900</v>
      </c>
      <c r="C9" s="113">
        <v>1.5</v>
      </c>
      <c r="D9" s="113">
        <v>50</v>
      </c>
      <c r="E9" s="113">
        <v>75</v>
      </c>
      <c r="F9" s="113" t="s">
        <v>66</v>
      </c>
      <c r="G9" s="113" t="s">
        <v>66</v>
      </c>
      <c r="H9" s="113" t="s">
        <v>107</v>
      </c>
      <c r="I9" s="113" t="s">
        <v>68</v>
      </c>
      <c r="J9" s="113" t="s">
        <v>163</v>
      </c>
      <c r="K9" s="113">
        <v>75</v>
      </c>
    </row>
    <row r="10" spans="1:11 16384:16384" x14ac:dyDescent="0.3">
      <c r="A10" s="113" t="s">
        <v>106</v>
      </c>
      <c r="B10" s="115">
        <v>44903</v>
      </c>
      <c r="C10" s="113">
        <v>1</v>
      </c>
      <c r="D10" s="113">
        <v>50</v>
      </c>
      <c r="E10" s="113">
        <v>50</v>
      </c>
      <c r="F10" s="113" t="s">
        <v>66</v>
      </c>
      <c r="G10" s="113" t="s">
        <v>66</v>
      </c>
      <c r="H10" s="113" t="s">
        <v>107</v>
      </c>
      <c r="I10" s="113" t="s">
        <v>68</v>
      </c>
      <c r="J10" s="113" t="s">
        <v>163</v>
      </c>
      <c r="K10" s="113">
        <v>50</v>
      </c>
    </row>
    <row r="11" spans="1:11 16384:16384" x14ac:dyDescent="0.3">
      <c r="A11" s="113" t="s">
        <v>106</v>
      </c>
      <c r="B11" s="115">
        <v>44906</v>
      </c>
      <c r="C11" s="113">
        <v>2</v>
      </c>
      <c r="D11" s="113">
        <v>50</v>
      </c>
      <c r="E11" s="113">
        <v>100</v>
      </c>
      <c r="F11" s="113" t="s">
        <v>66</v>
      </c>
      <c r="G11" s="113" t="s">
        <v>66</v>
      </c>
      <c r="H11" s="113" t="s">
        <v>107</v>
      </c>
      <c r="I11" s="113" t="s">
        <v>68</v>
      </c>
      <c r="J11" s="113" t="s">
        <v>163</v>
      </c>
      <c r="K11" s="113">
        <v>100</v>
      </c>
    </row>
    <row r="12" spans="1:11 16384:16384" x14ac:dyDescent="0.3">
      <c r="A12" s="113" t="s">
        <v>106</v>
      </c>
      <c r="B12" s="115">
        <v>44907</v>
      </c>
      <c r="C12" s="113">
        <v>1.25</v>
      </c>
      <c r="D12" s="113">
        <v>50</v>
      </c>
      <c r="E12" s="113">
        <v>62.5</v>
      </c>
      <c r="F12" s="113" t="s">
        <v>66</v>
      </c>
      <c r="G12" s="113" t="s">
        <v>66</v>
      </c>
      <c r="H12" s="113" t="s">
        <v>107</v>
      </c>
      <c r="I12" s="113" t="s">
        <v>68</v>
      </c>
      <c r="J12" s="113" t="s">
        <v>163</v>
      </c>
      <c r="K12" s="113">
        <v>62.5</v>
      </c>
      <c r="XFD12" s="111" t="s">
        <v>66</v>
      </c>
    </row>
    <row r="13" spans="1:11 16384:16384" x14ac:dyDescent="0.3">
      <c r="A13" s="113" t="s">
        <v>106</v>
      </c>
      <c r="B13" s="115">
        <v>44908</v>
      </c>
      <c r="C13" s="113">
        <v>1.5</v>
      </c>
      <c r="D13" s="113">
        <v>50</v>
      </c>
      <c r="E13" s="113">
        <v>75</v>
      </c>
      <c r="F13" s="113" t="s">
        <v>66</v>
      </c>
      <c r="G13" s="113" t="s">
        <v>66</v>
      </c>
      <c r="H13" s="113" t="s">
        <v>107</v>
      </c>
      <c r="I13" s="113" t="s">
        <v>68</v>
      </c>
      <c r="J13" s="113" t="s">
        <v>163</v>
      </c>
      <c r="K13" s="113">
        <v>75</v>
      </c>
    </row>
    <row r="14" spans="1:11 16384:16384" x14ac:dyDescent="0.3">
      <c r="A14" s="113" t="s">
        <v>106</v>
      </c>
      <c r="B14" s="115">
        <v>44909</v>
      </c>
      <c r="C14" s="113">
        <v>0.5</v>
      </c>
      <c r="D14" s="113">
        <v>50</v>
      </c>
      <c r="E14" s="113">
        <v>25</v>
      </c>
      <c r="F14" s="113" t="s">
        <v>66</v>
      </c>
      <c r="G14" s="113" t="s">
        <v>66</v>
      </c>
      <c r="H14" s="113" t="s">
        <v>107</v>
      </c>
      <c r="I14" s="113" t="s">
        <v>68</v>
      </c>
      <c r="J14" s="113" t="s">
        <v>163</v>
      </c>
      <c r="K14" s="113">
        <v>25</v>
      </c>
    </row>
    <row r="15" spans="1:11 16384:16384" x14ac:dyDescent="0.3">
      <c r="A15" s="113" t="s">
        <v>111</v>
      </c>
      <c r="B15" s="115">
        <v>44904</v>
      </c>
      <c r="C15" s="113">
        <v>2</v>
      </c>
      <c r="D15" s="114">
        <v>60</v>
      </c>
      <c r="E15" s="113">
        <v>120</v>
      </c>
      <c r="F15" s="113" t="s">
        <v>199</v>
      </c>
      <c r="G15" s="113" t="s">
        <v>66</v>
      </c>
      <c r="H15" s="113" t="s">
        <v>200</v>
      </c>
      <c r="I15" s="113" t="s">
        <v>68</v>
      </c>
      <c r="J15" s="113" t="s">
        <v>163</v>
      </c>
      <c r="K15" s="113">
        <v>0</v>
      </c>
    </row>
    <row r="16" spans="1:11 16384:16384" x14ac:dyDescent="0.3">
      <c r="A16" s="113" t="s">
        <v>111</v>
      </c>
      <c r="B16" s="115">
        <v>44906</v>
      </c>
      <c r="C16" s="113">
        <v>1.25</v>
      </c>
      <c r="D16" s="114">
        <v>60</v>
      </c>
      <c r="E16" s="113">
        <v>75</v>
      </c>
      <c r="F16" s="113" t="s">
        <v>66</v>
      </c>
      <c r="G16" s="113" t="s">
        <v>66</v>
      </c>
      <c r="H16" s="113" t="s">
        <v>201</v>
      </c>
      <c r="I16" s="113" t="s">
        <v>68</v>
      </c>
      <c r="J16" s="113" t="s">
        <v>163</v>
      </c>
      <c r="K16" s="113">
        <v>195</v>
      </c>
    </row>
    <row r="17" spans="1:11" x14ac:dyDescent="0.3">
      <c r="A17" s="113"/>
      <c r="B17" s="115"/>
      <c r="C17" s="113"/>
      <c r="D17" s="113"/>
      <c r="E17" s="113"/>
      <c r="F17" s="113"/>
      <c r="G17" s="113"/>
      <c r="H17" s="113"/>
      <c r="I17" s="113"/>
      <c r="J17" s="113"/>
      <c r="K17" s="113"/>
    </row>
    <row r="18" spans="1:11" x14ac:dyDescent="0.3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93" bestFit="1" customWidth="1"/>
    <col min="2" max="2" width="7.109375" style="93" bestFit="1" customWidth="1"/>
    <col min="3" max="3" width="8" style="93" bestFit="1" customWidth="1"/>
    <col min="4" max="4" width="12" style="93" bestFit="1" customWidth="1"/>
    <col min="5" max="5" width="6.88671875" style="93" bestFit="1" customWidth="1"/>
    <col min="6" max="6" width="8.5546875" style="93" bestFit="1" customWidth="1"/>
    <col min="7" max="7" width="19.109375" style="93" bestFit="1" customWidth="1"/>
    <col min="8" max="8" width="68.33203125" style="93" bestFit="1" customWidth="1"/>
    <col min="9" max="9" width="6.5546875" style="93" bestFit="1" customWidth="1"/>
    <col min="10" max="10" width="17.33203125" style="93" bestFit="1" customWidth="1"/>
    <col min="11" max="11" width="8.33203125" style="93" bestFit="1" customWidth="1"/>
    <col min="12" max="12" width="23.6640625" style="93" bestFit="1" customWidth="1"/>
    <col min="13" max="17" width="8.88671875" style="93"/>
    <col min="18" max="18" width="14.44140625" style="93" bestFit="1" customWidth="1"/>
    <col min="19" max="19" width="12.33203125" style="93" bestFit="1" customWidth="1"/>
    <col min="20" max="20" width="11.33203125" style="93" bestFit="1" customWidth="1"/>
    <col min="21" max="16384" width="8.88671875" style="93"/>
  </cols>
  <sheetData>
    <row r="1" spans="1:20" x14ac:dyDescent="0.3">
      <c r="A1" s="93" t="s">
        <v>54</v>
      </c>
      <c r="B1" s="93" t="s">
        <v>55</v>
      </c>
      <c r="C1" s="93" t="s">
        <v>56</v>
      </c>
      <c r="D1" s="93" t="s">
        <v>57</v>
      </c>
      <c r="E1" s="93" t="s">
        <v>58</v>
      </c>
      <c r="F1" s="93" t="s">
        <v>59</v>
      </c>
      <c r="G1" s="93" t="s">
        <v>60</v>
      </c>
      <c r="H1" s="93" t="s">
        <v>61</v>
      </c>
      <c r="I1" s="93" t="s">
        <v>62</v>
      </c>
      <c r="J1" s="94" t="s">
        <v>63</v>
      </c>
      <c r="K1" s="93" t="s">
        <v>64</v>
      </c>
    </row>
    <row r="2" spans="1:20" x14ac:dyDescent="0.3">
      <c r="A2" s="95" t="s">
        <v>65</v>
      </c>
      <c r="B2" s="95">
        <v>44868</v>
      </c>
      <c r="C2" s="96">
        <v>1</v>
      </c>
      <c r="D2" s="96">
        <v>50</v>
      </c>
      <c r="E2" s="96">
        <v>50</v>
      </c>
      <c r="F2" s="96" t="s">
        <v>66</v>
      </c>
      <c r="G2" s="96" t="s">
        <v>66</v>
      </c>
      <c r="H2" s="96" t="s">
        <v>160</v>
      </c>
      <c r="I2" s="96" t="s">
        <v>68</v>
      </c>
      <c r="J2" s="96" t="s">
        <v>66</v>
      </c>
      <c r="K2" s="96">
        <v>50</v>
      </c>
      <c r="R2" s="31" t="s">
        <v>135</v>
      </c>
      <c r="S2" t="s">
        <v>137</v>
      </c>
      <c r="T2" t="s">
        <v>138</v>
      </c>
    </row>
    <row r="3" spans="1:20" s="97" customFormat="1" x14ac:dyDescent="0.3">
      <c r="A3" s="97" t="s">
        <v>161</v>
      </c>
      <c r="B3" s="98">
        <v>44878</v>
      </c>
      <c r="C3" s="97">
        <v>1</v>
      </c>
      <c r="D3" s="97">
        <v>60</v>
      </c>
      <c r="E3" s="97">
        <v>60</v>
      </c>
      <c r="F3" s="97" t="s">
        <v>66</v>
      </c>
      <c r="G3" s="97" t="s">
        <v>66</v>
      </c>
      <c r="H3" s="97" t="s">
        <v>162</v>
      </c>
      <c r="I3" s="97" t="s">
        <v>68</v>
      </c>
      <c r="J3" s="97" t="s">
        <v>163</v>
      </c>
      <c r="K3" s="97">
        <v>60</v>
      </c>
      <c r="R3" s="32" t="s">
        <v>65</v>
      </c>
      <c r="S3">
        <v>1</v>
      </c>
      <c r="T3">
        <v>50</v>
      </c>
    </row>
    <row r="4" spans="1:20" s="97" customFormat="1" x14ac:dyDescent="0.3">
      <c r="A4" s="97" t="s">
        <v>161</v>
      </c>
      <c r="B4" s="98">
        <v>44880</v>
      </c>
      <c r="C4" s="97">
        <v>1.5</v>
      </c>
      <c r="D4" s="97">
        <v>60</v>
      </c>
      <c r="E4" s="97">
        <v>90</v>
      </c>
      <c r="F4" s="97" t="s">
        <v>66</v>
      </c>
      <c r="G4" s="97" t="s">
        <v>66</v>
      </c>
      <c r="H4" s="97" t="s">
        <v>162</v>
      </c>
      <c r="I4" s="97" t="s">
        <v>68</v>
      </c>
      <c r="J4" s="97" t="s">
        <v>163</v>
      </c>
      <c r="K4" s="97">
        <v>90</v>
      </c>
      <c r="R4" s="32" t="s">
        <v>161</v>
      </c>
      <c r="S4">
        <v>2.5</v>
      </c>
      <c r="T4">
        <v>150</v>
      </c>
    </row>
    <row r="5" spans="1:20" s="97" customFormat="1" x14ac:dyDescent="0.3">
      <c r="A5" s="97" t="s">
        <v>84</v>
      </c>
      <c r="B5" s="98">
        <v>44872</v>
      </c>
      <c r="C5" s="97">
        <v>1</v>
      </c>
      <c r="D5" s="97">
        <v>60</v>
      </c>
      <c r="E5" s="97">
        <v>60</v>
      </c>
      <c r="F5" s="97" t="s">
        <v>66</v>
      </c>
      <c r="G5" s="97" t="s">
        <v>66</v>
      </c>
      <c r="H5" s="97" t="s">
        <v>164</v>
      </c>
      <c r="I5" s="97" t="s">
        <v>68</v>
      </c>
      <c r="J5" s="97" t="s">
        <v>163</v>
      </c>
      <c r="K5" s="97">
        <v>60</v>
      </c>
      <c r="R5" s="32" t="s">
        <v>84</v>
      </c>
      <c r="S5">
        <v>2.5</v>
      </c>
      <c r="T5">
        <v>150</v>
      </c>
    </row>
    <row r="6" spans="1:20" s="99" customFormat="1" x14ac:dyDescent="0.3">
      <c r="A6" s="99" t="s">
        <v>84</v>
      </c>
      <c r="B6" s="100">
        <v>44892</v>
      </c>
      <c r="C6" s="99">
        <v>1.5</v>
      </c>
      <c r="D6" s="99">
        <v>60</v>
      </c>
      <c r="E6" s="99">
        <v>90</v>
      </c>
      <c r="F6" s="99" t="s">
        <v>66</v>
      </c>
      <c r="G6" s="99" t="s">
        <v>66</v>
      </c>
      <c r="H6" s="99" t="s">
        <v>165</v>
      </c>
      <c r="I6" s="99" t="s">
        <v>68</v>
      </c>
      <c r="J6" s="99" t="s">
        <v>163</v>
      </c>
      <c r="K6" s="99">
        <v>90</v>
      </c>
      <c r="R6" s="32" t="s">
        <v>166</v>
      </c>
      <c r="S6">
        <v>2.5</v>
      </c>
      <c r="T6">
        <v>150</v>
      </c>
    </row>
    <row r="7" spans="1:20" x14ac:dyDescent="0.3">
      <c r="A7" s="96" t="s">
        <v>166</v>
      </c>
      <c r="B7" s="95">
        <v>44878</v>
      </c>
      <c r="C7" s="96">
        <v>1</v>
      </c>
      <c r="D7" s="96">
        <v>60</v>
      </c>
      <c r="E7" s="96">
        <v>60</v>
      </c>
      <c r="F7" s="96" t="s">
        <v>66</v>
      </c>
      <c r="G7" s="96" t="s">
        <v>66</v>
      </c>
      <c r="H7" s="96" t="s">
        <v>167</v>
      </c>
      <c r="I7" s="96" t="s">
        <v>68</v>
      </c>
      <c r="J7" s="96" t="s">
        <v>163</v>
      </c>
      <c r="K7" s="96">
        <v>60</v>
      </c>
      <c r="R7" s="32" t="s">
        <v>89</v>
      </c>
      <c r="S7">
        <v>1.5</v>
      </c>
      <c r="T7">
        <v>75</v>
      </c>
    </row>
    <row r="8" spans="1:20" s="99" customFormat="1" x14ac:dyDescent="0.3">
      <c r="A8" s="99" t="s">
        <v>166</v>
      </c>
      <c r="B8" s="100">
        <v>44884</v>
      </c>
      <c r="C8" s="99">
        <v>1.5</v>
      </c>
      <c r="D8" s="99">
        <v>60</v>
      </c>
      <c r="E8" s="99">
        <v>90</v>
      </c>
      <c r="F8" s="99" t="s">
        <v>66</v>
      </c>
      <c r="G8" s="99" t="s">
        <v>66</v>
      </c>
      <c r="H8" s="99" t="s">
        <v>167</v>
      </c>
      <c r="I8" s="99" t="s">
        <v>68</v>
      </c>
      <c r="J8" s="99" t="s">
        <v>163</v>
      </c>
      <c r="K8" s="99">
        <v>90</v>
      </c>
      <c r="R8" s="32" t="s">
        <v>92</v>
      </c>
      <c r="S8">
        <v>1</v>
      </c>
      <c r="T8">
        <v>50</v>
      </c>
    </row>
    <row r="9" spans="1:20" x14ac:dyDescent="0.3">
      <c r="A9" s="96" t="s">
        <v>89</v>
      </c>
      <c r="B9" s="95">
        <v>44875</v>
      </c>
      <c r="C9" s="96">
        <v>1.5</v>
      </c>
      <c r="D9" s="96">
        <v>50</v>
      </c>
      <c r="E9" s="96">
        <v>75</v>
      </c>
      <c r="F9" s="96" t="s">
        <v>66</v>
      </c>
      <c r="G9" s="96" t="s">
        <v>66</v>
      </c>
      <c r="H9" s="96" t="s">
        <v>168</v>
      </c>
      <c r="I9" s="96" t="s">
        <v>68</v>
      </c>
      <c r="J9" s="96" t="s">
        <v>163</v>
      </c>
      <c r="K9" s="96">
        <v>75</v>
      </c>
      <c r="R9" s="32" t="s">
        <v>101</v>
      </c>
      <c r="S9">
        <v>0.5</v>
      </c>
      <c r="T9">
        <v>30</v>
      </c>
    </row>
    <row r="10" spans="1:20" s="99" customFormat="1" x14ac:dyDescent="0.3">
      <c r="A10" s="99" t="s">
        <v>92</v>
      </c>
      <c r="B10" s="100">
        <v>44886</v>
      </c>
      <c r="C10" s="99">
        <v>1</v>
      </c>
      <c r="D10" s="99">
        <v>50</v>
      </c>
      <c r="E10" s="99">
        <v>50</v>
      </c>
      <c r="F10" s="99" t="s">
        <v>66</v>
      </c>
      <c r="G10" s="99" t="s">
        <v>66</v>
      </c>
      <c r="H10" s="99" t="s">
        <v>169</v>
      </c>
      <c r="I10" s="99" t="s">
        <v>68</v>
      </c>
      <c r="J10" s="99" t="s">
        <v>163</v>
      </c>
      <c r="K10" s="99">
        <v>50</v>
      </c>
      <c r="R10" s="32" t="s">
        <v>103</v>
      </c>
      <c r="S10">
        <v>7.5</v>
      </c>
      <c r="T10">
        <v>375</v>
      </c>
    </row>
    <row r="11" spans="1:20" s="97" customFormat="1" x14ac:dyDescent="0.3">
      <c r="A11" s="98" t="s">
        <v>101</v>
      </c>
      <c r="B11" s="98">
        <v>44877</v>
      </c>
      <c r="C11" s="97">
        <v>0.5</v>
      </c>
      <c r="D11" s="97">
        <v>60</v>
      </c>
      <c r="E11" s="97">
        <v>30</v>
      </c>
      <c r="F11" s="97" t="s">
        <v>66</v>
      </c>
      <c r="G11" s="97" t="s">
        <v>66</v>
      </c>
      <c r="H11" s="97" t="s">
        <v>170</v>
      </c>
      <c r="I11" s="97" t="s">
        <v>68</v>
      </c>
      <c r="J11" s="97" t="s">
        <v>163</v>
      </c>
      <c r="K11" s="97">
        <v>30</v>
      </c>
      <c r="R11" s="32" t="s">
        <v>106</v>
      </c>
      <c r="S11">
        <v>9</v>
      </c>
      <c r="T11">
        <v>450</v>
      </c>
    </row>
    <row r="12" spans="1:20" x14ac:dyDescent="0.3">
      <c r="A12" s="96" t="s">
        <v>103</v>
      </c>
      <c r="B12" s="95">
        <v>44871</v>
      </c>
      <c r="C12" s="96">
        <v>2</v>
      </c>
      <c r="D12" s="96">
        <v>50</v>
      </c>
      <c r="E12" s="96">
        <v>100</v>
      </c>
      <c r="F12" s="96" t="s">
        <v>66</v>
      </c>
      <c r="G12" s="96" t="s">
        <v>66</v>
      </c>
      <c r="H12" s="96" t="s">
        <v>171</v>
      </c>
      <c r="I12" s="96" t="s">
        <v>68</v>
      </c>
      <c r="J12" s="96" t="s">
        <v>163</v>
      </c>
      <c r="K12" s="96">
        <v>100</v>
      </c>
      <c r="R12" s="32" t="s">
        <v>109</v>
      </c>
      <c r="S12">
        <v>2</v>
      </c>
      <c r="T12">
        <v>100</v>
      </c>
    </row>
    <row r="13" spans="1:20" x14ac:dyDescent="0.3">
      <c r="A13" s="96" t="s">
        <v>103</v>
      </c>
      <c r="B13" s="95">
        <v>44873</v>
      </c>
      <c r="C13" s="96">
        <v>1</v>
      </c>
      <c r="D13" s="96">
        <v>50</v>
      </c>
      <c r="E13" s="96">
        <v>50</v>
      </c>
      <c r="F13" s="96" t="s">
        <v>66</v>
      </c>
      <c r="G13" s="96" t="s">
        <v>66</v>
      </c>
      <c r="H13" s="96" t="s">
        <v>172</v>
      </c>
      <c r="I13" s="96" t="s">
        <v>68</v>
      </c>
      <c r="J13" s="96" t="s">
        <v>163</v>
      </c>
      <c r="K13" s="96">
        <v>50</v>
      </c>
      <c r="R13" s="32" t="s">
        <v>111</v>
      </c>
      <c r="S13">
        <v>1</v>
      </c>
      <c r="T13">
        <v>60</v>
      </c>
    </row>
    <row r="14" spans="1:20" s="99" customFormat="1" x14ac:dyDescent="0.3">
      <c r="A14" s="99" t="s">
        <v>103</v>
      </c>
      <c r="B14" s="100">
        <v>44884</v>
      </c>
      <c r="C14" s="99">
        <v>1.5</v>
      </c>
      <c r="D14" s="99">
        <v>50</v>
      </c>
      <c r="E14" s="99">
        <v>75</v>
      </c>
      <c r="F14" s="99" t="s">
        <v>66</v>
      </c>
      <c r="G14" s="99" t="s">
        <v>66</v>
      </c>
      <c r="H14" s="99" t="s">
        <v>173</v>
      </c>
      <c r="I14" s="99" t="s">
        <v>68</v>
      </c>
      <c r="J14" s="99" t="s">
        <v>163</v>
      </c>
      <c r="K14" s="99">
        <v>75</v>
      </c>
      <c r="R14" s="32" t="s">
        <v>136</v>
      </c>
      <c r="S14">
        <v>31</v>
      </c>
      <c r="T14">
        <v>1640</v>
      </c>
    </row>
    <row r="15" spans="1:20" s="99" customFormat="1" x14ac:dyDescent="0.3">
      <c r="A15" s="99" t="s">
        <v>103</v>
      </c>
      <c r="B15" s="100">
        <v>44891</v>
      </c>
      <c r="C15" s="99">
        <v>1.5</v>
      </c>
      <c r="D15" s="99">
        <v>50</v>
      </c>
      <c r="E15" s="99">
        <v>75</v>
      </c>
      <c r="F15" s="99" t="s">
        <v>66</v>
      </c>
      <c r="G15" s="99" t="s">
        <v>66</v>
      </c>
      <c r="H15" s="99" t="s">
        <v>174</v>
      </c>
      <c r="I15" s="99" t="s">
        <v>68</v>
      </c>
      <c r="J15" s="99" t="s">
        <v>163</v>
      </c>
      <c r="K15" s="99">
        <v>75</v>
      </c>
      <c r="L15" s="99" t="s">
        <v>175</v>
      </c>
      <c r="R15"/>
      <c r="S15"/>
      <c r="T15"/>
    </row>
    <row r="16" spans="1:20" s="99" customFormat="1" x14ac:dyDescent="0.3">
      <c r="A16" s="99" t="s">
        <v>103</v>
      </c>
      <c r="B16" s="100">
        <v>44892</v>
      </c>
      <c r="C16" s="99">
        <v>1.5</v>
      </c>
      <c r="D16" s="99">
        <v>50</v>
      </c>
      <c r="E16" s="99">
        <v>75</v>
      </c>
      <c r="F16" s="99" t="s">
        <v>66</v>
      </c>
      <c r="G16" s="99" t="s">
        <v>66</v>
      </c>
      <c r="H16" s="99" t="s">
        <v>176</v>
      </c>
      <c r="I16" s="99" t="s">
        <v>68</v>
      </c>
      <c r="J16" s="99" t="s">
        <v>163</v>
      </c>
      <c r="K16" s="99">
        <v>75</v>
      </c>
      <c r="R16"/>
      <c r="S16"/>
      <c r="T16"/>
    </row>
    <row r="17" spans="1:20" x14ac:dyDescent="0.3">
      <c r="A17" s="95" t="s">
        <v>106</v>
      </c>
      <c r="B17" s="95">
        <v>44868</v>
      </c>
      <c r="C17" s="96">
        <v>1.25</v>
      </c>
      <c r="D17" s="96">
        <v>50</v>
      </c>
      <c r="E17" s="96">
        <v>62.5</v>
      </c>
      <c r="F17" s="96" t="s">
        <v>66</v>
      </c>
      <c r="G17" s="96" t="s">
        <v>66</v>
      </c>
      <c r="H17" s="96" t="s">
        <v>177</v>
      </c>
      <c r="I17" s="96" t="s">
        <v>68</v>
      </c>
      <c r="J17" s="96" t="s">
        <v>66</v>
      </c>
      <c r="K17" s="96">
        <v>62.5</v>
      </c>
      <c r="R17"/>
      <c r="S17"/>
      <c r="T17"/>
    </row>
    <row r="18" spans="1:20" x14ac:dyDescent="0.3">
      <c r="A18" s="96" t="s">
        <v>106</v>
      </c>
      <c r="B18" s="95">
        <v>44873</v>
      </c>
      <c r="C18" s="96">
        <v>1</v>
      </c>
      <c r="D18" s="96">
        <v>50</v>
      </c>
      <c r="E18" s="96">
        <v>50</v>
      </c>
      <c r="F18" s="96" t="s">
        <v>66</v>
      </c>
      <c r="G18" s="96" t="s">
        <v>66</v>
      </c>
      <c r="H18" s="96" t="s">
        <v>178</v>
      </c>
      <c r="I18" s="96" t="s">
        <v>68</v>
      </c>
      <c r="J18" s="96" t="s">
        <v>163</v>
      </c>
      <c r="K18" s="96">
        <v>50</v>
      </c>
      <c r="R18"/>
      <c r="S18"/>
      <c r="T18"/>
    </row>
    <row r="19" spans="1:20" x14ac:dyDescent="0.3">
      <c r="A19" s="96" t="s">
        <v>106</v>
      </c>
      <c r="B19" s="95">
        <v>44875</v>
      </c>
      <c r="C19" s="96">
        <v>1.25</v>
      </c>
      <c r="D19" s="96">
        <v>50</v>
      </c>
      <c r="E19" s="96">
        <v>62.5</v>
      </c>
      <c r="F19" s="96" t="s">
        <v>66</v>
      </c>
      <c r="G19" s="96" t="s">
        <v>66</v>
      </c>
      <c r="H19" s="96" t="s">
        <v>179</v>
      </c>
      <c r="I19" s="96" t="s">
        <v>68</v>
      </c>
      <c r="J19" s="96" t="s">
        <v>163</v>
      </c>
      <c r="K19" s="96">
        <v>62.5</v>
      </c>
      <c r="R19"/>
      <c r="S19"/>
      <c r="T19"/>
    </row>
    <row r="20" spans="1:20" s="99" customFormat="1" x14ac:dyDescent="0.3">
      <c r="A20" s="99" t="s">
        <v>106</v>
      </c>
      <c r="B20" s="100">
        <v>44886</v>
      </c>
      <c r="C20" s="99">
        <v>1.5</v>
      </c>
      <c r="D20" s="99">
        <v>50</v>
      </c>
      <c r="E20" s="99">
        <v>75</v>
      </c>
      <c r="F20" s="99" t="s">
        <v>66</v>
      </c>
      <c r="G20" s="99" t="s">
        <v>66</v>
      </c>
      <c r="H20" s="99" t="s">
        <v>178</v>
      </c>
      <c r="I20" s="99" t="s">
        <v>68</v>
      </c>
      <c r="J20" s="99" t="s">
        <v>163</v>
      </c>
      <c r="K20" s="99">
        <v>75</v>
      </c>
    </row>
    <row r="21" spans="1:20" s="99" customFormat="1" x14ac:dyDescent="0.3">
      <c r="A21" s="99" t="s">
        <v>106</v>
      </c>
      <c r="B21" s="100">
        <v>44891</v>
      </c>
      <c r="C21" s="99">
        <v>1</v>
      </c>
      <c r="D21" s="99">
        <v>50</v>
      </c>
      <c r="E21" s="99">
        <v>50</v>
      </c>
      <c r="F21" s="99" t="s">
        <v>66</v>
      </c>
      <c r="G21" s="99" t="s">
        <v>66</v>
      </c>
      <c r="H21" s="99" t="s">
        <v>178</v>
      </c>
      <c r="I21" s="99" t="s">
        <v>68</v>
      </c>
      <c r="J21" s="99" t="s">
        <v>163</v>
      </c>
      <c r="K21" s="99">
        <v>50</v>
      </c>
      <c r="L21" s="99" t="s">
        <v>175</v>
      </c>
    </row>
    <row r="22" spans="1:20" s="99" customFormat="1" x14ac:dyDescent="0.3">
      <c r="A22" s="99" t="s">
        <v>106</v>
      </c>
      <c r="B22" s="100">
        <v>44892</v>
      </c>
      <c r="C22" s="99">
        <v>2</v>
      </c>
      <c r="D22" s="99">
        <v>50</v>
      </c>
      <c r="E22" s="99">
        <v>100</v>
      </c>
      <c r="F22" s="99" t="s">
        <v>66</v>
      </c>
      <c r="G22" s="99" t="s">
        <v>66</v>
      </c>
      <c r="H22" s="99" t="s">
        <v>178</v>
      </c>
      <c r="I22" s="99" t="s">
        <v>68</v>
      </c>
      <c r="J22" s="99" t="s">
        <v>163</v>
      </c>
      <c r="K22" s="99">
        <v>100</v>
      </c>
    </row>
    <row r="23" spans="1:20" s="99" customFormat="1" x14ac:dyDescent="0.3">
      <c r="A23" s="99" t="s">
        <v>106</v>
      </c>
      <c r="B23" s="100">
        <v>44893</v>
      </c>
      <c r="C23" s="99">
        <v>1</v>
      </c>
      <c r="D23" s="99">
        <v>50</v>
      </c>
      <c r="E23" s="99">
        <v>50</v>
      </c>
      <c r="F23" s="99" t="s">
        <v>66</v>
      </c>
      <c r="G23" s="99" t="s">
        <v>66</v>
      </c>
      <c r="H23" s="99" t="s">
        <v>178</v>
      </c>
      <c r="I23" s="99" t="s">
        <v>68</v>
      </c>
      <c r="J23" s="99" t="s">
        <v>163</v>
      </c>
      <c r="K23" s="99">
        <v>50</v>
      </c>
    </row>
    <row r="24" spans="1:20" x14ac:dyDescent="0.3">
      <c r="A24" s="96" t="s">
        <v>109</v>
      </c>
      <c r="B24" s="95">
        <v>44895</v>
      </c>
      <c r="C24" s="96">
        <v>2</v>
      </c>
      <c r="D24" s="96">
        <v>50</v>
      </c>
      <c r="E24" s="96">
        <v>100</v>
      </c>
      <c r="F24" s="96" t="s">
        <v>66</v>
      </c>
      <c r="G24" s="96" t="s">
        <v>66</v>
      </c>
      <c r="H24" s="96" t="s">
        <v>180</v>
      </c>
      <c r="I24" s="96" t="s">
        <v>68</v>
      </c>
      <c r="J24" s="96" t="s">
        <v>163</v>
      </c>
      <c r="K24" s="96">
        <v>100</v>
      </c>
    </row>
    <row r="25" spans="1:20" x14ac:dyDescent="0.3">
      <c r="A25" s="96" t="s">
        <v>111</v>
      </c>
      <c r="B25" s="95">
        <v>44886</v>
      </c>
      <c r="C25" s="96">
        <v>1</v>
      </c>
      <c r="D25" s="96">
        <v>60</v>
      </c>
      <c r="E25" s="96">
        <v>60</v>
      </c>
      <c r="F25" s="96" t="s">
        <v>66</v>
      </c>
      <c r="G25" s="96" t="s">
        <v>66</v>
      </c>
      <c r="H25" s="96" t="s">
        <v>181</v>
      </c>
      <c r="I25" s="96"/>
      <c r="J25" s="96" t="s">
        <v>163</v>
      </c>
      <c r="K25" s="96">
        <v>60</v>
      </c>
    </row>
    <row r="26" spans="1:20" x14ac:dyDescent="0.3">
      <c r="B26" s="101"/>
    </row>
    <row r="27" spans="1:20" x14ac:dyDescent="0.3">
      <c r="A27" s="93" t="s">
        <v>182</v>
      </c>
      <c r="K27" s="93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93"/>
    <col min="9" max="9" width="75.109375" style="93" bestFit="1" customWidth="1"/>
    <col min="10" max="16384" width="8.88671875" style="93"/>
  </cols>
  <sheetData>
    <row r="1" spans="1:9" x14ac:dyDescent="0.3">
      <c r="A1" s="94" t="s">
        <v>139</v>
      </c>
      <c r="B1" s="94" t="s">
        <v>140</v>
      </c>
      <c r="C1" s="94" t="s">
        <v>141</v>
      </c>
    </row>
    <row r="2" spans="1:9" x14ac:dyDescent="0.3">
      <c r="A2" s="101">
        <v>44825</v>
      </c>
      <c r="B2" s="93">
        <v>0.75</v>
      </c>
      <c r="C2" s="93">
        <f>B2*50</f>
        <v>37.5</v>
      </c>
      <c r="E2" s="93" t="s">
        <v>142</v>
      </c>
      <c r="I2" s="93" t="s">
        <v>143</v>
      </c>
    </row>
    <row r="3" spans="1:9" x14ac:dyDescent="0.3">
      <c r="A3" s="101">
        <v>44826</v>
      </c>
      <c r="B3" s="93">
        <v>1</v>
      </c>
      <c r="C3" s="93">
        <v>50</v>
      </c>
      <c r="E3" s="93">
        <f>C14+C15</f>
        <v>700</v>
      </c>
      <c r="I3" s="93" t="s">
        <v>144</v>
      </c>
    </row>
    <row r="4" spans="1:9" x14ac:dyDescent="0.3">
      <c r="A4" s="101">
        <v>44833</v>
      </c>
      <c r="B4" s="93">
        <v>2</v>
      </c>
      <c r="C4" s="93">
        <v>100</v>
      </c>
    </row>
    <row r="5" spans="1:9" x14ac:dyDescent="0.3">
      <c r="A5" s="101">
        <v>44836</v>
      </c>
      <c r="B5" s="93">
        <v>1.75</v>
      </c>
      <c r="C5" s="93">
        <v>87.5</v>
      </c>
    </row>
    <row r="6" spans="1:9" x14ac:dyDescent="0.3">
      <c r="A6" s="101">
        <v>44837</v>
      </c>
      <c r="B6" s="93">
        <v>0.75</v>
      </c>
      <c r="C6" s="93">
        <v>37.5</v>
      </c>
    </row>
    <row r="7" spans="1:9" x14ac:dyDescent="0.3">
      <c r="A7" s="101">
        <v>44838</v>
      </c>
      <c r="B7" s="93">
        <v>1.25</v>
      </c>
      <c r="C7" s="93">
        <v>62.5</v>
      </c>
    </row>
    <row r="8" spans="1:9" x14ac:dyDescent="0.3">
      <c r="A8" s="101">
        <v>44839</v>
      </c>
      <c r="B8" s="93">
        <v>1.5</v>
      </c>
      <c r="C8" s="93">
        <v>75</v>
      </c>
    </row>
    <row r="9" spans="1:9" x14ac:dyDescent="0.3">
      <c r="A9" s="101">
        <v>44846</v>
      </c>
      <c r="B9" s="93">
        <v>1.5</v>
      </c>
      <c r="C9" s="93">
        <v>75</v>
      </c>
    </row>
    <row r="10" spans="1:9" x14ac:dyDescent="0.3">
      <c r="A10" s="101">
        <v>44850</v>
      </c>
      <c r="B10" s="93">
        <v>1.5</v>
      </c>
      <c r="C10" s="93">
        <v>75</v>
      </c>
    </row>
    <row r="11" spans="1:9" x14ac:dyDescent="0.3">
      <c r="A11" s="101"/>
    </row>
    <row r="12" spans="1:9" x14ac:dyDescent="0.3">
      <c r="A12" s="102" t="s">
        <v>0</v>
      </c>
      <c r="B12" s="93">
        <f>SUM(B2:B10)</f>
        <v>12</v>
      </c>
      <c r="C12" s="93">
        <f>B12*50</f>
        <v>600</v>
      </c>
    </row>
    <row r="14" spans="1:9" x14ac:dyDescent="0.3">
      <c r="A14" s="93" t="s">
        <v>145</v>
      </c>
      <c r="B14" s="93">
        <v>12</v>
      </c>
      <c r="C14" s="93">
        <v>600</v>
      </c>
    </row>
    <row r="15" spans="1:9" x14ac:dyDescent="0.3">
      <c r="A15" s="93" t="s">
        <v>146</v>
      </c>
      <c r="C15" s="103">
        <v>100</v>
      </c>
    </row>
    <row r="16" spans="1:9" x14ac:dyDescent="0.3">
      <c r="A16" s="93" t="s">
        <v>147</v>
      </c>
      <c r="B16" s="93">
        <v>0</v>
      </c>
      <c r="C16" s="93">
        <v>0</v>
      </c>
    </row>
    <row r="17" spans="1:3" s="104" customFormat="1" x14ac:dyDescent="0.3"/>
    <row r="18" spans="1:3" x14ac:dyDescent="0.3">
      <c r="A18" s="94" t="s">
        <v>139</v>
      </c>
      <c r="B18" s="94" t="s">
        <v>140</v>
      </c>
      <c r="C18" s="94" t="s">
        <v>141</v>
      </c>
    </row>
    <row r="19" spans="1:3" x14ac:dyDescent="0.3">
      <c r="A19" s="101">
        <v>44852</v>
      </c>
      <c r="B19" s="93">
        <v>1</v>
      </c>
      <c r="C19" s="93">
        <v>50</v>
      </c>
    </row>
    <row r="20" spans="1:3" x14ac:dyDescent="0.3">
      <c r="A20" s="101">
        <v>44858</v>
      </c>
      <c r="B20" s="93">
        <v>1</v>
      </c>
      <c r="C20" s="93">
        <v>50</v>
      </c>
    </row>
    <row r="21" spans="1:3" x14ac:dyDescent="0.3">
      <c r="A21" s="101">
        <v>44859</v>
      </c>
      <c r="B21" s="93">
        <v>1</v>
      </c>
      <c r="C21" s="93">
        <v>50</v>
      </c>
    </row>
    <row r="22" spans="1:3" x14ac:dyDescent="0.3">
      <c r="A22" s="101">
        <v>44861</v>
      </c>
      <c r="B22" s="93">
        <v>2.5</v>
      </c>
      <c r="C22" s="93">
        <v>125</v>
      </c>
    </row>
    <row r="23" spans="1:3" ht="17.25" customHeight="1" x14ac:dyDescent="0.3">
      <c r="A23" s="101">
        <v>44862</v>
      </c>
      <c r="B23" s="93">
        <v>1</v>
      </c>
      <c r="C23" s="93">
        <v>50</v>
      </c>
    </row>
    <row r="24" spans="1:3" ht="17.25" customHeight="1" x14ac:dyDescent="0.3">
      <c r="A24" s="101">
        <v>44871</v>
      </c>
      <c r="B24" s="93">
        <v>1.5</v>
      </c>
      <c r="C24" s="93">
        <v>75</v>
      </c>
    </row>
    <row r="25" spans="1:3" ht="17.25" customHeight="1" x14ac:dyDescent="0.3">
      <c r="A25" s="101">
        <v>44872</v>
      </c>
      <c r="B25" s="93">
        <v>2</v>
      </c>
      <c r="C25" s="93">
        <v>100</v>
      </c>
    </row>
    <row r="26" spans="1:3" x14ac:dyDescent="0.3">
      <c r="A26" s="101">
        <v>44872</v>
      </c>
      <c r="B26" s="93">
        <v>1</v>
      </c>
      <c r="C26" s="93">
        <v>50</v>
      </c>
    </row>
    <row r="27" spans="1:3" x14ac:dyDescent="0.3">
      <c r="A27" s="101">
        <v>44872</v>
      </c>
      <c r="B27" s="93">
        <v>2</v>
      </c>
      <c r="C27" s="93">
        <v>100</v>
      </c>
    </row>
    <row r="28" spans="1:3" x14ac:dyDescent="0.3">
      <c r="A28" s="101">
        <v>44872</v>
      </c>
      <c r="B28" s="93">
        <v>1</v>
      </c>
      <c r="C28" s="93">
        <v>50</v>
      </c>
    </row>
    <row r="29" spans="1:3" x14ac:dyDescent="0.3">
      <c r="A29" s="101">
        <v>44873</v>
      </c>
      <c r="B29" s="93">
        <v>1.5</v>
      </c>
      <c r="C29" s="93">
        <v>75</v>
      </c>
    </row>
    <row r="30" spans="1:3" x14ac:dyDescent="0.3">
      <c r="A30" s="101">
        <v>44886</v>
      </c>
      <c r="B30" s="93">
        <v>1.5</v>
      </c>
      <c r="C30" s="93">
        <v>75</v>
      </c>
    </row>
    <row r="31" spans="1:3" x14ac:dyDescent="0.3">
      <c r="A31" s="101">
        <v>44891</v>
      </c>
      <c r="B31" s="93">
        <v>0.5</v>
      </c>
      <c r="C31" s="93">
        <v>25</v>
      </c>
    </row>
    <row r="32" spans="1:3" x14ac:dyDescent="0.3">
      <c r="A32" s="101">
        <v>44892</v>
      </c>
      <c r="B32" s="93">
        <v>1.5</v>
      </c>
      <c r="C32" s="93">
        <v>75</v>
      </c>
    </row>
    <row r="33" spans="1:5" x14ac:dyDescent="0.3">
      <c r="A33" s="101">
        <v>44893</v>
      </c>
      <c r="B33" s="93">
        <v>1</v>
      </c>
      <c r="C33" s="93">
        <v>50</v>
      </c>
    </row>
    <row r="34" spans="1:5" x14ac:dyDescent="0.3">
      <c r="A34" s="102" t="s">
        <v>0</v>
      </c>
      <c r="B34" s="93">
        <f>SUM(B19:B33)</f>
        <v>20</v>
      </c>
      <c r="C34" s="93">
        <f>B34*50</f>
        <v>1000</v>
      </c>
    </row>
    <row r="36" spans="1:5" x14ac:dyDescent="0.3">
      <c r="A36" s="93" t="s">
        <v>145</v>
      </c>
      <c r="B36" s="93">
        <v>14</v>
      </c>
      <c r="C36" s="93">
        <v>700</v>
      </c>
      <c r="E36" s="94"/>
    </row>
    <row r="37" spans="1:5" x14ac:dyDescent="0.3">
      <c r="A37" s="93" t="s">
        <v>146</v>
      </c>
      <c r="C37" s="103">
        <v>100</v>
      </c>
    </row>
    <row r="38" spans="1:5" x14ac:dyDescent="0.3">
      <c r="A38" s="93" t="s">
        <v>147</v>
      </c>
      <c r="C38" s="93">
        <v>300</v>
      </c>
    </row>
    <row r="39" spans="1:5" s="104" customFormat="1" x14ac:dyDescent="0.3"/>
    <row r="40" spans="1:5" x14ac:dyDescent="0.3">
      <c r="A40" s="94" t="s">
        <v>139</v>
      </c>
      <c r="B40" s="94" t="s">
        <v>140</v>
      </c>
      <c r="C40" s="94" t="s">
        <v>141</v>
      </c>
    </row>
    <row r="41" spans="1:5" x14ac:dyDescent="0.3">
      <c r="A41" s="93" t="s">
        <v>183</v>
      </c>
      <c r="C41" s="93">
        <v>300</v>
      </c>
    </row>
    <row r="42" spans="1:5" x14ac:dyDescent="0.3">
      <c r="A42" s="101">
        <v>44899</v>
      </c>
      <c r="B42" s="93">
        <v>1.5</v>
      </c>
      <c r="C42" s="93">
        <v>75</v>
      </c>
    </row>
    <row r="43" spans="1:5" x14ac:dyDescent="0.3">
      <c r="A43" s="101"/>
    </row>
    <row r="45" spans="1:5" x14ac:dyDescent="0.3">
      <c r="A45" s="102" t="s">
        <v>0</v>
      </c>
      <c r="C45" s="93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2D64-666F-4408-A2A3-D3F056CE9A9A}">
  <sheetPr>
    <tabColor theme="1"/>
    <pageSetUpPr fitToPage="1"/>
  </sheetPr>
  <dimension ref="B8:T31"/>
  <sheetViews>
    <sheetView showGridLines="0" topLeftCell="A8" workbookViewId="0">
      <selection activeCell="B1" sqref="B1:P49"/>
    </sheetView>
  </sheetViews>
  <sheetFormatPr defaultRowHeight="14.4" x14ac:dyDescent="0.3"/>
  <cols>
    <col min="2" max="2" width="34" bestFit="1" customWidth="1"/>
    <col min="3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8" spans="2:16" x14ac:dyDescent="0.3">
      <c r="B8" s="680" t="s">
        <v>228</v>
      </c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  <c r="O8" s="680"/>
      <c r="P8" s="680"/>
    </row>
    <row r="10" spans="2:16" ht="15.6" x14ac:dyDescent="0.3">
      <c r="B10" s="49"/>
      <c r="C10" s="121" t="str">
        <f>TEXT('Monthly Detail'!D3,"mmmm")</f>
        <v>January</v>
      </c>
      <c r="D10" s="50" t="str">
        <f>TEXT('Monthly Detail'!E3,"mmmm")</f>
        <v>February</v>
      </c>
      <c r="E10" s="50" t="str">
        <f>TEXT('Monthly Detail'!F3,"mmmm")</f>
        <v>March</v>
      </c>
      <c r="F10" s="50" t="str">
        <f>TEXT('Monthly Detail'!G3,"mmmm")</f>
        <v>April</v>
      </c>
      <c r="G10" s="50" t="str">
        <f>TEXT('Monthly Detail'!H3,"mmmm")</f>
        <v>May</v>
      </c>
      <c r="H10" s="50" t="str">
        <f>TEXT('Monthly Detail'!I3,"mmmm")</f>
        <v>June</v>
      </c>
      <c r="I10" s="50" t="str">
        <f>TEXT('Monthly Detail'!J3,"mmmm")</f>
        <v>July</v>
      </c>
      <c r="J10" s="50" t="str">
        <f>TEXT('Monthly Detail'!K3,"mmmm")</f>
        <v>August</v>
      </c>
      <c r="K10" s="50" t="str">
        <f>TEXT('Monthly Detail'!L3,"mmmm")</f>
        <v>September</v>
      </c>
      <c r="L10" s="50" t="str">
        <f>TEXT('Monthly Detail'!M3,"mmmm")</f>
        <v>October</v>
      </c>
      <c r="M10" s="50" t="str">
        <f>TEXT('Monthly Detail'!N3,"mmmm")</f>
        <v>November</v>
      </c>
      <c r="N10" s="50" t="str">
        <f>TEXT('Monthly Detail'!O3,"mmmm")</f>
        <v>December</v>
      </c>
      <c r="O10" s="51"/>
      <c r="P10" s="52" t="s">
        <v>0</v>
      </c>
    </row>
    <row r="11" spans="2:16" x14ac:dyDescent="0.3">
      <c r="B11" s="7"/>
      <c r="C11" s="12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3">
      <c r="B12" s="53" t="s">
        <v>51</v>
      </c>
      <c r="C12" s="123">
        <f>SUMIF('Monthly Detail'!$3:$3, '2024 Overview (Budget)'!C$11, 'Monthly Detail'!8:8)</f>
        <v>0</v>
      </c>
      <c r="D12" s="54">
        <f>+'2024 AOP'!D12</f>
        <v>4844.1611842105267</v>
      </c>
      <c r="E12" s="54">
        <f>+'2024 AOP'!E12</f>
        <v>3944.633152173913</v>
      </c>
      <c r="F12" s="54">
        <f>+'2024 AOP'!F12</f>
        <v>5914.9553571428578</v>
      </c>
      <c r="G12" s="54">
        <f>+'2024 AOP'!G12</f>
        <v>9283.8541666666679</v>
      </c>
      <c r="H12" s="54">
        <f>+'2024 AOP'!H12</f>
        <v>6091.382575757576</v>
      </c>
      <c r="I12" s="54">
        <f>+'2024 AOP'!I12</f>
        <v>8868.75</v>
      </c>
      <c r="J12" s="54">
        <f>+'2024 AOP'!J12</f>
        <v>8337.0364450127872</v>
      </c>
      <c r="K12" s="54">
        <f>+'2024 AOP'!K12</f>
        <v>11563.577586206897</v>
      </c>
      <c r="L12" s="54">
        <f>+'2024 AOP'!L12</f>
        <v>9344.2604758522739</v>
      </c>
      <c r="M12" s="54">
        <f>+'2024 AOP'!M12</f>
        <v>5520.01953125</v>
      </c>
      <c r="N12" s="54">
        <f>+'2024 AOP'!N12</f>
        <v>3421.0526315789475</v>
      </c>
      <c r="O12" s="54"/>
      <c r="P12" s="54">
        <f>SUM(C12:O12)</f>
        <v>77133.683105852455</v>
      </c>
    </row>
    <row r="13" spans="2:16" x14ac:dyDescent="0.3">
      <c r="B13" s="53" t="s">
        <v>158</v>
      </c>
      <c r="C13" s="123" t="e">
        <f>SUMIF('Monthly Detail'!$3:$3, '2024 Overview (Budget)'!C$11, 'Monthly Detail'!#REF!)</f>
        <v>#REF!</v>
      </c>
      <c r="D13" s="54">
        <f>+'2024 AOP'!D13</f>
        <v>49.5</v>
      </c>
      <c r="E13" s="54">
        <f>+'2024 AOP'!E13</f>
        <v>49.5</v>
      </c>
      <c r="F13" s="54">
        <f>+'2024 AOP'!F13</f>
        <v>49.5</v>
      </c>
      <c r="G13" s="54">
        <f>+'2024 AOP'!G13</f>
        <v>49.5</v>
      </c>
      <c r="H13" s="54">
        <f>+'2024 AOP'!H13</f>
        <v>49.5</v>
      </c>
      <c r="I13" s="54">
        <f>+'2024 AOP'!I13</f>
        <v>49.5</v>
      </c>
      <c r="J13" s="54">
        <f>+'2024 AOP'!J13</f>
        <v>49.5</v>
      </c>
      <c r="K13" s="54">
        <f>+'2024 AOP'!K13</f>
        <v>49.5</v>
      </c>
      <c r="L13" s="54">
        <f>+'2024 AOP'!L13</f>
        <v>49.5</v>
      </c>
      <c r="M13" s="54">
        <f>+'2024 AOP'!M13</f>
        <v>49.5</v>
      </c>
      <c r="N13" s="54">
        <f>+'2024 AOP'!N13</f>
        <v>49.5</v>
      </c>
      <c r="O13" s="54"/>
      <c r="P13" s="54"/>
    </row>
    <row r="14" spans="2:16" x14ac:dyDescent="0.3">
      <c r="B14" s="55" t="s">
        <v>3</v>
      </c>
      <c r="C14" s="124" t="e">
        <f>SUM(C12:C13)</f>
        <v>#REF!</v>
      </c>
      <c r="D14" s="55">
        <f t="shared" ref="D14:N14" si="0">SUM(D12:D13)</f>
        <v>4893.6611842105267</v>
      </c>
      <c r="E14" s="55">
        <f t="shared" si="0"/>
        <v>3994.133152173913</v>
      </c>
      <c r="F14" s="55">
        <f t="shared" si="0"/>
        <v>5964.4553571428578</v>
      </c>
      <c r="G14" s="55">
        <f t="shared" si="0"/>
        <v>9333.3541666666679</v>
      </c>
      <c r="H14" s="55">
        <f t="shared" si="0"/>
        <v>6140.882575757576</v>
      </c>
      <c r="I14" s="55">
        <f t="shared" si="0"/>
        <v>8918.25</v>
      </c>
      <c r="J14" s="55">
        <f t="shared" si="0"/>
        <v>8386.5364450127872</v>
      </c>
      <c r="K14" s="55">
        <f t="shared" si="0"/>
        <v>11613.077586206897</v>
      </c>
      <c r="L14" s="55">
        <f t="shared" si="0"/>
        <v>9393.7604758522739</v>
      </c>
      <c r="M14" s="55">
        <f t="shared" si="0"/>
        <v>5569.51953125</v>
      </c>
      <c r="N14" s="55">
        <f t="shared" si="0"/>
        <v>3470.5526315789475</v>
      </c>
      <c r="O14" s="56"/>
      <c r="P14" s="55">
        <f>SUM(P12:P12)</f>
        <v>77133.683105852455</v>
      </c>
    </row>
    <row r="15" spans="2:16" x14ac:dyDescent="0.3">
      <c r="B15" s="7"/>
      <c r="C15" s="125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P15" s="57"/>
    </row>
    <row r="16" spans="2:16" ht="15.6" x14ac:dyDescent="0.3">
      <c r="B16" s="68" t="s">
        <v>149</v>
      </c>
      <c r="C16" s="126" t="e">
        <f>C14</f>
        <v>#REF!</v>
      </c>
      <c r="D16" s="69">
        <f t="shared" ref="D16:N16" si="1">D14</f>
        <v>4893.6611842105267</v>
      </c>
      <c r="E16" s="69">
        <f t="shared" si="1"/>
        <v>3994.133152173913</v>
      </c>
      <c r="F16" s="69">
        <f t="shared" si="1"/>
        <v>5964.4553571428578</v>
      </c>
      <c r="G16" s="69">
        <f t="shared" si="1"/>
        <v>9333.3541666666679</v>
      </c>
      <c r="H16" s="69">
        <f t="shared" si="1"/>
        <v>6140.882575757576</v>
      </c>
      <c r="I16" s="69">
        <f t="shared" si="1"/>
        <v>8918.25</v>
      </c>
      <c r="J16" s="69">
        <f t="shared" si="1"/>
        <v>8386.5364450127872</v>
      </c>
      <c r="K16" s="69">
        <f t="shared" si="1"/>
        <v>11613.077586206897</v>
      </c>
      <c r="L16" s="69">
        <f t="shared" si="1"/>
        <v>9393.7604758522739</v>
      </c>
      <c r="M16" s="69">
        <f t="shared" si="1"/>
        <v>5569.51953125</v>
      </c>
      <c r="N16" s="69">
        <f t="shared" si="1"/>
        <v>3470.5526315789475</v>
      </c>
      <c r="O16" s="58"/>
      <c r="P16" s="69">
        <f>P14</f>
        <v>77133.683105852455</v>
      </c>
    </row>
    <row r="17" spans="2:20" x14ac:dyDescent="0.3">
      <c r="B17" s="70" t="s">
        <v>150</v>
      </c>
      <c r="C17" s="127" t="e">
        <f t="shared" ref="C17:N17" si="2">C16/C14</f>
        <v>#REF!</v>
      </c>
      <c r="D17" s="71">
        <f t="shared" si="2"/>
        <v>1</v>
      </c>
      <c r="E17" s="71">
        <f t="shared" si="2"/>
        <v>1</v>
      </c>
      <c r="F17" s="71">
        <f t="shared" si="2"/>
        <v>1</v>
      </c>
      <c r="G17" s="71">
        <f t="shared" si="2"/>
        <v>1</v>
      </c>
      <c r="H17" s="71">
        <f t="shared" si="2"/>
        <v>1</v>
      </c>
      <c r="I17" s="71">
        <f t="shared" si="2"/>
        <v>1</v>
      </c>
      <c r="J17" s="71">
        <f t="shared" si="2"/>
        <v>1</v>
      </c>
      <c r="K17" s="71">
        <f t="shared" si="2"/>
        <v>1</v>
      </c>
      <c r="L17" s="71">
        <f t="shared" si="2"/>
        <v>1</v>
      </c>
      <c r="M17" s="71">
        <f t="shared" si="2"/>
        <v>1</v>
      </c>
      <c r="N17" s="71">
        <f t="shared" si="2"/>
        <v>1</v>
      </c>
      <c r="O17" s="7"/>
      <c r="P17" s="71">
        <f>P16/P14</f>
        <v>1</v>
      </c>
    </row>
    <row r="18" spans="2:20" x14ac:dyDescent="0.3">
      <c r="B18" s="7"/>
      <c r="C18" s="92"/>
    </row>
    <row r="19" spans="2:20" x14ac:dyDescent="0.3">
      <c r="B19" s="7" t="s">
        <v>186</v>
      </c>
      <c r="C19" s="123">
        <f>SUMIF('Monthly Detail'!$3:$3, '2024 Overview (Budget)'!C$11, 'Monthly Detail'!$76:$76)</f>
        <v>1735.88</v>
      </c>
      <c r="D19" s="54">
        <f>+'2024 AOP'!D20</f>
        <v>810.76066666666679</v>
      </c>
      <c r="E19" s="54">
        <f>+'2024 AOP'!E20</f>
        <v>810.76066666666679</v>
      </c>
      <c r="F19" s="54">
        <f>+'2024 AOP'!F20</f>
        <v>960.76066666666679</v>
      </c>
      <c r="G19" s="54">
        <f>+'2024 AOP'!G20</f>
        <v>810.76066666666679</v>
      </c>
      <c r="H19" s="54">
        <f>+'2024 AOP'!H20</f>
        <v>810.76066666666679</v>
      </c>
      <c r="I19" s="54">
        <f>+'2024 AOP'!I20</f>
        <v>960.76066666666679</v>
      </c>
      <c r="J19" s="54">
        <f>+'2024 AOP'!J20</f>
        <v>810.76066666666679</v>
      </c>
      <c r="K19" s="54">
        <f>+'2024 AOP'!K20</f>
        <v>1291.4503218390807</v>
      </c>
      <c r="L19" s="54">
        <f>+'2024 AOP'!L20</f>
        <v>960.76066666666679</v>
      </c>
      <c r="M19" s="54">
        <f>+'2024 AOP'!M20</f>
        <v>810.76066666666679</v>
      </c>
      <c r="N19" s="54">
        <f>+'2024 AOP'!N20</f>
        <v>810.76066666666679</v>
      </c>
      <c r="P19" s="54">
        <f>SUM(C19:O19)</f>
        <v>11584.936988505751</v>
      </c>
      <c r="T19" s="1"/>
    </row>
    <row r="20" spans="2:20" x14ac:dyDescent="0.3">
      <c r="B20" s="59" t="s">
        <v>151</v>
      </c>
      <c r="C20" s="128">
        <f t="shared" ref="C20:N20" si="3">SUM(C19:C19)</f>
        <v>1735.88</v>
      </c>
      <c r="D20" s="60">
        <f t="shared" si="3"/>
        <v>810.76066666666679</v>
      </c>
      <c r="E20" s="60">
        <f t="shared" si="3"/>
        <v>810.76066666666679</v>
      </c>
      <c r="F20" s="60">
        <f t="shared" si="3"/>
        <v>960.76066666666679</v>
      </c>
      <c r="G20" s="60">
        <f t="shared" si="3"/>
        <v>810.76066666666679</v>
      </c>
      <c r="H20" s="60">
        <f t="shared" si="3"/>
        <v>810.76066666666679</v>
      </c>
      <c r="I20" s="60">
        <f t="shared" si="3"/>
        <v>960.76066666666679</v>
      </c>
      <c r="J20" s="60">
        <f t="shared" si="3"/>
        <v>810.76066666666679</v>
      </c>
      <c r="K20" s="60">
        <f t="shared" si="3"/>
        <v>1291.4503218390807</v>
      </c>
      <c r="L20" s="60">
        <f t="shared" si="3"/>
        <v>960.76066666666679</v>
      </c>
      <c r="M20" s="60">
        <f t="shared" si="3"/>
        <v>810.76066666666679</v>
      </c>
      <c r="N20" s="60">
        <f t="shared" si="3"/>
        <v>810.76066666666679</v>
      </c>
      <c r="O20" s="61"/>
      <c r="P20" s="60">
        <f>SUM(P19:P19)</f>
        <v>11584.936988505751</v>
      </c>
    </row>
    <row r="21" spans="2:20" x14ac:dyDescent="0.3">
      <c r="B21" s="7"/>
      <c r="C21" s="92"/>
    </row>
    <row r="22" spans="2:20" ht="15.6" x14ac:dyDescent="0.3">
      <c r="B22" s="68" t="s">
        <v>152</v>
      </c>
      <c r="C22" s="126" t="e">
        <f t="shared" ref="C22:N22" si="4">C16-C20</f>
        <v>#REF!</v>
      </c>
      <c r="D22" s="69">
        <f>D16-D20</f>
        <v>4082.9005175438597</v>
      </c>
      <c r="E22" s="69">
        <f t="shared" si="4"/>
        <v>3183.372485507246</v>
      </c>
      <c r="F22" s="69">
        <f t="shared" si="4"/>
        <v>5003.6946904761908</v>
      </c>
      <c r="G22" s="69">
        <f t="shared" si="4"/>
        <v>8522.5935000000009</v>
      </c>
      <c r="H22" s="69">
        <f t="shared" si="4"/>
        <v>5330.121909090909</v>
      </c>
      <c r="I22" s="69">
        <f t="shared" si="4"/>
        <v>7957.489333333333</v>
      </c>
      <c r="J22" s="69">
        <f t="shared" si="4"/>
        <v>7575.7757783461202</v>
      </c>
      <c r="K22" s="69">
        <f t="shared" si="4"/>
        <v>10321.627264367817</v>
      </c>
      <c r="L22" s="69">
        <f t="shared" si="4"/>
        <v>8432.9998091856069</v>
      </c>
      <c r="M22" s="69">
        <f t="shared" si="4"/>
        <v>4758.758864583333</v>
      </c>
      <c r="N22" s="69">
        <f t="shared" si="4"/>
        <v>2659.7919649122805</v>
      </c>
      <c r="O22" s="58"/>
      <c r="P22" s="69">
        <f>P16-P20</f>
        <v>65548.746117346702</v>
      </c>
    </row>
    <row r="23" spans="2:20" x14ac:dyDescent="0.3">
      <c r="B23" s="70" t="s">
        <v>153</v>
      </c>
      <c r="C23" s="127" t="e">
        <f t="shared" ref="C23:N23" si="5">C22/C14</f>
        <v>#REF!</v>
      </c>
      <c r="D23" s="71">
        <f t="shared" si="5"/>
        <v>0.83432431544656205</v>
      </c>
      <c r="E23" s="71">
        <f t="shared" si="5"/>
        <v>0.79701210856593774</v>
      </c>
      <c r="F23" s="71">
        <f t="shared" si="5"/>
        <v>0.83891896088783902</v>
      </c>
      <c r="G23" s="71">
        <f t="shared" si="5"/>
        <v>0.91313297961388473</v>
      </c>
      <c r="H23" s="71">
        <f t="shared" si="5"/>
        <v>0.8679732666005836</v>
      </c>
      <c r="I23" s="71">
        <f t="shared" si="5"/>
        <v>0.89227026976518187</v>
      </c>
      <c r="J23" s="71">
        <f t="shared" si="5"/>
        <v>0.90332592340324225</v>
      </c>
      <c r="K23" s="71">
        <f t="shared" si="5"/>
        <v>0.88879344753771705</v>
      </c>
      <c r="L23" s="71">
        <f t="shared" si="5"/>
        <v>0.89772352944953071</v>
      </c>
      <c r="M23" s="71">
        <f t="shared" si="5"/>
        <v>0.85442897504576965</v>
      </c>
      <c r="N23" s="71">
        <f t="shared" si="5"/>
        <v>0.76638859780155333</v>
      </c>
      <c r="O23" s="7"/>
      <c r="P23" s="71">
        <f>P22/P14</f>
        <v>0.84980702953588438</v>
      </c>
    </row>
    <row r="24" spans="2:20" x14ac:dyDescent="0.3">
      <c r="B24" s="62"/>
      <c r="C24" s="129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P24" s="63"/>
    </row>
    <row r="25" spans="2:20" x14ac:dyDescent="0.3">
      <c r="B25" s="7" t="s">
        <v>154</v>
      </c>
      <c r="C25" s="130">
        <f>SUMIF('Monthly Detail'!$3:$3, '2024 Overview (Budget)'!C$11, 'Monthly Detail'!84:84)</f>
        <v>0</v>
      </c>
      <c r="D25" s="105">
        <f>SUMIF('Monthly Detail'!$3:$3, '2024 Overview (Budget)'!D$11, 'Monthly Detail'!84:84)</f>
        <v>0</v>
      </c>
      <c r="E25" s="108">
        <f>SUMIF('Monthly Detail'!$3:$3, '2024 Overview (Budget)'!E$11, 'Monthly Detail'!84:84)</f>
        <v>0</v>
      </c>
      <c r="F25" s="105">
        <f>SUMIF('Monthly Detail'!$3:$3, '2024 Overview (Budget)'!F$11, 'Monthly Detail'!84:84)</f>
        <v>0</v>
      </c>
      <c r="G25" s="105">
        <f>SUMIF('Monthly Detail'!$3:$3, '2024 Overview (Budget)'!G$11, 'Monthly Detail'!84:84)</f>
        <v>0</v>
      </c>
      <c r="H25" s="105">
        <f>SUMIF('Monthly Detail'!$3:$3, '2024 Overview (Budget)'!H$11, 'Monthly Detail'!84:84)</f>
        <v>0</v>
      </c>
      <c r="I25" s="108">
        <f>SUMIF('Monthly Detail'!$3:$3, '2024 Overview (Budget)'!I$11, 'Monthly Detail'!84:84)</f>
        <v>300</v>
      </c>
      <c r="J25" s="105">
        <f>SUMIF('Monthly Detail'!$3:$3, '2024 Overview (Budget)'!J$11, 'Monthly Detail'!84:84)</f>
        <v>0</v>
      </c>
      <c r="K25" s="105">
        <f>SUMIF('Monthly Detail'!$3:$3, '2024 Overview (Budget)'!K$11, 'Monthly Detail'!84:84)</f>
        <v>300</v>
      </c>
      <c r="L25" s="105">
        <f>SUMIF('Monthly Detail'!$3:$3, '2024 Overview (Budget)'!L$11, 'Monthly Detail'!84:84)</f>
        <v>0</v>
      </c>
      <c r="M25" s="105">
        <f>SUMIF('Monthly Detail'!$3:$3, '2024 Overview (Budget)'!M$11, 'Monthly Detail'!84:84)</f>
        <v>0</v>
      </c>
      <c r="N25" s="105">
        <f>SUMIF('Monthly Detail'!$3:$3, '2024 Overview (Budget)'!N$11, 'Monthly Detail'!84:84)</f>
        <v>0</v>
      </c>
      <c r="O25" s="105"/>
      <c r="P25" s="90">
        <f>SUM(C25:O25)</f>
        <v>600</v>
      </c>
    </row>
    <row r="26" spans="2:20" ht="15.6" x14ac:dyDescent="0.3">
      <c r="B26" s="68" t="s">
        <v>12</v>
      </c>
      <c r="C26" s="126" t="e">
        <f t="shared" ref="C26:N26" si="6">C22+SUM(C25:C25)</f>
        <v>#REF!</v>
      </c>
      <c r="D26" s="69">
        <f t="shared" si="6"/>
        <v>4082.9005175438597</v>
      </c>
      <c r="E26" s="69">
        <f t="shared" si="6"/>
        <v>3183.372485507246</v>
      </c>
      <c r="F26" s="69">
        <f t="shared" si="6"/>
        <v>5003.6946904761908</v>
      </c>
      <c r="G26" s="69">
        <f t="shared" si="6"/>
        <v>8522.5935000000009</v>
      </c>
      <c r="H26" s="69">
        <f t="shared" si="6"/>
        <v>5330.121909090909</v>
      </c>
      <c r="I26" s="69">
        <f t="shared" si="6"/>
        <v>8257.489333333333</v>
      </c>
      <c r="J26" s="69">
        <f t="shared" si="6"/>
        <v>7575.7757783461202</v>
      </c>
      <c r="K26" s="69">
        <f t="shared" si="6"/>
        <v>10621.627264367817</v>
      </c>
      <c r="L26" s="69">
        <f t="shared" si="6"/>
        <v>8432.9998091856069</v>
      </c>
      <c r="M26" s="69">
        <f t="shared" si="6"/>
        <v>4758.758864583333</v>
      </c>
      <c r="N26" s="69">
        <f t="shared" si="6"/>
        <v>2659.7919649122805</v>
      </c>
      <c r="O26" s="58"/>
      <c r="P26" s="69">
        <f>P22+SUM(P25:P25)</f>
        <v>66148.746117346702</v>
      </c>
    </row>
    <row r="27" spans="2:20" x14ac:dyDescent="0.3">
      <c r="B27" s="70" t="s">
        <v>155</v>
      </c>
      <c r="C27" s="127" t="e">
        <f t="shared" ref="C27:N27" si="7">C26/C14</f>
        <v>#REF!</v>
      </c>
      <c r="D27" s="71">
        <f t="shared" si="7"/>
        <v>0.83432431544656205</v>
      </c>
      <c r="E27" s="71">
        <f t="shared" si="7"/>
        <v>0.79701210856593774</v>
      </c>
      <c r="F27" s="71">
        <f t="shared" si="7"/>
        <v>0.83891896088783902</v>
      </c>
      <c r="G27" s="71">
        <f t="shared" si="7"/>
        <v>0.91313297961388473</v>
      </c>
      <c r="H27" s="71">
        <f t="shared" si="7"/>
        <v>0.8679732666005836</v>
      </c>
      <c r="I27" s="71">
        <f t="shared" si="7"/>
        <v>0.92590915631803694</v>
      </c>
      <c r="J27" s="71">
        <f t="shared" si="7"/>
        <v>0.90332592340324225</v>
      </c>
      <c r="K27" s="71">
        <f t="shared" si="7"/>
        <v>0.91462639300570525</v>
      </c>
      <c r="L27" s="71">
        <f t="shared" si="7"/>
        <v>0.89772352944953071</v>
      </c>
      <c r="M27" s="71">
        <f t="shared" si="7"/>
        <v>0.85442897504576965</v>
      </c>
      <c r="N27" s="71">
        <f t="shared" si="7"/>
        <v>0.76638859780155333</v>
      </c>
      <c r="O27" s="7"/>
      <c r="P27" s="71">
        <f>P26/P14</f>
        <v>0.85758573237802149</v>
      </c>
    </row>
    <row r="28" spans="2:20" ht="15" thickBot="1" x14ac:dyDescent="0.35">
      <c r="B28" s="7"/>
      <c r="C28" s="92"/>
    </row>
    <row r="29" spans="2:20" ht="15" thickBot="1" x14ac:dyDescent="0.35">
      <c r="B29" s="64" t="s">
        <v>156</v>
      </c>
      <c r="C29" s="131">
        <f>SUMIF('Monthly Detail'!$3:$3, '2024 Overview (Budget)'!C$11, 'Monthly Detail'!179:179)</f>
        <v>95197.939999999973</v>
      </c>
      <c r="D29" s="134">
        <f>+'2024 AOP'!D30</f>
        <v>3316.6412282455376</v>
      </c>
      <c r="E29" s="65">
        <f>+'2024 AOP'!E30</f>
        <v>5497.8005183445657</v>
      </c>
      <c r="F29" s="134">
        <f>+'2024 AOP'!F30</f>
        <v>3302.7836486269971</v>
      </c>
      <c r="G29" s="65">
        <f>+'2024 AOP'!G30</f>
        <v>8871.8882385311808</v>
      </c>
      <c r="H29" s="65">
        <f>+'2024 AOP'!H30</f>
        <v>13456.513174061729</v>
      </c>
      <c r="I29" s="65">
        <f>+'2024 AOP'!I30</f>
        <v>18493.088487745135</v>
      </c>
      <c r="J29" s="134">
        <f>+'2024 AOP'!J30</f>
        <v>19751.221462811165</v>
      </c>
      <c r="K29" s="65">
        <f>+'2024 AOP'!K30</f>
        <v>23942.748287661394</v>
      </c>
      <c r="L29" s="65">
        <f>+'2024 AOP'!L30</f>
        <v>24840.367955744099</v>
      </c>
      <c r="M29" s="65">
        <f>+'2024 AOP'!M30</f>
        <v>26127.425582637512</v>
      </c>
      <c r="N29" s="65">
        <f>+'2024 AOP'!N30</f>
        <v>27707.064622903279</v>
      </c>
    </row>
    <row r="30" spans="2:20" ht="15" thickBot="1" x14ac:dyDescent="0.35">
      <c r="B30" s="66" t="s">
        <v>157</v>
      </c>
      <c r="C30" s="132">
        <f>SUMIF('Monthly Detail'!$3:$3, '2024 Overview (Budget)'!C$11, 'Monthly Detail'!176:176)</f>
        <v>-99451.290000000008</v>
      </c>
      <c r="D30" s="134">
        <f>+'2024 AOP'!D31</f>
        <v>2732.7059908997135</v>
      </c>
      <c r="E30" s="67">
        <f>+'2024 AOP'!E31</f>
        <v>2181.1592900990277</v>
      </c>
      <c r="F30" s="135">
        <f>+'2024 AOP'!F31</f>
        <v>-2195.0168697175686</v>
      </c>
      <c r="G30" s="67">
        <f>+'2024 AOP'!G31</f>
        <v>5569.1045899041828</v>
      </c>
      <c r="H30" s="67">
        <f>+'2024 AOP'!H31</f>
        <v>4584.6249355305481</v>
      </c>
      <c r="I30" s="67">
        <f>+'2024 AOP'!I31</f>
        <v>5036.5753136834055</v>
      </c>
      <c r="J30" s="135">
        <f>+'2024 AOP'!J31</f>
        <v>1258.1329750660307</v>
      </c>
      <c r="K30" s="67">
        <f>+'2024 AOP'!K31</f>
        <v>4191.5268248502307</v>
      </c>
      <c r="L30" s="67">
        <f>+'2024 AOP'!L31</f>
        <v>897.61966808270699</v>
      </c>
      <c r="M30" s="67">
        <f>+'2024 AOP'!M31</f>
        <v>1287.0576268934128</v>
      </c>
      <c r="N30" s="67">
        <f>+'2024 AOP'!N31</f>
        <v>1579.6390402657671</v>
      </c>
    </row>
    <row r="31" spans="2:20" x14ac:dyDescent="0.3">
      <c r="E31" s="9"/>
    </row>
  </sheetData>
  <mergeCells count="1">
    <mergeCell ref="B8:P8"/>
  </mergeCells>
  <pageMargins left="0.25" right="0.25" top="0.75" bottom="0.75" header="0.3" footer="0.3"/>
  <pageSetup scale="68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102"/>
  <sheetViews>
    <sheetView showGridLines="0" zoomScale="42" zoomScaleNormal="70" workbookViewId="0">
      <selection activeCell="B2" sqref="B2:Y52"/>
    </sheetView>
  </sheetViews>
  <sheetFormatPr defaultRowHeight="14.4" outlineLevelCol="1" x14ac:dyDescent="0.3"/>
  <cols>
    <col min="3" max="3" width="45.88671875" bestFit="1" customWidth="1"/>
    <col min="4" max="5" width="16.33203125" bestFit="1" customWidth="1"/>
    <col min="6" max="6" width="17.6640625" bestFit="1" customWidth="1"/>
    <col min="7" max="7" width="19.44140625" bestFit="1" customWidth="1"/>
    <col min="8" max="8" width="18.88671875" bestFit="1" customWidth="1"/>
    <col min="9" max="9" width="19.44140625" bestFit="1" customWidth="1"/>
    <col min="10" max="10" width="19.33203125" bestFit="1" customWidth="1"/>
    <col min="11" max="11" width="20" bestFit="1" customWidth="1"/>
    <col min="12" max="12" width="15.88671875" hidden="1" customWidth="1" outlineLevel="1"/>
    <col min="13" max="13" width="3" customWidth="1" collapsed="1"/>
  </cols>
  <sheetData>
    <row r="2" spans="2:25" ht="15" thickBot="1" x14ac:dyDescent="0.35"/>
    <row r="3" spans="2:25" ht="15.75" customHeight="1" x14ac:dyDescent="0.3"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6"/>
      <c r="N3" s="73"/>
      <c r="O3" s="75"/>
      <c r="P3" s="75"/>
      <c r="Q3" s="75"/>
      <c r="R3" s="75"/>
      <c r="S3" s="75"/>
      <c r="T3" s="75"/>
      <c r="U3" s="75"/>
      <c r="V3" s="75"/>
      <c r="W3" s="75"/>
      <c r="X3" s="75"/>
      <c r="Y3" s="76"/>
    </row>
    <row r="4" spans="2:25" ht="15" customHeight="1" x14ac:dyDescent="0.3">
      <c r="B4" s="77"/>
      <c r="C4" s="7"/>
      <c r="M4" s="78"/>
      <c r="N4" s="77"/>
      <c r="Y4" s="78"/>
    </row>
    <row r="5" spans="2:25" ht="15" customHeight="1" x14ac:dyDescent="0.3">
      <c r="B5" s="77"/>
      <c r="C5" s="7"/>
      <c r="M5" s="78"/>
      <c r="N5" s="77"/>
      <c r="Y5" s="78"/>
    </row>
    <row r="6" spans="2:25" ht="15" customHeight="1" x14ac:dyDescent="0.3">
      <c r="B6" s="77"/>
      <c r="C6" s="7"/>
      <c r="M6" s="78"/>
      <c r="N6" s="77"/>
      <c r="Y6" s="78"/>
    </row>
    <row r="7" spans="2:25" ht="15" customHeight="1" x14ac:dyDescent="0.3">
      <c r="B7" s="77"/>
      <c r="M7" s="78"/>
      <c r="N7" s="77"/>
      <c r="Y7" s="78"/>
    </row>
    <row r="8" spans="2:25" ht="15" customHeight="1" x14ac:dyDescent="0.3">
      <c r="B8" s="77"/>
      <c r="C8" s="7"/>
      <c r="M8" s="78"/>
      <c r="N8" s="77"/>
      <c r="Y8" s="78"/>
    </row>
    <row r="9" spans="2:25" ht="15" customHeight="1" x14ac:dyDescent="0.3">
      <c r="B9" s="77"/>
      <c r="M9" s="78"/>
      <c r="N9" s="77"/>
      <c r="Y9" s="78"/>
    </row>
    <row r="10" spans="2:25" ht="15" customHeight="1" x14ac:dyDescent="0.3">
      <c r="B10" s="77"/>
      <c r="C10" s="7"/>
      <c r="M10" s="78"/>
      <c r="N10" s="77"/>
      <c r="Y10" s="78"/>
    </row>
    <row r="11" spans="2:25" ht="15" customHeight="1" x14ac:dyDescent="0.3">
      <c r="B11" s="79"/>
      <c r="C11" s="301"/>
      <c r="D11" s="527">
        <v>2023</v>
      </c>
      <c r="E11" s="527">
        <f>+D11+1</f>
        <v>2024</v>
      </c>
      <c r="F11" s="527">
        <f t="shared" ref="F11:H11" si="0">+E11+1</f>
        <v>2025</v>
      </c>
      <c r="G11" s="527">
        <f t="shared" si="0"/>
        <v>2026</v>
      </c>
      <c r="H11" s="528">
        <f t="shared" si="0"/>
        <v>2027</v>
      </c>
      <c r="I11" s="528">
        <f t="shared" ref="I11" si="1">+H11+1</f>
        <v>2028</v>
      </c>
      <c r="J11" s="528">
        <f t="shared" ref="J11" si="2">+I11+1</f>
        <v>2029</v>
      </c>
      <c r="K11" s="528">
        <f t="shared" ref="K11" si="3">+J11+1</f>
        <v>2030</v>
      </c>
      <c r="L11" s="271"/>
      <c r="M11" s="80"/>
      <c r="N11" s="79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0"/>
    </row>
    <row r="12" spans="2:25" ht="15" customHeight="1" x14ac:dyDescent="0.3">
      <c r="B12" s="77"/>
      <c r="C12" s="248" t="s">
        <v>301</v>
      </c>
      <c r="D12" s="249"/>
      <c r="E12" s="249"/>
      <c r="F12" s="249"/>
      <c r="G12" s="249"/>
      <c r="H12" s="249"/>
      <c r="I12" s="249"/>
      <c r="J12" s="249"/>
      <c r="K12" s="250"/>
      <c r="L12" s="249"/>
      <c r="M12" s="78"/>
      <c r="N12" s="77"/>
      <c r="Y12" s="78"/>
    </row>
    <row r="13" spans="2:25" ht="15" customHeight="1" x14ac:dyDescent="0.3">
      <c r="B13" s="77"/>
      <c r="C13" s="251" t="s">
        <v>383</v>
      </c>
      <c r="D13" s="82">
        <f>SUMIF('Monthly Detail'!$1:$1,'Annual Summary'!D$11, 'Monthly Detail'!10:10)</f>
        <v>449999.99846153852</v>
      </c>
      <c r="E13" s="82">
        <f>SUMIF('Monthly Detail'!$1:$1,'Annual Summary'!E$11, 'Monthly Detail'!10:10)</f>
        <v>301995.00184718252</v>
      </c>
      <c r="F13" s="82">
        <f>SUMIF('Monthly Detail'!$1:$1,'Annual Summary'!F$11, 'Monthly Detail'!10:10)</f>
        <v>1580015.6672923509</v>
      </c>
      <c r="G13" s="82">
        <f>SUMIF('Monthly Detail'!$1:$1,'Annual Summary'!G$11, 'Monthly Detail'!10:10)</f>
        <v>2173685.7314123926</v>
      </c>
      <c r="H13" s="82">
        <f>SUMIF('Monthly Detail'!$1:$1,'Annual Summary'!H$11, 'Monthly Detail'!10:10)</f>
        <v>2653702.8460296723</v>
      </c>
      <c r="I13" s="82">
        <f>SUMIF('Monthly Detail'!$1:$1,'Annual Summary'!I$11, 'Monthly Detail'!10:10)</f>
        <v>3233332.8508916907</v>
      </c>
      <c r="J13" s="82">
        <f>SUMIF('Monthly Detail'!$1:$1,'Annual Summary'!J$11, 'Monthly Detail'!10:10)</f>
        <v>4092591.4132907987</v>
      </c>
      <c r="K13" s="252">
        <f>SUMIF('Monthly Detail'!$1:$1,'Annual Summary'!K$11, 'Monthly Detail'!10:10)</f>
        <v>6566671.4910830958</v>
      </c>
      <c r="L13" s="269"/>
      <c r="M13" s="78"/>
      <c r="N13" s="77"/>
      <c r="Y13" s="78"/>
    </row>
    <row r="14" spans="2:25" ht="15" customHeight="1" x14ac:dyDescent="0.3">
      <c r="B14" s="77"/>
      <c r="C14" s="251" t="s">
        <v>367</v>
      </c>
      <c r="D14" s="82">
        <f>SUMIF('Monthly Detail'!$1:$1,'Annual Summary'!D$11, 'Monthly Detail'!11:11)</f>
        <v>0</v>
      </c>
      <c r="E14" s="82">
        <f>SUMIF('Monthly Detail'!$1:$1,'Annual Summary'!E$11, 'Monthly Detail'!11:11)</f>
        <v>203798.03666666665</v>
      </c>
      <c r="F14" s="82">
        <f>SUMIF('Monthly Detail'!$1:$1,'Annual Summary'!F$11, 'Monthly Detail'!11:11)</f>
        <v>360000</v>
      </c>
      <c r="G14" s="82">
        <f>SUMIF('Monthly Detail'!$1:$1,'Annual Summary'!G$11, 'Monthly Detail'!11:11)</f>
        <v>420000</v>
      </c>
      <c r="H14" s="82">
        <f>SUMIF('Monthly Detail'!$1:$1,'Annual Summary'!H$11, 'Monthly Detail'!11:11)</f>
        <v>600000</v>
      </c>
      <c r="I14" s="82">
        <f>SUMIF('Monthly Detail'!$1:$1,'Annual Summary'!I$11, 'Monthly Detail'!11:11)</f>
        <v>720000</v>
      </c>
      <c r="J14" s="82">
        <f>SUMIF('Monthly Detail'!$1:$1,'Annual Summary'!J$11, 'Monthly Detail'!11:11)</f>
        <v>900000</v>
      </c>
      <c r="K14" s="252">
        <f>SUMIF('Monthly Detail'!$1:$1,'Annual Summary'!K$11, 'Monthly Detail'!11:11)</f>
        <v>1020000</v>
      </c>
      <c r="L14" s="269"/>
      <c r="M14" s="78"/>
      <c r="N14" s="77"/>
      <c r="Y14" s="78"/>
    </row>
    <row r="15" spans="2:25" ht="15" hidden="1" customHeight="1" x14ac:dyDescent="0.3">
      <c r="B15" s="77"/>
      <c r="C15" s="251" t="s">
        <v>372</v>
      </c>
      <c r="D15" s="82">
        <f>SUMIF('Monthly Detail'!$1:$1,'Annual Summary'!D$11, 'Monthly Detail'!135:135)</f>
        <v>525000</v>
      </c>
      <c r="E15" s="82">
        <f>SUMIF('Monthly Detail'!$1:$1,'Annual Summary'!E$11, 'Monthly Detail'!135:135)</f>
        <v>593393.03666666662</v>
      </c>
      <c r="F15" s="82">
        <f>SUMIF('Monthly Detail'!$1:$1,'Annual Summary'!F$11, 'Monthly Detail'!135:135)</f>
        <v>2220000</v>
      </c>
      <c r="G15" s="82">
        <f>SUMIF('Monthly Detail'!$1:$1,'Annual Summary'!G$11, 'Monthly Detail'!135:135)</f>
        <v>2375000</v>
      </c>
      <c r="H15" s="82">
        <f>SUMIF('Monthly Detail'!$1:$1,'Annual Summary'!H$11, 'Monthly Detail'!135:135)</f>
        <v>3310000</v>
      </c>
      <c r="I15" s="82">
        <f>SUMIF('Monthly Detail'!$1:$1,'Annual Summary'!I$11, 'Monthly Detail'!135:135)</f>
        <v>3985000</v>
      </c>
      <c r="J15" s="82">
        <f>SUMIF('Monthly Detail'!$1:$1,'Annual Summary'!J$11, 'Monthly Detail'!135:135)</f>
        <v>5070000</v>
      </c>
      <c r="K15" s="252">
        <f>SUMIF('Monthly Detail'!$1:$1,'Annual Summary'!K$11, 'Monthly Detail'!135:135)</f>
        <v>7270000</v>
      </c>
      <c r="L15" s="269"/>
      <c r="M15" s="78"/>
      <c r="N15" s="77"/>
      <c r="Y15" s="78"/>
    </row>
    <row r="16" spans="2:25" ht="15" hidden="1" customHeight="1" x14ac:dyDescent="0.3">
      <c r="B16" s="77"/>
      <c r="C16" s="251" t="s">
        <v>373</v>
      </c>
      <c r="D16" s="82">
        <f>SUMIF('Monthly Detail'!$1:$1,'Annual Summary'!D$11, 'Monthly Detail'!7:7)</f>
        <v>0</v>
      </c>
      <c r="E16" s="82">
        <f>SUMIF('Monthly Detail'!$1:$1,'Annual Summary'!E$11, 'Monthly Detail'!7:7)</f>
        <v>276398.03666666668</v>
      </c>
      <c r="F16" s="82">
        <f>SUMIF('Monthly Detail'!$1:$1,'Annual Summary'!F$11, 'Monthly Detail'!7:7)</f>
        <v>360000</v>
      </c>
      <c r="G16" s="82">
        <f>SUMIF('Monthly Detail'!$1:$1,'Annual Summary'!G$11, 'Monthly Detail'!7:7)</f>
        <v>420000</v>
      </c>
      <c r="H16" s="82">
        <f>SUMIF('Monthly Detail'!$1:$1,'Annual Summary'!H$11, 'Monthly Detail'!7:7)</f>
        <v>600000</v>
      </c>
      <c r="I16" s="82">
        <f>SUMIF('Monthly Detail'!$1:$1,'Annual Summary'!I$11, 'Monthly Detail'!7:7)</f>
        <v>720000</v>
      </c>
      <c r="J16" s="82">
        <f>SUMIF('Monthly Detail'!$1:$1,'Annual Summary'!J$11, 'Monthly Detail'!7:7)</f>
        <v>900000</v>
      </c>
      <c r="K16" s="252">
        <f>SUMIF('Monthly Detail'!$1:$1,'Annual Summary'!K$11, 'Monthly Detail'!7:7)</f>
        <v>1020000</v>
      </c>
      <c r="L16" s="269"/>
      <c r="M16" s="78"/>
      <c r="N16" s="77"/>
      <c r="Y16" s="78"/>
    </row>
    <row r="17" spans="2:25" x14ac:dyDescent="0.3">
      <c r="B17" s="77"/>
      <c r="C17" s="579" t="s">
        <v>301</v>
      </c>
      <c r="D17" s="580">
        <f t="shared" ref="D17:K17" si="4">+SUM(D13:D14)</f>
        <v>449999.99846153852</v>
      </c>
      <c r="E17" s="580">
        <f t="shared" si="4"/>
        <v>505793.03851384914</v>
      </c>
      <c r="F17" s="580">
        <f t="shared" si="4"/>
        <v>1940015.6672923509</v>
      </c>
      <c r="G17" s="580">
        <f t="shared" si="4"/>
        <v>2593685.7314123926</v>
      </c>
      <c r="H17" s="580">
        <f t="shared" si="4"/>
        <v>3253702.8460296723</v>
      </c>
      <c r="I17" s="580">
        <f t="shared" si="4"/>
        <v>3953332.8508916907</v>
      </c>
      <c r="J17" s="580">
        <f t="shared" si="4"/>
        <v>4992591.4132907987</v>
      </c>
      <c r="K17" s="581">
        <f t="shared" si="4"/>
        <v>7586671.4910830958</v>
      </c>
      <c r="L17" s="272"/>
      <c r="M17" s="78"/>
      <c r="N17" s="77"/>
      <c r="Y17" s="78"/>
    </row>
    <row r="18" spans="2:25" x14ac:dyDescent="0.3">
      <c r="B18" s="77"/>
      <c r="C18" s="579" t="s">
        <v>506</v>
      </c>
      <c r="D18" s="590">
        <f>SUMIF('Monthly Detail'!$1:$1,'Annual Summary'!D$11, 'Monthly Detail'!12:12)</f>
        <v>0</v>
      </c>
      <c r="E18" s="590">
        <f>SUMIF('Monthly Detail'!$1:$1,'Annual Summary'!E$11, 'Monthly Detail'!12:12)</f>
        <v>11</v>
      </c>
      <c r="F18" s="590">
        <f>SUMIF('Monthly Detail'!$1:$1,'Annual Summary'!F$11, 'Monthly Detail'!12:12)</f>
        <v>12</v>
      </c>
      <c r="G18" s="590">
        <f>SUMIF('Monthly Detail'!$1:$1,'Annual Summary'!G$11, 'Monthly Detail'!12:12)</f>
        <v>14</v>
      </c>
      <c r="H18" s="590">
        <f>SUMIF('Monthly Detail'!$1:$1,'Annual Summary'!H$11, 'Monthly Detail'!12:12)</f>
        <v>20</v>
      </c>
      <c r="I18" s="590">
        <f>SUMIF('Monthly Detail'!$1:$1,'Annual Summary'!I$11, 'Monthly Detail'!12:12)</f>
        <v>24</v>
      </c>
      <c r="J18" s="590">
        <f>SUMIF('Monthly Detail'!$1:$1,'Annual Summary'!J$11, 'Monthly Detail'!12:12)</f>
        <v>30</v>
      </c>
      <c r="K18" s="591">
        <f>SUMIF('Monthly Detail'!$1:$1,'Annual Summary'!K$11, 'Monthly Detail'!12:12)</f>
        <v>34</v>
      </c>
      <c r="L18" s="272"/>
      <c r="M18" s="78"/>
      <c r="N18" s="77"/>
      <c r="Y18" s="78"/>
    </row>
    <row r="19" spans="2:25" hidden="1" x14ac:dyDescent="0.3">
      <c r="B19" s="77"/>
      <c r="C19" s="308" t="s">
        <v>288</v>
      </c>
      <c r="D19" s="572">
        <f>+SUM(D15:D16)</f>
        <v>525000</v>
      </c>
      <c r="E19" s="572">
        <f t="shared" ref="E19:H19" si="5">+SUM(E15:E16)</f>
        <v>869791.07333333325</v>
      </c>
      <c r="F19" s="572">
        <f t="shared" si="5"/>
        <v>2580000</v>
      </c>
      <c r="G19" s="572">
        <f t="shared" si="5"/>
        <v>2795000</v>
      </c>
      <c r="H19" s="572">
        <f t="shared" si="5"/>
        <v>3910000</v>
      </c>
      <c r="I19" s="572">
        <f t="shared" ref="I19:K19" si="6">+SUM(I15:I16)</f>
        <v>4705000</v>
      </c>
      <c r="J19" s="572">
        <f t="shared" si="6"/>
        <v>5970000</v>
      </c>
      <c r="K19" s="573">
        <f t="shared" si="6"/>
        <v>8290000</v>
      </c>
      <c r="L19" s="272"/>
      <c r="M19" s="78"/>
      <c r="N19" s="77"/>
      <c r="Y19" s="78"/>
    </row>
    <row r="20" spans="2:25" ht="10.95" customHeight="1" x14ac:dyDescent="0.3">
      <c r="B20" s="77"/>
      <c r="C20" s="254" t="s">
        <v>202</v>
      </c>
      <c r="D20" s="82"/>
      <c r="E20" s="106">
        <f>(E17/D17)-1</f>
        <v>0.12398453387345798</v>
      </c>
      <c r="F20" s="106">
        <f t="shared" ref="F20:H20" si="7">(F17/E17)-1</f>
        <v>2.8355918717122304</v>
      </c>
      <c r="G20" s="106">
        <f t="shared" si="7"/>
        <v>0.33694061091391014</v>
      </c>
      <c r="H20" s="106">
        <f t="shared" si="7"/>
        <v>0.25447073507161844</v>
      </c>
      <c r="I20" s="106">
        <f t="shared" ref="I20:K20" si="8">(I17/H17)-1</f>
        <v>0.2150257838437033</v>
      </c>
      <c r="J20" s="106">
        <f t="shared" si="8"/>
        <v>0.2628816245929555</v>
      </c>
      <c r="K20" s="255">
        <f t="shared" si="8"/>
        <v>0.51958589498964125</v>
      </c>
      <c r="L20" s="270"/>
      <c r="M20" s="78"/>
      <c r="N20" s="77"/>
      <c r="Y20" s="78"/>
    </row>
    <row r="21" spans="2:25" ht="15" customHeight="1" x14ac:dyDescent="0.3">
      <c r="B21" s="77"/>
      <c r="C21" s="256"/>
      <c r="K21" s="162"/>
      <c r="M21" s="78"/>
      <c r="N21" s="77"/>
      <c r="Y21" s="78"/>
    </row>
    <row r="22" spans="2:25" ht="15" hidden="1" customHeight="1" x14ac:dyDescent="0.3">
      <c r="B22" s="77"/>
      <c r="C22" s="251" t="s">
        <v>362</v>
      </c>
      <c r="D22" s="82">
        <f>SUMIF('Monthly Detail'!$1:$1,'Annual Summary'!D$11, 'Monthly Detail'!22:22)</f>
        <v>172986.15</v>
      </c>
      <c r="E22" s="82">
        <f>SUMIF('Monthly Detail'!$1:$1,'Annual Summary'!E$11, 'Monthly Detail'!22:22)</f>
        <v>0</v>
      </c>
      <c r="F22" s="82">
        <f>SUMIF('Monthly Detail'!$1:$1,'Annual Summary'!F$11, 'Monthly Detail'!22:22)</f>
        <v>0</v>
      </c>
      <c r="G22" s="82">
        <f>SUMIF('Monthly Detail'!$1:$1,'Annual Summary'!G$11, 'Monthly Detail'!22:22)</f>
        <v>0</v>
      </c>
      <c r="H22" s="82">
        <f>SUMIF('Monthly Detail'!$1:$1,'Annual Summary'!H$11, 'Monthly Detail'!22:22)</f>
        <v>0</v>
      </c>
      <c r="I22" s="82">
        <f>SUMIF('Monthly Detail'!$1:$1,'Annual Summary'!I$11, 'Monthly Detail'!22:22)</f>
        <v>0</v>
      </c>
      <c r="J22" s="82">
        <f>SUMIF('Monthly Detail'!$1:$1,'Annual Summary'!J$11, 'Monthly Detail'!22:22)</f>
        <v>0</v>
      </c>
      <c r="K22" s="252">
        <f>SUMIF('Monthly Detail'!$1:$1,'Annual Summary'!K$11, 'Monthly Detail'!22:22)</f>
        <v>0</v>
      </c>
      <c r="L22" s="269"/>
      <c r="M22" s="78"/>
      <c r="N22" s="77"/>
      <c r="Y22" s="78"/>
    </row>
    <row r="23" spans="2:25" ht="15" customHeight="1" x14ac:dyDescent="0.3">
      <c r="B23" s="77"/>
      <c r="C23" s="251" t="s">
        <v>363</v>
      </c>
      <c r="D23" s="82">
        <f>SUMIF('Monthly Detail'!$1:$1,'Annual Summary'!D$11, 'Monthly Detail'!23:23)</f>
        <v>124486.51000000001</v>
      </c>
      <c r="E23" s="82">
        <f>SUMIF('Monthly Detail'!$1:$1,'Annual Summary'!E$11, 'Monthly Detail'!23:23)</f>
        <v>56618.720000000001</v>
      </c>
      <c r="F23" s="82">
        <f>SUMIF('Monthly Detail'!$1:$1,'Annual Summary'!F$11, 'Monthly Detail'!23:23)</f>
        <v>587324.58288114762</v>
      </c>
      <c r="G23" s="82">
        <f>SUMIF('Monthly Detail'!$1:$1,'Annual Summary'!G$11, 'Monthly Detail'!23:23)</f>
        <v>578250.86324201594</v>
      </c>
      <c r="H23" s="82">
        <f>SUMIF('Monthly Detail'!$1:$1,'Annual Summary'!H$11, 'Monthly Detail'!23:23)</f>
        <v>568172.90190019447</v>
      </c>
      <c r="I23" s="82">
        <f>SUMIF('Monthly Detail'!$1:$1,'Annual Summary'!I$11, 'Monthly Detail'!23:23)</f>
        <v>683166.96963962936</v>
      </c>
      <c r="J23" s="82">
        <f>SUMIF('Monthly Detail'!$1:$1,'Annual Summary'!J$11, 'Monthly Detail'!23:23)</f>
        <v>849710.14802748407</v>
      </c>
      <c r="K23" s="252">
        <f>SUMIF('Monthly Detail'!$1:$1,'Annual Summary'!K$11, 'Monthly Detail'!23:23)</f>
        <v>1441109.7286206021</v>
      </c>
      <c r="L23" s="269"/>
      <c r="M23" s="78"/>
      <c r="N23" s="77"/>
      <c r="Y23" s="78"/>
    </row>
    <row r="24" spans="2:25" ht="15" customHeight="1" x14ac:dyDescent="0.3">
      <c r="B24" s="77"/>
      <c r="C24" s="251" t="s">
        <v>364</v>
      </c>
      <c r="D24" s="82">
        <f>SUMIF('Monthly Detail'!$1:$1,'Annual Summary'!D$11, 'Monthly Detail'!24:24)</f>
        <v>53890</v>
      </c>
      <c r="E24" s="82">
        <f>SUMIF('Monthly Detail'!$1:$1,'Annual Summary'!E$11, 'Monthly Detail'!24:24)</f>
        <v>211149.31</v>
      </c>
      <c r="F24" s="82">
        <f>SUMIF('Monthly Detail'!$1:$1,'Annual Summary'!F$11, 'Monthly Detail'!24:24)</f>
        <v>372683.25076502789</v>
      </c>
      <c r="G24" s="82">
        <f>SUMIF('Monthly Detail'!$1:$1,'Annual Summary'!G$11, 'Monthly Detail'!24:24)</f>
        <v>366925.57701833511</v>
      </c>
      <c r="H24" s="82">
        <f>SUMIF('Monthly Detail'!$1:$1,'Annual Summary'!H$11, 'Monthly Detail'!24:24)</f>
        <v>360530.66779194179</v>
      </c>
      <c r="I24" s="82">
        <f>SUMIF('Monthly Detail'!$1:$1,'Annual Summary'!I$11, 'Monthly Detail'!24:24)</f>
        <v>433499.45580621582</v>
      </c>
      <c r="J24" s="82">
        <f>SUMIF('Monthly Detail'!$1:$1,'Annual Summary'!J$11, 'Monthly Detail'!24:24)</f>
        <v>539178.41923364287</v>
      </c>
      <c r="K24" s="252">
        <f>SUMIF('Monthly Detail'!$1:$1,'Annual Summary'!K$11, 'Monthly Detail'!24:24)</f>
        <v>914447.43507376302</v>
      </c>
      <c r="L24" s="269"/>
      <c r="M24" s="78"/>
      <c r="N24" s="77"/>
      <c r="Y24" s="78"/>
    </row>
    <row r="25" spans="2:25" ht="15" customHeight="1" x14ac:dyDescent="0.3">
      <c r="B25" s="77"/>
      <c r="C25" s="251" t="s">
        <v>466</v>
      </c>
      <c r="D25" s="82">
        <f>SUMIF('Monthly Detail'!$1:$1,'Annual Summary'!D$11, 'Monthly Detail'!25:25)</f>
        <v>0</v>
      </c>
      <c r="E25" s="388">
        <f>SUMIF('Monthly Detail'!$1:$1,'Annual Summary'!E$11, 'Monthly Detail'!25:25)</f>
        <v>157672.09904999999</v>
      </c>
      <c r="F25" s="82">
        <f>SUMIF('Monthly Detail'!$1:$1,'Annual Summary'!F$11, 'Monthly Detail'!25:25)</f>
        <v>306000</v>
      </c>
      <c r="G25" s="82">
        <f>SUMIF('Monthly Detail'!$1:$1,'Annual Summary'!G$11, 'Monthly Detail'!25:25)</f>
        <v>357000</v>
      </c>
      <c r="H25" s="388">
        <f>SUMIF('Monthly Detail'!$1:$1,'Annual Summary'!H$11, 'Monthly Detail'!25:25)</f>
        <v>480000</v>
      </c>
      <c r="I25" s="388">
        <f>SUMIF('Monthly Detail'!$1:$1,'Annual Summary'!I$11, 'Monthly Detail'!25:25)</f>
        <v>576000</v>
      </c>
      <c r="J25" s="388">
        <f>SUMIF('Monthly Detail'!$1:$1,'Annual Summary'!J$11, 'Monthly Detail'!25:25)</f>
        <v>720000</v>
      </c>
      <c r="K25" s="380">
        <f>SUMIF('Monthly Detail'!$1:$1,'Annual Summary'!K$11, 'Monthly Detail'!25:25)</f>
        <v>816000</v>
      </c>
      <c r="L25" s="269"/>
      <c r="M25" s="78"/>
      <c r="N25" s="77"/>
      <c r="Y25" s="78"/>
    </row>
    <row r="26" spans="2:25" ht="15" customHeight="1" x14ac:dyDescent="0.3">
      <c r="B26" s="83"/>
      <c r="C26" s="257" t="s">
        <v>149</v>
      </c>
      <c r="D26" s="69">
        <f>D17-SUM(D22:D25)</f>
        <v>98637.338461538486</v>
      </c>
      <c r="E26" s="69">
        <f>E17-SUM(E22:E25)</f>
        <v>80352.909463849152</v>
      </c>
      <c r="F26" s="69">
        <f t="shared" ref="F26:H26" si="9">F17-SUM(F22:F25)</f>
        <v>674007.83364617545</v>
      </c>
      <c r="G26" s="69">
        <f t="shared" si="9"/>
        <v>1291509.2911520414</v>
      </c>
      <c r="H26" s="69">
        <f t="shared" si="9"/>
        <v>1844999.2763375361</v>
      </c>
      <c r="I26" s="69">
        <f t="shared" ref="I26:K26" si="10">I17-SUM(I22:I25)</f>
        <v>2260666.4254458454</v>
      </c>
      <c r="J26" s="69">
        <f t="shared" si="10"/>
        <v>2883702.8460296718</v>
      </c>
      <c r="K26" s="258">
        <f t="shared" si="10"/>
        <v>4415114.3273887308</v>
      </c>
      <c r="L26" s="267"/>
      <c r="M26" s="84"/>
      <c r="N26" s="83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4"/>
    </row>
    <row r="27" spans="2:25" ht="15" hidden="1" customHeight="1" x14ac:dyDescent="0.3">
      <c r="B27" s="83"/>
      <c r="C27" s="282" t="s">
        <v>250</v>
      </c>
      <c r="D27" s="245">
        <f>+D19-SUM(D22:D25)</f>
        <v>173637.33999999997</v>
      </c>
      <c r="E27" s="245">
        <f t="shared" ref="E27:H27" si="11">+E19-SUM(E22:E25)</f>
        <v>444350.94428333326</v>
      </c>
      <c r="F27" s="245">
        <f t="shared" si="11"/>
        <v>1313992.1663538245</v>
      </c>
      <c r="G27" s="245">
        <f t="shared" si="11"/>
        <v>1492823.5597396488</v>
      </c>
      <c r="H27" s="245">
        <f t="shared" si="11"/>
        <v>2501296.4303078637</v>
      </c>
      <c r="I27" s="245">
        <f t="shared" ref="I27:K27" si="12">+I19-SUM(I22:I25)</f>
        <v>3012333.5745541546</v>
      </c>
      <c r="J27" s="245">
        <f t="shared" si="12"/>
        <v>3861111.4327388732</v>
      </c>
      <c r="K27" s="264">
        <f t="shared" si="12"/>
        <v>5118442.836305635</v>
      </c>
      <c r="L27" s="267"/>
      <c r="M27" s="84"/>
      <c r="N27" s="83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4"/>
    </row>
    <row r="28" spans="2:25" ht="15" customHeight="1" x14ac:dyDescent="0.3">
      <c r="B28" s="77"/>
      <c r="C28" s="259" t="s">
        <v>150</v>
      </c>
      <c r="D28" s="71">
        <f>+D26/D17</f>
        <v>0.21919408621946698</v>
      </c>
      <c r="E28" s="71">
        <f>+E26/E17</f>
        <v>0.15886519454666043</v>
      </c>
      <c r="F28" s="71">
        <f>+F26/F17</f>
        <v>0.34742391260524069</v>
      </c>
      <c r="G28" s="71">
        <f>+G26/G17</f>
        <v>0.49794363114638007</v>
      </c>
      <c r="H28" s="389">
        <f>+H26/H17</f>
        <v>0.56704602837007523</v>
      </c>
      <c r="I28" s="389">
        <f t="shared" ref="I28:K28" si="13">+I26/I17</f>
        <v>0.57183812006518564</v>
      </c>
      <c r="J28" s="389">
        <f t="shared" si="13"/>
        <v>0.5775964038140502</v>
      </c>
      <c r="K28" s="529">
        <f t="shared" si="13"/>
        <v>0.5819567029596554</v>
      </c>
      <c r="L28" s="273"/>
      <c r="M28" s="78"/>
      <c r="N28" s="77"/>
      <c r="Y28" s="78"/>
    </row>
    <row r="29" spans="2:25" ht="15" hidden="1" customHeight="1" x14ac:dyDescent="0.3">
      <c r="B29" s="77"/>
      <c r="C29" s="259" t="s">
        <v>150</v>
      </c>
      <c r="D29" s="71">
        <f t="shared" ref="D29:H29" si="14">+D27/D19</f>
        <v>0.3307377904761904</v>
      </c>
      <c r="E29" s="71">
        <f t="shared" si="14"/>
        <v>0.5108708952144454</v>
      </c>
      <c r="F29" s="71">
        <f t="shared" si="14"/>
        <v>0.50929928928442814</v>
      </c>
      <c r="G29" s="71">
        <f t="shared" si="14"/>
        <v>0.53410503031830014</v>
      </c>
      <c r="H29" s="71">
        <f t="shared" si="14"/>
        <v>0.63971775711198564</v>
      </c>
      <c r="I29" s="71">
        <f t="shared" ref="I29:K29" si="15">+I27/I19</f>
        <v>0.64024092976708924</v>
      </c>
      <c r="J29" s="71">
        <f t="shared" si="15"/>
        <v>0.64675233379210606</v>
      </c>
      <c r="K29" s="260">
        <f t="shared" si="15"/>
        <v>0.61742374382456389</v>
      </c>
      <c r="L29" s="273"/>
      <c r="M29" s="78"/>
      <c r="N29" s="77"/>
      <c r="Y29" s="78"/>
    </row>
    <row r="30" spans="2:25" ht="15" customHeight="1" x14ac:dyDescent="0.3">
      <c r="B30" s="77"/>
      <c r="C30" s="259" t="s">
        <v>384</v>
      </c>
      <c r="D30" s="71">
        <f t="shared" ref="D30:K30" si="16">+(D13-SUM(D22:D24))/D13</f>
        <v>0.21919408621946698</v>
      </c>
      <c r="E30" s="71">
        <f t="shared" si="16"/>
        <v>0.11333621959909868</v>
      </c>
      <c r="F30" s="71">
        <f t="shared" si="16"/>
        <v>0.3924061301927933</v>
      </c>
      <c r="G30" s="71">
        <f t="shared" si="16"/>
        <v>0.56517337046408944</v>
      </c>
      <c r="H30" s="71">
        <f t="shared" si="16"/>
        <v>0.65003482922678679</v>
      </c>
      <c r="I30" s="71">
        <f t="shared" si="16"/>
        <v>0.65463919833125428</v>
      </c>
      <c r="J30" s="71">
        <f t="shared" si="16"/>
        <v>0.66063346496044673</v>
      </c>
      <c r="K30" s="260">
        <f t="shared" si="16"/>
        <v>0.64128597465352366</v>
      </c>
      <c r="L30" s="273"/>
      <c r="M30" s="78"/>
      <c r="N30" s="77"/>
      <c r="Y30" s="78"/>
    </row>
    <row r="31" spans="2:25" ht="15" customHeight="1" x14ac:dyDescent="0.3">
      <c r="B31" s="77"/>
      <c r="C31" s="577" t="s">
        <v>385</v>
      </c>
      <c r="D31" s="578"/>
      <c r="E31" s="557">
        <f t="shared" ref="E31:H31" si="17">+(E14-E25)/E14</f>
        <v>0.22633160932806501</v>
      </c>
      <c r="F31" s="557">
        <f t="shared" si="17"/>
        <v>0.15</v>
      </c>
      <c r="G31" s="557">
        <f t="shared" si="17"/>
        <v>0.15</v>
      </c>
      <c r="H31" s="557">
        <f t="shared" si="17"/>
        <v>0.2</v>
      </c>
      <c r="I31" s="557">
        <f t="shared" ref="I31:K31" si="18">+(I14-I25)/I14</f>
        <v>0.2</v>
      </c>
      <c r="J31" s="557">
        <f t="shared" si="18"/>
        <v>0.2</v>
      </c>
      <c r="K31" s="559">
        <f t="shared" si="18"/>
        <v>0.2</v>
      </c>
      <c r="L31" s="273"/>
      <c r="M31" s="78"/>
      <c r="N31" s="77"/>
      <c r="Y31" s="78"/>
    </row>
    <row r="32" spans="2:25" ht="15" customHeight="1" x14ac:dyDescent="0.3">
      <c r="B32" s="77"/>
      <c r="C32" s="256"/>
      <c r="K32" s="162"/>
      <c r="M32" s="78"/>
      <c r="N32" s="77"/>
      <c r="Y32" s="78"/>
    </row>
    <row r="33" spans="2:25" ht="15" customHeight="1" x14ac:dyDescent="0.3">
      <c r="B33" s="77"/>
      <c r="C33" s="256" t="s">
        <v>387</v>
      </c>
      <c r="D33" s="57">
        <f>SUMIF('Monthly Detail'!$1:$1,'Annual Summary'!D$11, 'Monthly Detail'!$41:$41)</f>
        <v>805.72</v>
      </c>
      <c r="E33" s="57">
        <f>SUMIF('Monthly Detail'!$1:$1,'Annual Summary'!E$11, 'Monthly Detail'!$41:$41)</f>
        <v>6831.65</v>
      </c>
      <c r="F33" s="57">
        <f>SUMIF('Monthly Detail'!$1:$1,'Annual Summary'!F$11, 'Monthly Detail'!$41:$41)</f>
        <v>7260</v>
      </c>
      <c r="G33" s="57">
        <f>SUMIF('Monthly Detail'!$1:$1,'Annual Summary'!G$11, 'Monthly Detail'!$41:$41)</f>
        <v>8520.6</v>
      </c>
      <c r="H33" s="57">
        <f>SUMIF('Monthly Detail'!$1:$1,'Annual Summary'!H$11, 'Monthly Detail'!$41:$41)</f>
        <v>10981.805999999999</v>
      </c>
      <c r="I33" s="57">
        <f>SUMIF('Monthly Detail'!$1:$1,'Annual Summary'!I$11, 'Monthly Detail'!$41:$41)</f>
        <v>15843.624059999996</v>
      </c>
      <c r="J33" s="57">
        <f>SUMIF('Monthly Detail'!$1:$1,'Annual Summary'!J$11, 'Monthly Detail'!$41:$41)</f>
        <v>25506.060300599991</v>
      </c>
      <c r="K33" s="261">
        <f>SUMIF('Monthly Detail'!$1:$1,'Annual Summary'!K$11, 'Monthly Detail'!$41:$41)</f>
        <v>44769.120903606003</v>
      </c>
      <c r="M33" s="78"/>
      <c r="N33" s="77"/>
      <c r="Y33" s="78"/>
    </row>
    <row r="34" spans="2:25" ht="15" customHeight="1" x14ac:dyDescent="0.3">
      <c r="B34" s="77"/>
      <c r="C34" s="256" t="s">
        <v>388</v>
      </c>
      <c r="D34" s="57">
        <f>SUMIF('Monthly Detail'!$1:$1,'Annual Summary'!D$11, 'Monthly Detail'!$75:$75)</f>
        <v>16993.260000000002</v>
      </c>
      <c r="E34" s="57">
        <f>SUMIF('Monthly Detail'!$1:$1,'Annual Summary'!E$11, 'Monthly Detail'!$75:$75)</f>
        <v>41142.420000000006</v>
      </c>
      <c r="F34" s="57">
        <f>SUMIF('Monthly Detail'!$1:$1,'Annual Summary'!F$11, 'Monthly Detail'!$75:$75)</f>
        <v>385912.5199999999</v>
      </c>
      <c r="G34" s="57">
        <f>SUMIF('Monthly Detail'!$1:$1,'Annual Summary'!G$11, 'Monthly Detail'!$75:$75)</f>
        <v>427858.85999999987</v>
      </c>
      <c r="H34" s="57">
        <f>SUMIF('Monthly Detail'!$1:$1,'Annual Summary'!H$11, 'Monthly Detail'!$75:$75)</f>
        <v>494870.16500000004</v>
      </c>
      <c r="I34" s="57">
        <f>SUMIF('Monthly Detail'!$1:$1,'Annual Summary'!I$11, 'Monthly Detail'!$75:$75)</f>
        <v>610762.33125000005</v>
      </c>
      <c r="J34" s="57">
        <f>SUMIF('Monthly Detail'!$1:$1,'Annual Summary'!J$11, 'Monthly Detail'!$75:$75)</f>
        <v>708163.63781250012</v>
      </c>
      <c r="K34" s="261">
        <f>SUMIF('Monthly Detail'!$1:$1,'Annual Summary'!K$11, 'Monthly Detail'!$75:$75)</f>
        <v>881428.3117031249</v>
      </c>
      <c r="L34" s="57"/>
      <c r="M34" s="78"/>
      <c r="N34" s="77"/>
      <c r="Y34" s="78"/>
    </row>
    <row r="35" spans="2:25" ht="15" hidden="1" customHeight="1" x14ac:dyDescent="0.3">
      <c r="B35" s="77"/>
      <c r="C35" s="256" t="s">
        <v>185</v>
      </c>
      <c r="D35" s="57">
        <f>SUMIF('Monthly Detail'!$1:$1,'Annual Summary'!D$11, 'Monthly Detail'!77:77)</f>
        <v>0</v>
      </c>
      <c r="E35" s="57">
        <f>SUMIF('Monthly Detail'!$1:$1,'Annual Summary'!E$11, 'Monthly Detail'!77:77)</f>
        <v>0</v>
      </c>
      <c r="F35" s="57">
        <f>SUMIF('Monthly Detail'!$1:$1,'Annual Summary'!F$11, 'Monthly Detail'!77:77)</f>
        <v>0</v>
      </c>
      <c r="G35" s="57">
        <f>SUMIF('Monthly Detail'!$1:$1,'Annual Summary'!G$11, 'Monthly Detail'!77:77)</f>
        <v>0</v>
      </c>
      <c r="H35" s="57">
        <f>SUMIF('Monthly Detail'!$1:$1,'Annual Summary'!H$11, 'Monthly Detail'!77:77)</f>
        <v>0</v>
      </c>
      <c r="I35" s="57">
        <f>SUMIF('Monthly Detail'!$1:$1,'Annual Summary'!I$11, 'Monthly Detail'!77:77)</f>
        <v>0</v>
      </c>
      <c r="J35" s="57">
        <f>SUMIF('Monthly Detail'!$1:$1,'Annual Summary'!J$11, 'Monthly Detail'!77:77)</f>
        <v>0</v>
      </c>
      <c r="K35" s="261">
        <f>SUMIF('Monthly Detail'!$1:$1,'Annual Summary'!K$11, 'Monthly Detail'!77:77)</f>
        <v>0</v>
      </c>
      <c r="L35" s="57"/>
      <c r="M35" s="78"/>
      <c r="N35" s="77"/>
      <c r="Y35" s="78"/>
    </row>
    <row r="36" spans="2:25" ht="15" customHeight="1" x14ac:dyDescent="0.3">
      <c r="B36" s="77"/>
      <c r="C36" s="574" t="s">
        <v>159</v>
      </c>
      <c r="D36" s="575">
        <f>SUM(D33:D35)</f>
        <v>17798.980000000003</v>
      </c>
      <c r="E36" s="575">
        <f t="shared" ref="E36:K36" si="19">SUM(E33:E35)</f>
        <v>47974.070000000007</v>
      </c>
      <c r="F36" s="575">
        <f t="shared" si="19"/>
        <v>393172.5199999999</v>
      </c>
      <c r="G36" s="575">
        <f t="shared" si="19"/>
        <v>436379.45999999985</v>
      </c>
      <c r="H36" s="575">
        <f t="shared" si="19"/>
        <v>505851.97100000002</v>
      </c>
      <c r="I36" s="575">
        <f t="shared" si="19"/>
        <v>626605.95530999999</v>
      </c>
      <c r="J36" s="575">
        <f t="shared" si="19"/>
        <v>733669.69811310014</v>
      </c>
      <c r="K36" s="576">
        <f t="shared" si="19"/>
        <v>926197.43260673084</v>
      </c>
      <c r="L36" s="274"/>
      <c r="M36" s="78"/>
      <c r="N36" s="77"/>
      <c r="Y36" s="78"/>
    </row>
    <row r="37" spans="2:25" ht="15" customHeight="1" x14ac:dyDescent="0.3">
      <c r="B37" s="77"/>
      <c r="C37" s="256"/>
      <c r="K37" s="162"/>
      <c r="M37" s="78"/>
      <c r="N37" s="77"/>
      <c r="Y37" s="78"/>
    </row>
    <row r="38" spans="2:25" ht="15" customHeight="1" x14ac:dyDescent="0.3">
      <c r="B38" s="83"/>
      <c r="C38" s="257" t="s">
        <v>152</v>
      </c>
      <c r="D38" s="69">
        <f>D26-D36</f>
        <v>80838.358461538475</v>
      </c>
      <c r="E38" s="69">
        <f>E26-E36</f>
        <v>32378.839463849145</v>
      </c>
      <c r="F38" s="69">
        <f>F26-F36</f>
        <v>280835.31364617555</v>
      </c>
      <c r="G38" s="69">
        <f>G26-G36</f>
        <v>855129.83115204156</v>
      </c>
      <c r="H38" s="69">
        <f>H26-H36</f>
        <v>1339147.3053375361</v>
      </c>
      <c r="I38" s="69">
        <f t="shared" ref="I38:K38" si="20">I26-I36</f>
        <v>1634060.4701358452</v>
      </c>
      <c r="J38" s="69">
        <f t="shared" si="20"/>
        <v>2150033.1479165717</v>
      </c>
      <c r="K38" s="258">
        <f t="shared" si="20"/>
        <v>3488916.8947820002</v>
      </c>
      <c r="L38" s="267"/>
      <c r="M38" s="84"/>
      <c r="N38" s="83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4"/>
    </row>
    <row r="39" spans="2:25" ht="15" hidden="1" customHeight="1" x14ac:dyDescent="0.3">
      <c r="B39" s="83"/>
      <c r="C39" s="257" t="s">
        <v>291</v>
      </c>
      <c r="D39" s="69">
        <f>D27-D36</f>
        <v>155838.35999999996</v>
      </c>
      <c r="E39" s="69">
        <f>E27-E36</f>
        <v>396376.87428333325</v>
      </c>
      <c r="F39" s="69">
        <f>F27-F36</f>
        <v>920819.64635382465</v>
      </c>
      <c r="G39" s="69">
        <f>G27-G36</f>
        <v>1056444.0997396489</v>
      </c>
      <c r="H39" s="69">
        <f>H27-H36</f>
        <v>1995444.4593078638</v>
      </c>
      <c r="I39" s="69">
        <f t="shared" ref="I39:K39" si="21">I27-I36</f>
        <v>2385727.6192441545</v>
      </c>
      <c r="J39" s="69">
        <f t="shared" si="21"/>
        <v>3127441.734625773</v>
      </c>
      <c r="K39" s="258">
        <f t="shared" si="21"/>
        <v>4192245.4036989044</v>
      </c>
      <c r="L39" s="267"/>
      <c r="M39" s="84"/>
      <c r="N39" s="83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4"/>
    </row>
    <row r="40" spans="2:25" ht="15" customHeight="1" x14ac:dyDescent="0.3">
      <c r="B40" s="77"/>
      <c r="C40" s="577" t="s">
        <v>153</v>
      </c>
      <c r="D40" s="557">
        <f>D38/D17</f>
        <v>0.17964079719535317</v>
      </c>
      <c r="E40" s="557">
        <f>E38/E17</f>
        <v>6.4015984796838163E-2</v>
      </c>
      <c r="F40" s="557">
        <f>F38/F17</f>
        <v>0.14475930188653216</v>
      </c>
      <c r="G40" s="557">
        <f>G38/G17</f>
        <v>0.32969677891021143</v>
      </c>
      <c r="H40" s="557">
        <f>H38/H17</f>
        <v>0.4115764003992034</v>
      </c>
      <c r="I40" s="557">
        <f t="shared" ref="I40:K40" si="22">I38/I17</f>
        <v>0.41333743749081892</v>
      </c>
      <c r="J40" s="557">
        <f t="shared" si="22"/>
        <v>0.43064472333805637</v>
      </c>
      <c r="K40" s="559">
        <f t="shared" si="22"/>
        <v>0.45987451794672501</v>
      </c>
      <c r="L40" s="273"/>
      <c r="M40" s="78"/>
      <c r="N40" s="77"/>
      <c r="Y40" s="78"/>
    </row>
    <row r="41" spans="2:25" ht="15" customHeight="1" x14ac:dyDescent="0.3">
      <c r="B41" s="77"/>
      <c r="C41" s="262"/>
      <c r="D41" s="63"/>
      <c r="E41" s="63"/>
      <c r="F41" s="63"/>
      <c r="G41" s="63"/>
      <c r="H41" s="63"/>
      <c r="I41" s="63"/>
      <c r="J41" s="63"/>
      <c r="K41" s="263"/>
      <c r="L41" s="63"/>
      <c r="M41" s="78"/>
      <c r="N41" s="77"/>
      <c r="Y41" s="78"/>
    </row>
    <row r="42" spans="2:25" ht="15" customHeight="1" x14ac:dyDescent="0.3">
      <c r="B42" s="77"/>
      <c r="C42" s="256" t="s">
        <v>154</v>
      </c>
      <c r="D42" s="57">
        <f>SUMIF('Monthly Detail'!$1:$1,'Annual Summary'!D$11, 'Monthly Detail'!88:88)</f>
        <v>-128.42000000000007</v>
      </c>
      <c r="E42" s="57">
        <f>SUMIF('Monthly Detail'!$1:$1,'Annual Summary'!E$11, 'Monthly Detail'!88:88)</f>
        <v>600</v>
      </c>
      <c r="F42" s="57">
        <f>SUMIF('Monthly Detail'!$1:$1,'Annual Summary'!F$11, 'Monthly Detail'!88:88)</f>
        <v>0</v>
      </c>
      <c r="G42" s="57">
        <f>SUMIF('Monthly Detail'!$1:$1,'Annual Summary'!G$11, 'Monthly Detail'!88:88)</f>
        <v>0</v>
      </c>
      <c r="H42" s="57">
        <f>SUMIF('Monthly Detail'!$1:$1,'Annual Summary'!H$11, 'Monthly Detail'!88:88)</f>
        <v>0</v>
      </c>
      <c r="I42" s="57">
        <f>SUMIF('Monthly Detail'!$1:$1,'Annual Summary'!I$11, 'Monthly Detail'!88:88)</f>
        <v>0</v>
      </c>
      <c r="J42" s="57">
        <f>SUMIF('Monthly Detail'!$1:$1,'Annual Summary'!J$11, 'Monthly Detail'!88:88)</f>
        <v>0</v>
      </c>
      <c r="K42" s="261">
        <f>SUMIF('Monthly Detail'!$1:$1,'Annual Summary'!K$11, 'Monthly Detail'!88:88)</f>
        <v>0</v>
      </c>
      <c r="L42" s="57"/>
      <c r="M42" s="78"/>
      <c r="N42" s="77"/>
      <c r="Y42" s="78"/>
    </row>
    <row r="43" spans="2:25" ht="15" customHeight="1" x14ac:dyDescent="0.3">
      <c r="B43" s="83"/>
      <c r="C43" s="257" t="s">
        <v>12</v>
      </c>
      <c r="D43" s="69">
        <f>D38+D42</f>
        <v>80709.938461538477</v>
      </c>
      <c r="E43" s="69">
        <f>E38+E42</f>
        <v>32978.839463849145</v>
      </c>
      <c r="F43" s="69">
        <f>F38+F42</f>
        <v>280835.31364617555</v>
      </c>
      <c r="G43" s="69">
        <f>G38+G42</f>
        <v>855129.83115204156</v>
      </c>
      <c r="H43" s="69">
        <f>H38+H42</f>
        <v>1339147.3053375361</v>
      </c>
      <c r="I43" s="69">
        <f t="shared" ref="I43:K43" si="23">I38+I42</f>
        <v>1634060.4701358452</v>
      </c>
      <c r="J43" s="69">
        <f t="shared" si="23"/>
        <v>2150033.1479165717</v>
      </c>
      <c r="K43" s="258">
        <f t="shared" si="23"/>
        <v>3488916.8947820002</v>
      </c>
      <c r="L43" s="267"/>
      <c r="M43" s="84"/>
      <c r="N43" s="83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4"/>
    </row>
    <row r="44" spans="2:25" ht="15" hidden="1" customHeight="1" x14ac:dyDescent="0.3">
      <c r="B44" s="83"/>
      <c r="C44" s="257" t="s">
        <v>296</v>
      </c>
      <c r="D44" s="69">
        <f>D39+D42</f>
        <v>155709.93999999994</v>
      </c>
      <c r="E44" s="69">
        <f t="shared" ref="E44:H44" si="24">E39+E42</f>
        <v>396976.87428333325</v>
      </c>
      <c r="F44" s="69">
        <f t="shared" si="24"/>
        <v>920819.64635382465</v>
      </c>
      <c r="G44" s="69">
        <f t="shared" si="24"/>
        <v>1056444.0997396489</v>
      </c>
      <c r="H44" s="69">
        <f t="shared" si="24"/>
        <v>1995444.4593078638</v>
      </c>
      <c r="I44" s="69">
        <f t="shared" ref="I44:K44" si="25">I39+I42</f>
        <v>2385727.6192441545</v>
      </c>
      <c r="J44" s="69">
        <f t="shared" si="25"/>
        <v>3127441.734625773</v>
      </c>
      <c r="K44" s="258">
        <f t="shared" si="25"/>
        <v>4192245.4036989044</v>
      </c>
      <c r="L44" s="267"/>
      <c r="M44" s="84"/>
      <c r="N44" s="83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4"/>
    </row>
    <row r="45" spans="2:25" ht="15" customHeight="1" x14ac:dyDescent="0.3">
      <c r="B45" s="77"/>
      <c r="C45" s="577" t="s">
        <v>155</v>
      </c>
      <c r="D45" s="557">
        <f>D43/D17</f>
        <v>0.17935541941659974</v>
      </c>
      <c r="E45" s="557">
        <f>E43/E17</f>
        <v>6.5202240744059087E-2</v>
      </c>
      <c r="F45" s="557">
        <f>F43/F17</f>
        <v>0.14475930188653216</v>
      </c>
      <c r="G45" s="557">
        <f>G43/G17</f>
        <v>0.32969677891021143</v>
      </c>
      <c r="H45" s="557">
        <f>H43/H17</f>
        <v>0.4115764003992034</v>
      </c>
      <c r="I45" s="557">
        <f t="shared" ref="I45:K45" si="26">I43/I17</f>
        <v>0.41333743749081892</v>
      </c>
      <c r="J45" s="557">
        <f t="shared" si="26"/>
        <v>0.43064472333805637</v>
      </c>
      <c r="K45" s="559">
        <f t="shared" si="26"/>
        <v>0.45987451794672501</v>
      </c>
      <c r="M45" s="78"/>
      <c r="N45" s="77"/>
      <c r="Y45" s="78"/>
    </row>
    <row r="46" spans="2:25" ht="15" customHeight="1" x14ac:dyDescent="0.3">
      <c r="B46" s="77"/>
      <c r="C46" s="530" t="s">
        <v>240</v>
      </c>
      <c r="D46" s="531">
        <f>+'Monthly Detail'!AA179</f>
        <v>194649.22999999998</v>
      </c>
      <c r="E46" s="531">
        <f>+'Monthly Detail'!AM179</f>
        <v>352788.93552211684</v>
      </c>
      <c r="F46" s="531">
        <f>+'Monthly Detail'!AY179</f>
        <v>1347696.6337711802</v>
      </c>
      <c r="G46" s="531">
        <f>+'Monthly Detail'!BK179</f>
        <v>1553699.3885945075</v>
      </c>
      <c r="H46" s="531">
        <f>+'Monthly Detail'!BW179</f>
        <v>2762572.0128482124</v>
      </c>
      <c r="I46" s="531">
        <f>+'Monthly Detail'!BX179</f>
        <v>3098828.4295607531</v>
      </c>
      <c r="J46" s="531">
        <f>+'Monthly Detail'!BY179</f>
        <v>2898627.9714620565</v>
      </c>
      <c r="K46" s="532">
        <f>+'Monthly Detail'!BZ179</f>
        <v>3144618.3488435764</v>
      </c>
      <c r="L46" s="526" t="s">
        <v>0</v>
      </c>
      <c r="M46" s="78"/>
      <c r="N46" s="77"/>
      <c r="Y46" s="78"/>
    </row>
    <row r="47" spans="2:25" ht="15" hidden="1" customHeight="1" x14ac:dyDescent="0.3">
      <c r="B47" s="77"/>
      <c r="C47" s="268" t="s">
        <v>298</v>
      </c>
      <c r="D47" s="278">
        <f t="shared" ref="D47:F48" si="27">+IFERROR(IF(D43&gt;0,D43*0.2, 0), 0)</f>
        <v>16141.987692307695</v>
      </c>
      <c r="E47" s="278">
        <f t="shared" si="27"/>
        <v>6595.7678927698289</v>
      </c>
      <c r="F47" s="278">
        <f t="shared" si="27"/>
        <v>56167.062729235113</v>
      </c>
      <c r="G47" s="278">
        <f t="shared" ref="G47:H47" si="28">+IFERROR(IF(G43&gt;0,G43*0.2, 0), 0)</f>
        <v>171025.96623040832</v>
      </c>
      <c r="H47" s="278">
        <f t="shared" si="28"/>
        <v>267829.46106750722</v>
      </c>
      <c r="I47" s="278">
        <f t="shared" ref="I47:K47" si="29">+IFERROR(IF(I43&gt;0,I43*0.2, 0), 0)</f>
        <v>326812.09402716905</v>
      </c>
      <c r="J47" s="278">
        <f t="shared" si="29"/>
        <v>430006.62958331435</v>
      </c>
      <c r="K47" s="279">
        <f t="shared" si="29"/>
        <v>697783.37895640009</v>
      </c>
      <c r="L47" s="276">
        <f>+SUM(D47:K47)</f>
        <v>1972362.3481791117</v>
      </c>
      <c r="M47" s="78"/>
      <c r="N47" s="77"/>
      <c r="Y47" s="78"/>
    </row>
    <row r="48" spans="2:25" ht="15" hidden="1" customHeight="1" x14ac:dyDescent="0.3">
      <c r="B48" s="77"/>
      <c r="C48" s="268" t="s">
        <v>299</v>
      </c>
      <c r="D48" s="278">
        <f>+IFERROR(IF(D44&gt;0,D44*0.2, 0), 0)</f>
        <v>31141.98799999999</v>
      </c>
      <c r="E48" s="278">
        <f t="shared" si="27"/>
        <v>79395.374856666662</v>
      </c>
      <c r="F48" s="278">
        <f>+IFERROR(IF(F44&gt;0,F44*0.2, 0), 0)</f>
        <v>184163.92927076493</v>
      </c>
      <c r="G48" s="278">
        <f t="shared" ref="G48:H48" si="30">+IFERROR(IF(G44&gt;0,G44*0.2, 0), 0)</f>
        <v>211288.81994792979</v>
      </c>
      <c r="H48" s="278">
        <f t="shared" si="30"/>
        <v>399088.8918615728</v>
      </c>
      <c r="I48" s="278">
        <f t="shared" ref="I48:J48" si="31">+IFERROR(IF(I44&gt;0,I44*0.2, 0), 0)</f>
        <v>477145.52384883096</v>
      </c>
      <c r="J48" s="278">
        <f t="shared" si="31"/>
        <v>625488.34692515468</v>
      </c>
      <c r="K48" s="279">
        <f>+IFERROR(IF(K44&gt;0,K44*0.2, 0), 0)</f>
        <v>838449.08073978091</v>
      </c>
      <c r="L48" s="275">
        <f>+SUM(D48:K48)</f>
        <v>2846161.9554507006</v>
      </c>
      <c r="M48" s="78"/>
      <c r="N48" s="77"/>
      <c r="Y48" s="78"/>
    </row>
    <row r="49" spans="2:25" ht="15" hidden="1" customHeight="1" x14ac:dyDescent="0.3">
      <c r="B49" s="77"/>
      <c r="C49" s="265" t="s">
        <v>389</v>
      </c>
      <c r="D49" s="266">
        <f>+'Monthly Detail'!AA149-'Monthly Detail'!P149</f>
        <v>-20000</v>
      </c>
      <c r="E49" s="266">
        <f>+'Monthly Detail'!AM149-'Monthly Detail'!AB149</f>
        <v>-76595.767892769829</v>
      </c>
      <c r="F49" s="266">
        <f>+'Monthly Detail'!AY149-'Monthly Detail'!AN149</f>
        <v>-56167.062729235098</v>
      </c>
      <c r="G49" s="266">
        <f>+'Monthly Detail'!BK149-'Monthly Detail'!AZ149</f>
        <v>-171025.96623040829</v>
      </c>
      <c r="H49" s="266">
        <f>+'Monthly Detail'!BW149-'Monthly Detail'!BL149</f>
        <v>-267829.46106750716</v>
      </c>
      <c r="I49" s="266">
        <f>+'Monthly Detail'!CI149-'Monthly Detail'!BX149</f>
        <v>-326812.09402716905</v>
      </c>
      <c r="J49" s="266">
        <f>+'Monthly Detail'!CU149-'Monthly Detail'!CJ149</f>
        <v>-430006.62958331453</v>
      </c>
      <c r="K49" s="266">
        <f>+'Monthly Detail'!DG149-'Monthly Detail'!CV149</f>
        <v>-697783.37895639986</v>
      </c>
      <c r="L49" s="277">
        <f>+SUM(D49:K49)</f>
        <v>-2046220.3604868038</v>
      </c>
      <c r="M49" s="78"/>
      <c r="N49" s="77"/>
      <c r="Y49" s="78"/>
    </row>
    <row r="50" spans="2:25" ht="15" hidden="1" customHeight="1" x14ac:dyDescent="0.3">
      <c r="B50" s="77"/>
      <c r="C50" s="7"/>
      <c r="E50" s="390" t="s">
        <v>293</v>
      </c>
      <c r="F50" s="5"/>
      <c r="G50" s="5"/>
      <c r="H50" s="5"/>
      <c r="I50" s="5"/>
      <c r="J50" s="5"/>
      <c r="K50" s="325"/>
      <c r="L50" s="290">
        <f>+L48-L47</f>
        <v>873799.60727158887</v>
      </c>
      <c r="M50" s="78"/>
      <c r="N50" s="77"/>
      <c r="Y50" s="78"/>
    </row>
    <row r="51" spans="2:25" ht="15" customHeight="1" x14ac:dyDescent="0.3">
      <c r="B51" s="77"/>
      <c r="C51" s="7"/>
      <c r="M51" s="78"/>
      <c r="N51" s="77"/>
      <c r="Y51" s="78"/>
    </row>
    <row r="52" spans="2:25" ht="15.75" customHeight="1" thickBot="1" x14ac:dyDescent="0.35">
      <c r="B52" s="86"/>
      <c r="C52" s="87"/>
      <c r="D52" s="88"/>
      <c r="E52" s="88"/>
      <c r="F52" s="88"/>
      <c r="G52" s="88"/>
      <c r="H52" s="88"/>
      <c r="I52" s="88"/>
      <c r="J52" s="88"/>
      <c r="K52" s="88"/>
      <c r="L52" s="88"/>
      <c r="M52" s="89"/>
      <c r="N52" s="86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9"/>
    </row>
    <row r="55" spans="2:25" ht="15.6" hidden="1" x14ac:dyDescent="0.3">
      <c r="C55" s="49"/>
      <c r="D55" s="247">
        <v>2023</v>
      </c>
      <c r="E55" s="247">
        <f t="shared" ref="E55:K55" si="32">+D55+1</f>
        <v>2024</v>
      </c>
      <c r="F55" s="247">
        <f t="shared" si="32"/>
        <v>2025</v>
      </c>
      <c r="G55" s="247">
        <f t="shared" si="32"/>
        <v>2026</v>
      </c>
      <c r="H55" s="247">
        <f t="shared" si="32"/>
        <v>2027</v>
      </c>
      <c r="I55" s="247">
        <f t="shared" si="32"/>
        <v>2028</v>
      </c>
      <c r="J55" s="247">
        <f t="shared" si="32"/>
        <v>2029</v>
      </c>
      <c r="K55" s="247">
        <f t="shared" si="32"/>
        <v>2030</v>
      </c>
    </row>
    <row r="56" spans="2:25" hidden="1" x14ac:dyDescent="0.3">
      <c r="C56" s="391" t="s">
        <v>390</v>
      </c>
    </row>
    <row r="57" spans="2:25" hidden="1" x14ac:dyDescent="0.3">
      <c r="C57" s="7" t="s">
        <v>391</v>
      </c>
      <c r="D57" s="82" t="e">
        <f>INDEX('Monthly Detail'!107:107, MATCH(EOMONTH(DATE('Annual Summary'!D11, 12, 31), 0), 'Monthly Detail'!14:14,0))</f>
        <v>#N/A</v>
      </c>
      <c r="E57" s="82" t="e">
        <f>INDEX('Monthly Detail'!107:107, MATCH(EOMONTH(DATE('Annual Summary'!E17, 12, 31), 0), 'Monthly Detail'!14:14,0))</f>
        <v>#NUM!</v>
      </c>
      <c r="F57" s="82" t="e">
        <f>INDEX('Monthly Detail'!107:107, MATCH(EOMONTH(DATE('Annual Summary'!F17, 12, 31), 0), 'Monthly Detail'!14:14,0))</f>
        <v>#NUM!</v>
      </c>
      <c r="G57" s="82" t="e">
        <f>INDEX('Monthly Detail'!107:107, MATCH(EOMONTH(DATE('Annual Summary'!G17, 12, 31), 0), 'Monthly Detail'!14:14,0))</f>
        <v>#NUM!</v>
      </c>
      <c r="H57" s="82" t="e">
        <f>INDEX('Monthly Detail'!107:107, MATCH(EOMONTH(DATE('Annual Summary'!H17, 12, 31), 0), 'Monthly Detail'!14:14,0))</f>
        <v>#NUM!</v>
      </c>
      <c r="I57" s="82" t="e">
        <f>INDEX('Monthly Detail'!107:107, MATCH(EOMONTH(DATE('Annual Summary'!I17, 12, 31), 0), 'Monthly Detail'!14:14,0))</f>
        <v>#NUM!</v>
      </c>
      <c r="J57" s="82" t="e">
        <f>INDEX('Monthly Detail'!107:107, MATCH(EOMONTH(DATE('Annual Summary'!J17, 12, 31), 0), 'Monthly Detail'!14:14,0))</f>
        <v>#NUM!</v>
      </c>
      <c r="K57" s="82" t="e">
        <f>INDEX('Monthly Detail'!107:107, MATCH(EOMONTH(DATE('Annual Summary'!K17, 12, 31), 0), 'Monthly Detail'!14:14,0))</f>
        <v>#NUM!</v>
      </c>
    </row>
    <row r="58" spans="2:25" hidden="1" x14ac:dyDescent="0.3">
      <c r="C58" s="7" t="s">
        <v>392</v>
      </c>
      <c r="D58" s="82" t="e">
        <f>INDEX('Monthly Detail'!110:110, MATCH(EOMONTH(DATE('Annual Summary'!D$7, 12, 31), 0), 'Monthly Detail'!$3:$3,0))</f>
        <v>#N/A</v>
      </c>
      <c r="E58" s="82" t="e">
        <f>INDEX('Monthly Detail'!110:110, MATCH(EOMONTH(DATE('Annual Summary'!E$7, 12, 31), 0), 'Monthly Detail'!$3:$3,0))</f>
        <v>#N/A</v>
      </c>
      <c r="F58" s="82" t="e">
        <f>INDEX('Monthly Detail'!110:110, MATCH(EOMONTH(DATE('Annual Summary'!F$7, 12, 31), 0), 'Monthly Detail'!$3:$3,0))</f>
        <v>#N/A</v>
      </c>
      <c r="G58" s="82" t="e">
        <f>INDEX('Monthly Detail'!110:110, MATCH(EOMONTH(DATE('Annual Summary'!G$7, 12, 31), 0), 'Monthly Detail'!$3:$3,0))</f>
        <v>#N/A</v>
      </c>
      <c r="H58" s="82" t="e">
        <f>INDEX('Monthly Detail'!110:110, MATCH(EOMONTH(DATE('Annual Summary'!H$7, 12, 31), 0), 'Monthly Detail'!$3:$3,0))</f>
        <v>#N/A</v>
      </c>
      <c r="I58" s="82" t="e">
        <f>INDEX('Monthly Detail'!110:110, MATCH(EOMONTH(DATE('Annual Summary'!I$7, 12, 31), 0), 'Monthly Detail'!$3:$3,0))</f>
        <v>#N/A</v>
      </c>
      <c r="J58" s="82" t="e">
        <f>INDEX('Monthly Detail'!110:110, MATCH(EOMONTH(DATE('Annual Summary'!J$7, 12, 31), 0), 'Monthly Detail'!$3:$3,0))</f>
        <v>#N/A</v>
      </c>
      <c r="K58" s="82" t="e">
        <f>INDEX('Monthly Detail'!110:110, MATCH(EOMONTH(DATE('Annual Summary'!K$7, 12, 31), 0), 'Monthly Detail'!$3:$3,0))</f>
        <v>#N/A</v>
      </c>
    </row>
    <row r="59" spans="2:25" hidden="1" x14ac:dyDescent="0.3">
      <c r="C59" s="7" t="s">
        <v>393</v>
      </c>
      <c r="D59" s="82" t="e">
        <f>INDEX('Monthly Detail'!119:119, MATCH(EOMONTH(DATE('Annual Summary'!D17, 12, 31), 0), 'Monthly Detail'!14:14,0))</f>
        <v>#NUM!</v>
      </c>
      <c r="E59" s="82" t="e">
        <f>INDEX('Monthly Detail'!119:119, MATCH(EOMONTH(DATE('Annual Summary'!E17, 12, 31), 0), 'Monthly Detail'!14:14,0))</f>
        <v>#NUM!</v>
      </c>
      <c r="F59" s="82" t="e">
        <f>INDEX('Monthly Detail'!119:119, MATCH(EOMONTH(DATE('Annual Summary'!F17, 12, 31), 0), 'Monthly Detail'!14:14,0))</f>
        <v>#NUM!</v>
      </c>
      <c r="G59" s="82" t="e">
        <f>INDEX('Monthly Detail'!119:119, MATCH(EOMONTH(DATE('Annual Summary'!G17, 12, 31), 0), 'Monthly Detail'!14:14,0))</f>
        <v>#NUM!</v>
      </c>
      <c r="H59" s="82" t="e">
        <f>INDEX('Monthly Detail'!119:119, MATCH(EOMONTH(DATE('Annual Summary'!H17, 12, 31), 0), 'Monthly Detail'!14:14,0))</f>
        <v>#NUM!</v>
      </c>
      <c r="I59" s="82" t="e">
        <f>INDEX('Monthly Detail'!119:119, MATCH(EOMONTH(DATE('Annual Summary'!I17, 12, 31), 0), 'Monthly Detail'!14:14,0))</f>
        <v>#NUM!</v>
      </c>
      <c r="J59" s="82" t="e">
        <f>INDEX('Monthly Detail'!119:119, MATCH(EOMONTH(DATE('Annual Summary'!J17, 12, 31), 0), 'Monthly Detail'!14:14,0))</f>
        <v>#NUM!</v>
      </c>
      <c r="K59" s="82" t="e">
        <f>INDEX('Monthly Detail'!119:119, MATCH(EOMONTH(DATE('Annual Summary'!K17, 12, 31), 0), 'Monthly Detail'!14:14,0))</f>
        <v>#NUM!</v>
      </c>
    </row>
    <row r="60" spans="2:25" hidden="1" x14ac:dyDescent="0.3">
      <c r="C60" s="59" t="s">
        <v>394</v>
      </c>
      <c r="D60" s="60" t="e">
        <f t="shared" ref="D60:K60" si="33">SUM(D57:D59)</f>
        <v>#N/A</v>
      </c>
      <c r="E60" s="60" t="e">
        <f t="shared" si="33"/>
        <v>#NUM!</v>
      </c>
      <c r="F60" s="60" t="e">
        <f t="shared" si="33"/>
        <v>#NUM!</v>
      </c>
      <c r="G60" s="60" t="e">
        <f t="shared" si="33"/>
        <v>#NUM!</v>
      </c>
      <c r="H60" s="60" t="e">
        <f t="shared" si="33"/>
        <v>#NUM!</v>
      </c>
      <c r="I60" s="60" t="e">
        <f t="shared" si="33"/>
        <v>#NUM!</v>
      </c>
      <c r="J60" s="60" t="e">
        <f t="shared" si="33"/>
        <v>#NUM!</v>
      </c>
      <c r="K60" s="60" t="e">
        <f t="shared" si="33"/>
        <v>#NUM!</v>
      </c>
    </row>
    <row r="61" spans="2:25" hidden="1" x14ac:dyDescent="0.3">
      <c r="C61" s="7" t="s">
        <v>395</v>
      </c>
      <c r="D61" s="82" t="e">
        <f>INDEX('Monthly Detail'!131:131, MATCH(EOMONTH(DATE('Annual Summary'!D$7, 12, 31), 0), 'Monthly Detail'!$3:$3,0))</f>
        <v>#N/A</v>
      </c>
      <c r="E61" s="82" t="e">
        <f>INDEX('Monthly Detail'!131:131, MATCH(EOMONTH(DATE('Annual Summary'!E$7, 12, 31), 0), 'Monthly Detail'!$3:$3,0))</f>
        <v>#N/A</v>
      </c>
      <c r="F61" s="82" t="e">
        <f>INDEX('Monthly Detail'!131:131, MATCH(EOMONTH(DATE('Annual Summary'!F$7, 12, 31), 0), 'Monthly Detail'!$3:$3,0))</f>
        <v>#N/A</v>
      </c>
      <c r="G61" s="82" t="e">
        <f>INDEX('Monthly Detail'!131:131, MATCH(EOMONTH(DATE('Annual Summary'!G$7, 12, 31), 0), 'Monthly Detail'!$3:$3,0))</f>
        <v>#N/A</v>
      </c>
      <c r="H61" s="82" t="e">
        <f>INDEX('Monthly Detail'!131:131, MATCH(EOMONTH(DATE('Annual Summary'!H$7, 12, 31), 0), 'Monthly Detail'!$3:$3,0))</f>
        <v>#N/A</v>
      </c>
      <c r="I61" s="82" t="e">
        <f>INDEX('Monthly Detail'!131:131, MATCH(EOMONTH(DATE('Annual Summary'!I$7, 12, 31), 0), 'Monthly Detail'!$3:$3,0))</f>
        <v>#N/A</v>
      </c>
      <c r="J61" s="82" t="e">
        <f>INDEX('Monthly Detail'!131:131, MATCH(EOMONTH(DATE('Annual Summary'!J$7, 12, 31), 0), 'Monthly Detail'!$3:$3,0))</f>
        <v>#N/A</v>
      </c>
      <c r="K61" s="82" t="e">
        <f>INDEX('Monthly Detail'!131:131, MATCH(EOMONTH(DATE('Annual Summary'!K$7, 12, 31), 0), 'Monthly Detail'!$3:$3,0))</f>
        <v>#N/A</v>
      </c>
    </row>
    <row r="62" spans="2:25" hidden="1" x14ac:dyDescent="0.3">
      <c r="C62" s="59" t="s">
        <v>396</v>
      </c>
      <c r="D62" s="60" t="e">
        <f t="shared" ref="D62:K62" si="34">SUM(D60:D61)</f>
        <v>#N/A</v>
      </c>
      <c r="E62" s="60" t="e">
        <f t="shared" si="34"/>
        <v>#NUM!</v>
      </c>
      <c r="F62" s="60" t="e">
        <f t="shared" si="34"/>
        <v>#NUM!</v>
      </c>
      <c r="G62" s="60" t="e">
        <f t="shared" si="34"/>
        <v>#NUM!</v>
      </c>
      <c r="H62" s="60" t="e">
        <f t="shared" si="34"/>
        <v>#NUM!</v>
      </c>
      <c r="I62" s="60" t="e">
        <f t="shared" si="34"/>
        <v>#NUM!</v>
      </c>
      <c r="J62" s="60" t="e">
        <f t="shared" si="34"/>
        <v>#NUM!</v>
      </c>
      <c r="K62" s="60" t="e">
        <f t="shared" si="34"/>
        <v>#NUM!</v>
      </c>
    </row>
    <row r="63" spans="2:25" hidden="1" x14ac:dyDescent="0.3">
      <c r="C63" s="7" t="s">
        <v>397</v>
      </c>
      <c r="D63" s="82" t="e">
        <f>INDEX('Monthly Detail'!148:148, MATCH(EOMONTH(DATE('Annual Summary'!D$7, 12, 31), 0), 'Monthly Detail'!$3:$3,0))</f>
        <v>#N/A</v>
      </c>
      <c r="E63" s="82" t="e">
        <f>INDEX('Monthly Detail'!148:148, MATCH(EOMONTH(DATE('Annual Summary'!E$7, 12, 31), 0), 'Monthly Detail'!$3:$3,0))</f>
        <v>#N/A</v>
      </c>
      <c r="F63" s="82" t="e">
        <f>INDEX('Monthly Detail'!148:148, MATCH(EOMONTH(DATE('Annual Summary'!F$7, 12, 31), 0), 'Monthly Detail'!$3:$3,0))</f>
        <v>#N/A</v>
      </c>
      <c r="G63" s="82" t="e">
        <f>INDEX('Monthly Detail'!148:148, MATCH(EOMONTH(DATE('Annual Summary'!G$7, 12, 31), 0), 'Monthly Detail'!$3:$3,0))</f>
        <v>#N/A</v>
      </c>
      <c r="H63" s="82" t="e">
        <f>INDEX('Monthly Detail'!148:148, MATCH(EOMONTH(DATE('Annual Summary'!H$7, 12, 31), 0), 'Monthly Detail'!$3:$3,0))</f>
        <v>#N/A</v>
      </c>
      <c r="I63" s="82" t="e">
        <f>INDEX('Monthly Detail'!148:148, MATCH(EOMONTH(DATE('Annual Summary'!I$7, 12, 31), 0), 'Monthly Detail'!$3:$3,0))</f>
        <v>#N/A</v>
      </c>
      <c r="J63" s="82" t="e">
        <f>INDEX('Monthly Detail'!148:148, MATCH(EOMONTH(DATE('Annual Summary'!J$7, 12, 31), 0), 'Monthly Detail'!$3:$3,0))</f>
        <v>#N/A</v>
      </c>
      <c r="K63" s="82" t="e">
        <f>INDEX('Monthly Detail'!148:148, MATCH(EOMONTH(DATE('Annual Summary'!K$7, 12, 31), 0), 'Monthly Detail'!$3:$3,0))</f>
        <v>#N/A</v>
      </c>
    </row>
    <row r="64" spans="2:25" hidden="1" x14ac:dyDescent="0.3">
      <c r="C64" s="7" t="s">
        <v>398</v>
      </c>
      <c r="D64" s="82" t="e">
        <f>INDEX('Monthly Detail'!168:168, MATCH(EOMONTH(DATE('Annual Summary'!D$7, 12, 31), 0), 'Monthly Detail'!$3:$3,0))</f>
        <v>#N/A</v>
      </c>
      <c r="E64" s="82" t="e">
        <f>INDEX('Monthly Detail'!168:168, MATCH(EOMONTH(DATE('Annual Summary'!E$7, 12, 31), 0), 'Monthly Detail'!$3:$3,0))</f>
        <v>#N/A</v>
      </c>
      <c r="F64" s="82" t="e">
        <f>INDEX('Monthly Detail'!168:168, MATCH(EOMONTH(DATE('Annual Summary'!F$7, 12, 31), 0), 'Monthly Detail'!$3:$3,0))</f>
        <v>#N/A</v>
      </c>
      <c r="G64" s="82" t="e">
        <f>INDEX('Monthly Detail'!168:168, MATCH(EOMONTH(DATE('Annual Summary'!G$7, 12, 31), 0), 'Monthly Detail'!$3:$3,0))</f>
        <v>#N/A</v>
      </c>
      <c r="H64" s="82" t="e">
        <f>INDEX('Monthly Detail'!168:168, MATCH(EOMONTH(DATE('Annual Summary'!H$7, 12, 31), 0), 'Monthly Detail'!$3:$3,0))</f>
        <v>#N/A</v>
      </c>
      <c r="I64" s="82" t="e">
        <f>INDEX('Monthly Detail'!168:168, MATCH(EOMONTH(DATE('Annual Summary'!I$7, 12, 31), 0), 'Monthly Detail'!$3:$3,0))</f>
        <v>#N/A</v>
      </c>
      <c r="J64" s="82" t="e">
        <f>INDEX('Monthly Detail'!168:168, MATCH(EOMONTH(DATE('Annual Summary'!J$7, 12, 31), 0), 'Monthly Detail'!$3:$3,0))</f>
        <v>#N/A</v>
      </c>
      <c r="K64" s="82" t="e">
        <f>INDEX('Monthly Detail'!168:168, MATCH(EOMONTH(DATE('Annual Summary'!K$7, 12, 31), 0), 'Monthly Detail'!$3:$3,0))</f>
        <v>#N/A</v>
      </c>
    </row>
    <row r="65" spans="2:25" hidden="1" x14ac:dyDescent="0.3">
      <c r="C65" s="59" t="s">
        <v>399</v>
      </c>
      <c r="D65" s="60" t="e">
        <f t="shared" ref="D65:K65" si="35">SUM(D63:D64)</f>
        <v>#N/A</v>
      </c>
      <c r="E65" s="60" t="e">
        <f t="shared" si="35"/>
        <v>#N/A</v>
      </c>
      <c r="F65" s="60" t="e">
        <f t="shared" si="35"/>
        <v>#N/A</v>
      </c>
      <c r="G65" s="60" t="e">
        <f t="shared" si="35"/>
        <v>#N/A</v>
      </c>
      <c r="H65" s="60" t="e">
        <f t="shared" si="35"/>
        <v>#N/A</v>
      </c>
      <c r="I65" s="60" t="e">
        <f t="shared" si="35"/>
        <v>#N/A</v>
      </c>
      <c r="J65" s="60" t="e">
        <f t="shared" si="35"/>
        <v>#N/A</v>
      </c>
      <c r="K65" s="60" t="e">
        <f t="shared" si="35"/>
        <v>#N/A</v>
      </c>
    </row>
    <row r="66" spans="2:25" hidden="1" x14ac:dyDescent="0.3">
      <c r="C66" s="59" t="s">
        <v>400</v>
      </c>
      <c r="D66" s="60" t="e">
        <f t="shared" ref="D66:K66" si="36">D65-D57</f>
        <v>#N/A</v>
      </c>
      <c r="E66" s="60" t="e">
        <f t="shared" si="36"/>
        <v>#N/A</v>
      </c>
      <c r="F66" s="60" t="e">
        <f t="shared" si="36"/>
        <v>#N/A</v>
      </c>
      <c r="G66" s="60" t="e">
        <f t="shared" si="36"/>
        <v>#N/A</v>
      </c>
      <c r="H66" s="60" t="e">
        <f t="shared" si="36"/>
        <v>#N/A</v>
      </c>
      <c r="I66" s="60" t="e">
        <f t="shared" si="36"/>
        <v>#N/A</v>
      </c>
      <c r="J66" s="60" t="e">
        <f t="shared" si="36"/>
        <v>#N/A</v>
      </c>
      <c r="K66" s="60" t="e">
        <f t="shared" si="36"/>
        <v>#N/A</v>
      </c>
    </row>
    <row r="67" spans="2:25" hidden="1" x14ac:dyDescent="0.3">
      <c r="C67" s="7" t="s">
        <v>401</v>
      </c>
      <c r="D67" s="82" t="e">
        <f>INDEX('Monthly Detail'!177:177, MATCH(EOMONTH(DATE('Annual Summary'!D$7, 12, 31), 0), 'Monthly Detail'!$3:$3,0))+INDEX('Monthly Detail'!184:184, MATCH(EOMONTH(DATE('Annual Summary'!D$7, 12, 31), 0), 'Monthly Detail'!$3:$3,0))</f>
        <v>#N/A</v>
      </c>
      <c r="E67" s="82" t="e">
        <f>INDEX('Monthly Detail'!177:177, MATCH(EOMONTH(DATE('Annual Summary'!E$7, 12, 31), 0), 'Monthly Detail'!$3:$3,0))+INDEX('Monthly Detail'!184:184, MATCH(EOMONTH(DATE('Annual Summary'!E$7, 12, 31), 0), 'Monthly Detail'!$3:$3,0))</f>
        <v>#N/A</v>
      </c>
      <c r="F67" s="82" t="e">
        <f>INDEX('Monthly Detail'!177:177, MATCH(EOMONTH(DATE('Annual Summary'!F$7, 12, 31), 0), 'Monthly Detail'!$3:$3,0))+INDEX('Monthly Detail'!184:184, MATCH(EOMONTH(DATE('Annual Summary'!F$7, 12, 31), 0), 'Monthly Detail'!$3:$3,0))</f>
        <v>#N/A</v>
      </c>
      <c r="G67" s="82" t="e">
        <f>INDEX('Monthly Detail'!177:177, MATCH(EOMONTH(DATE('Annual Summary'!G$7, 12, 31), 0), 'Monthly Detail'!$3:$3,0))+INDEX('Monthly Detail'!184:184, MATCH(EOMONTH(DATE('Annual Summary'!G$7, 12, 31), 0), 'Monthly Detail'!$3:$3,0))</f>
        <v>#N/A</v>
      </c>
      <c r="H67" s="82" t="e">
        <f>INDEX('Monthly Detail'!177:177, MATCH(EOMONTH(DATE('Annual Summary'!H$7, 12, 31), 0), 'Monthly Detail'!$3:$3,0))+INDEX('Monthly Detail'!184:184, MATCH(EOMONTH(DATE('Annual Summary'!H$7, 12, 31), 0), 'Monthly Detail'!$3:$3,0))</f>
        <v>#N/A</v>
      </c>
      <c r="I67" s="82" t="e">
        <f>INDEX('Monthly Detail'!177:177, MATCH(EOMONTH(DATE('Annual Summary'!I$7, 12, 31), 0), 'Monthly Detail'!$3:$3,0))+INDEX('Monthly Detail'!184:184, MATCH(EOMONTH(DATE('Annual Summary'!I$7, 12, 31), 0), 'Monthly Detail'!$3:$3,0))</f>
        <v>#N/A</v>
      </c>
      <c r="J67" s="82" t="e">
        <f>INDEX('Monthly Detail'!177:177, MATCH(EOMONTH(DATE('Annual Summary'!J$7, 12, 31), 0), 'Monthly Detail'!$3:$3,0))+INDEX('Monthly Detail'!184:184, MATCH(EOMONTH(DATE('Annual Summary'!J$7, 12, 31), 0), 'Monthly Detail'!$3:$3,0))</f>
        <v>#N/A</v>
      </c>
      <c r="K67" s="82" t="e">
        <f>INDEX('Monthly Detail'!177:177, MATCH(EOMONTH(DATE('Annual Summary'!K$7, 12, 31), 0), 'Monthly Detail'!$3:$3,0))+INDEX('Monthly Detail'!184:184, MATCH(EOMONTH(DATE('Annual Summary'!K$7, 12, 31), 0), 'Monthly Detail'!$3:$3,0))</f>
        <v>#N/A</v>
      </c>
    </row>
    <row r="68" spans="2:25" hidden="1" x14ac:dyDescent="0.3">
      <c r="C68" s="7" t="s">
        <v>402</v>
      </c>
      <c r="D68" s="82" t="e">
        <f>INDEX('Monthly Detail'!186:186, MATCH(EOMONTH(DATE('Annual Summary'!D$7, 12, 31), 0), 'Monthly Detail'!$3:$3,0))-INDEX('Monthly Detail'!183:183, MATCH(EOMONTH(DATE('Annual Summary'!D$7, 12, 31), 0), 'Monthly Detail'!$3:$3,0))</f>
        <v>#N/A</v>
      </c>
      <c r="E68" s="82" t="e">
        <f>INDEX('Monthly Detail'!186:186, MATCH(EOMONTH(DATE('Annual Summary'!E$7, 12, 31), 0), 'Monthly Detail'!$3:$3,0))-INDEX('Monthly Detail'!183:183, MATCH(EOMONTH(DATE('Annual Summary'!E$7, 12, 31), 0), 'Monthly Detail'!$3:$3,0))</f>
        <v>#N/A</v>
      </c>
      <c r="F68" s="82" t="e">
        <f>INDEX('Monthly Detail'!186:186, MATCH(EOMONTH(DATE('Annual Summary'!F$7, 12, 31), 0), 'Monthly Detail'!$3:$3,0))-INDEX('Monthly Detail'!183:183, MATCH(EOMONTH(DATE('Annual Summary'!F$7, 12, 31), 0), 'Monthly Detail'!$3:$3,0))</f>
        <v>#N/A</v>
      </c>
      <c r="G68" s="82" t="e">
        <f>INDEX('Monthly Detail'!186:186, MATCH(EOMONTH(DATE('Annual Summary'!G$7, 12, 31), 0), 'Monthly Detail'!$3:$3,0))-INDEX('Monthly Detail'!183:183, MATCH(EOMONTH(DATE('Annual Summary'!G$7, 12, 31), 0), 'Monthly Detail'!$3:$3,0))</f>
        <v>#N/A</v>
      </c>
      <c r="H68" s="82" t="e">
        <f>INDEX('Monthly Detail'!186:186, MATCH(EOMONTH(DATE('Annual Summary'!H$7, 12, 31), 0), 'Monthly Detail'!$3:$3,0))-INDEX('Monthly Detail'!183:183, MATCH(EOMONTH(DATE('Annual Summary'!H$7, 12, 31), 0), 'Monthly Detail'!$3:$3,0))</f>
        <v>#N/A</v>
      </c>
      <c r="I68" s="82" t="e">
        <f>INDEX('Monthly Detail'!186:186, MATCH(EOMONTH(DATE('Annual Summary'!I$7, 12, 31), 0), 'Monthly Detail'!$3:$3,0))-INDEX('Monthly Detail'!183:183, MATCH(EOMONTH(DATE('Annual Summary'!I$7, 12, 31), 0), 'Monthly Detail'!$3:$3,0))</f>
        <v>#N/A</v>
      </c>
      <c r="J68" s="82" t="e">
        <f>INDEX('Monthly Detail'!186:186, MATCH(EOMONTH(DATE('Annual Summary'!J$7, 12, 31), 0), 'Monthly Detail'!$3:$3,0))-INDEX('Monthly Detail'!183:183, MATCH(EOMONTH(DATE('Annual Summary'!J$7, 12, 31), 0), 'Monthly Detail'!$3:$3,0))</f>
        <v>#N/A</v>
      </c>
      <c r="K68" s="82" t="e">
        <f>INDEX('Monthly Detail'!186:186, MATCH(EOMONTH(DATE('Annual Summary'!K$7, 12, 31), 0), 'Monthly Detail'!$3:$3,0))-INDEX('Monthly Detail'!183:183, MATCH(EOMONTH(DATE('Annual Summary'!K$7, 12, 31), 0), 'Monthly Detail'!$3:$3,0))</f>
        <v>#N/A</v>
      </c>
    </row>
    <row r="69" spans="2:25" hidden="1" x14ac:dyDescent="0.3">
      <c r="C69" s="59" t="s">
        <v>403</v>
      </c>
      <c r="D69" s="60" t="e">
        <f t="shared" ref="D69:K69" si="37">SUM(D67:D68)</f>
        <v>#N/A</v>
      </c>
      <c r="E69" s="60" t="e">
        <f t="shared" si="37"/>
        <v>#N/A</v>
      </c>
      <c r="F69" s="60" t="e">
        <f t="shared" si="37"/>
        <v>#N/A</v>
      </c>
      <c r="G69" s="60" t="e">
        <f t="shared" si="37"/>
        <v>#N/A</v>
      </c>
      <c r="H69" s="60" t="e">
        <f t="shared" si="37"/>
        <v>#N/A</v>
      </c>
      <c r="I69" s="60" t="e">
        <f t="shared" si="37"/>
        <v>#N/A</v>
      </c>
      <c r="J69" s="60" t="e">
        <f t="shared" si="37"/>
        <v>#N/A</v>
      </c>
      <c r="K69" s="60" t="e">
        <f t="shared" si="37"/>
        <v>#N/A</v>
      </c>
    </row>
    <row r="70" spans="2:25" ht="15" hidden="1" thickBot="1" x14ac:dyDescent="0.35">
      <c r="C70" s="7"/>
    </row>
    <row r="71" spans="2:25" ht="15" hidden="1" thickBot="1" x14ac:dyDescent="0.35">
      <c r="C71" s="64" t="s">
        <v>156</v>
      </c>
      <c r="D71" s="65" t="e">
        <v>#NUM!</v>
      </c>
      <c r="E71" s="65" t="e">
        <v>#NUM!</v>
      </c>
      <c r="F71" s="65" t="e">
        <v>#NUM!</v>
      </c>
      <c r="G71" s="65" t="e">
        <v>#NUM!</v>
      </c>
      <c r="H71" s="65" t="e">
        <v>#NUM!</v>
      </c>
      <c r="I71" s="65" t="e">
        <v>#NUM!</v>
      </c>
      <c r="J71" s="65" t="e">
        <v>#NUM!</v>
      </c>
      <c r="K71" s="65" t="e">
        <v>#NUM!</v>
      </c>
    </row>
    <row r="72" spans="2:25" ht="15" hidden="1" thickBot="1" x14ac:dyDescent="0.35">
      <c r="C72" s="66" t="s">
        <v>157</v>
      </c>
      <c r="D72" s="65" t="e">
        <v>#VALUE!</v>
      </c>
      <c r="E72" s="65" t="e">
        <v>#VALUE!</v>
      </c>
      <c r="F72" s="65" t="e">
        <v>#VALUE!</v>
      </c>
      <c r="G72" s="65" t="e">
        <v>#VALUE!</v>
      </c>
      <c r="H72" s="65" t="e">
        <v>#VALUE!</v>
      </c>
      <c r="I72" s="65" t="e">
        <v>#VALUE!</v>
      </c>
      <c r="J72" s="65" t="e">
        <v>#VALUE!</v>
      </c>
      <c r="K72" s="65" t="e">
        <v>#VALUE!</v>
      </c>
    </row>
    <row r="73" spans="2:25" hidden="1" x14ac:dyDescent="0.3"/>
    <row r="74" spans="2:25" hidden="1" x14ac:dyDescent="0.3"/>
    <row r="75" spans="2:25" hidden="1" x14ac:dyDescent="0.3"/>
    <row r="76" spans="2:25" ht="15.6" hidden="1" x14ac:dyDescent="0.3">
      <c r="B76" s="83"/>
      <c r="C76" s="7"/>
    </row>
    <row r="77" spans="2:25" ht="15.6" hidden="1" x14ac:dyDescent="0.3">
      <c r="B77" s="83"/>
      <c r="C77" s="7"/>
    </row>
    <row r="78" spans="2:25" ht="15.6" hidden="1" x14ac:dyDescent="0.3">
      <c r="B78" s="83"/>
      <c r="C78" s="439" t="s">
        <v>415</v>
      </c>
      <c r="D78" s="439"/>
      <c r="E78" s="439"/>
      <c r="F78" s="439"/>
      <c r="G78" s="439"/>
      <c r="H78" s="439"/>
      <c r="I78" s="15"/>
      <c r="J78" s="15"/>
      <c r="K78" s="15"/>
      <c r="L78" s="78"/>
      <c r="Y78" s="78"/>
    </row>
    <row r="79" spans="2:25" ht="15.6" hidden="1" x14ac:dyDescent="0.3">
      <c r="B79" s="83"/>
      <c r="C79" s="49"/>
      <c r="D79" s="247">
        <v>2023</v>
      </c>
      <c r="E79" s="247">
        <f t="shared" ref="E79:H79" si="38">+D79+1</f>
        <v>2024</v>
      </c>
      <c r="F79" s="247">
        <f t="shared" si="38"/>
        <v>2025</v>
      </c>
      <c r="G79" s="247">
        <f t="shared" si="38"/>
        <v>2026</v>
      </c>
      <c r="H79" s="247">
        <f t="shared" si="38"/>
        <v>2027</v>
      </c>
      <c r="I79" s="247">
        <f>+H79+1</f>
        <v>2028</v>
      </c>
      <c r="J79" s="247">
        <f t="shared" ref="J79:K79" si="39">+I79+1</f>
        <v>2029</v>
      </c>
      <c r="K79" s="247">
        <f t="shared" si="39"/>
        <v>2030</v>
      </c>
      <c r="L79" s="84"/>
      <c r="Y79" s="78"/>
    </row>
    <row r="80" spans="2:25" hidden="1" x14ac:dyDescent="0.3">
      <c r="B80" s="77"/>
      <c r="C80" s="7" t="s">
        <v>416</v>
      </c>
      <c r="D80" s="400" t="e">
        <f t="shared" ref="D80:H80" si="40">D60/D63</f>
        <v>#N/A</v>
      </c>
      <c r="E80" s="400" t="e">
        <f t="shared" si="40"/>
        <v>#NUM!</v>
      </c>
      <c r="F80" s="400" t="e">
        <f t="shared" si="40"/>
        <v>#NUM!</v>
      </c>
      <c r="G80" s="400" t="e">
        <f t="shared" si="40"/>
        <v>#NUM!</v>
      </c>
      <c r="H80" s="400" t="e">
        <f t="shared" si="40"/>
        <v>#NUM!</v>
      </c>
      <c r="I80" s="400" t="e">
        <f>I60/I63</f>
        <v>#NUM!</v>
      </c>
      <c r="J80" s="400" t="e">
        <f>J60/J63</f>
        <v>#NUM!</v>
      </c>
      <c r="K80" s="400" t="e">
        <f>K60/K63</f>
        <v>#NUM!</v>
      </c>
      <c r="L80" s="78"/>
      <c r="N80" s="401" t="s">
        <v>417</v>
      </c>
      <c r="O80" s="402"/>
      <c r="P80" s="402"/>
      <c r="Q80" s="402"/>
      <c r="R80" s="403"/>
      <c r="T80" s="401" t="s">
        <v>418</v>
      </c>
      <c r="U80" s="402"/>
      <c r="V80" s="402"/>
      <c r="W80" s="402"/>
      <c r="X80" s="403"/>
      <c r="Y80" s="78"/>
    </row>
    <row r="81" spans="2:25" hidden="1" x14ac:dyDescent="0.3">
      <c r="B81" s="77"/>
      <c r="C81" s="7" t="s">
        <v>419</v>
      </c>
      <c r="D81" s="400">
        <f t="shared" ref="D81:H81" si="41">D40/D44</f>
        <v>1.1536886931903849E-6</v>
      </c>
      <c r="E81" s="400">
        <f t="shared" si="41"/>
        <v>1.6125872549227692E-7</v>
      </c>
      <c r="F81" s="400">
        <f t="shared" si="41"/>
        <v>1.5720700840792926E-7</v>
      </c>
      <c r="G81" s="400">
        <f t="shared" si="41"/>
        <v>3.1208161320742122E-7</v>
      </c>
      <c r="H81" s="400">
        <f t="shared" si="41"/>
        <v>2.062580085751733E-7</v>
      </c>
      <c r="I81" s="400">
        <f>I40/I44</f>
        <v>1.7325424501803451E-7</v>
      </c>
      <c r="J81" s="400">
        <f>J40/J44</f>
        <v>1.3769871987386103E-7</v>
      </c>
      <c r="K81" s="400">
        <f>K40/K44</f>
        <v>1.0969646899510421E-7</v>
      </c>
      <c r="L81" s="78"/>
      <c r="N81" s="404"/>
      <c r="O81" s="405"/>
      <c r="P81" s="405"/>
      <c r="Q81" s="405"/>
      <c r="R81" s="406"/>
      <c r="T81" s="404"/>
      <c r="U81" s="405"/>
      <c r="V81" s="405"/>
      <c r="W81" s="405"/>
      <c r="X81" s="406"/>
      <c r="Y81" s="78"/>
    </row>
    <row r="82" spans="2:25" hidden="1" x14ac:dyDescent="0.3">
      <c r="B82" s="77"/>
      <c r="C82" s="7" t="s">
        <v>420</v>
      </c>
      <c r="D82" s="407" t="e">
        <f t="shared" ref="D82:H82" si="42">D65/D69</f>
        <v>#N/A</v>
      </c>
      <c r="E82" s="407" t="e">
        <f t="shared" si="42"/>
        <v>#N/A</v>
      </c>
      <c r="F82" s="407" t="e">
        <f t="shared" si="42"/>
        <v>#N/A</v>
      </c>
      <c r="G82" s="407" t="e">
        <f t="shared" si="42"/>
        <v>#N/A</v>
      </c>
      <c r="H82" s="407" t="e">
        <f t="shared" si="42"/>
        <v>#N/A</v>
      </c>
      <c r="I82" s="407" t="e">
        <f>I65/I69</f>
        <v>#N/A</v>
      </c>
      <c r="J82" s="407" t="e">
        <f>J65/J69</f>
        <v>#N/A</v>
      </c>
      <c r="K82" s="407" t="e">
        <f>K65/K69</f>
        <v>#N/A</v>
      </c>
      <c r="L82" s="78"/>
      <c r="N82" s="408" t="s">
        <v>421</v>
      </c>
      <c r="O82" s="397"/>
      <c r="P82" s="397"/>
      <c r="Q82" s="397"/>
      <c r="R82" s="409" t="str">
        <f>C99</f>
        <v>WACC</v>
      </c>
      <c r="T82" s="408" t="s">
        <v>421</v>
      </c>
      <c r="U82" s="397"/>
      <c r="V82" s="397"/>
      <c r="W82" s="397"/>
      <c r="X82" s="410" t="str">
        <f>R82</f>
        <v>WACC</v>
      </c>
      <c r="Y82" s="78"/>
    </row>
    <row r="83" spans="2:25" hidden="1" x14ac:dyDescent="0.3">
      <c r="B83" s="77"/>
      <c r="C83" s="7" t="s">
        <v>422</v>
      </c>
      <c r="D83" s="411" t="e">
        <v>#VALUE!</v>
      </c>
      <c r="E83" s="411" t="e">
        <v>#VALUE!</v>
      </c>
      <c r="F83" s="411" t="e">
        <v>#VALUE!</v>
      </c>
      <c r="G83" s="411" t="e">
        <v>#VALUE!</v>
      </c>
      <c r="H83" s="411" t="e">
        <v>#VALUE!</v>
      </c>
      <c r="I83" s="411" t="e">
        <v>#VALUE!</v>
      </c>
      <c r="J83" s="411" t="e">
        <v>#VALUE!</v>
      </c>
      <c r="K83" s="411" t="e">
        <v>#VALUE!</v>
      </c>
      <c r="L83" s="78"/>
      <c r="M83" s="77"/>
      <c r="N83" s="412" t="s">
        <v>423</v>
      </c>
      <c r="O83" s="394"/>
      <c r="P83" s="397"/>
      <c r="Q83" s="397"/>
      <c r="R83" s="413" t="e">
        <v>#VALUE!</v>
      </c>
      <c r="T83" s="412" t="s">
        <v>423</v>
      </c>
      <c r="U83" s="394"/>
      <c r="V83" s="397"/>
      <c r="W83" s="397"/>
      <c r="X83" s="413" t="e">
        <v>#VALUE!</v>
      </c>
      <c r="Y83" s="78"/>
    </row>
    <row r="84" spans="2:25" hidden="1" x14ac:dyDescent="0.3">
      <c r="B84" s="77"/>
      <c r="C84" s="7" t="s">
        <v>424</v>
      </c>
      <c r="D84" s="411" t="e">
        <f>D62-D60</f>
        <v>#N/A</v>
      </c>
      <c r="E84" s="411" t="e">
        <f t="shared" ref="E84:H84" si="43">E62-E60</f>
        <v>#NUM!</v>
      </c>
      <c r="F84" s="411" t="e">
        <f t="shared" si="43"/>
        <v>#NUM!</v>
      </c>
      <c r="G84" s="411" t="e">
        <f t="shared" si="43"/>
        <v>#NUM!</v>
      </c>
      <c r="H84" s="411" t="e">
        <f t="shared" si="43"/>
        <v>#NUM!</v>
      </c>
      <c r="I84" s="411" t="e">
        <f>I62-I60</f>
        <v>#NUM!</v>
      </c>
      <c r="J84" s="411" t="e">
        <f>J62-J60</f>
        <v>#NUM!</v>
      </c>
      <c r="K84" s="411" t="e">
        <f>K62-K60</f>
        <v>#NUM!</v>
      </c>
      <c r="L84" s="78"/>
      <c r="M84" s="77"/>
      <c r="N84" s="414"/>
      <c r="O84" s="397"/>
      <c r="P84" s="397"/>
      <c r="Q84" s="397"/>
      <c r="R84" s="415"/>
      <c r="T84" s="414"/>
      <c r="U84" s="397"/>
      <c r="V84" s="397"/>
      <c r="W84" s="397"/>
      <c r="X84" s="415"/>
      <c r="Y84" s="78"/>
    </row>
    <row r="85" spans="2:25" hidden="1" x14ac:dyDescent="0.3">
      <c r="B85" s="77"/>
      <c r="C85" s="7" t="s">
        <v>425</v>
      </c>
      <c r="D85" s="407" t="e">
        <f>D84/D83</f>
        <v>#N/A</v>
      </c>
      <c r="E85" s="407" t="e">
        <f t="shared" ref="E85:K85" si="44">E84/E83</f>
        <v>#NUM!</v>
      </c>
      <c r="F85" s="407" t="e">
        <f t="shared" si="44"/>
        <v>#NUM!</v>
      </c>
      <c r="G85" s="407" t="e">
        <f t="shared" si="44"/>
        <v>#NUM!</v>
      </c>
      <c r="H85" s="407" t="e">
        <f t="shared" si="44"/>
        <v>#NUM!</v>
      </c>
      <c r="I85" s="407" t="e">
        <f t="shared" si="44"/>
        <v>#NUM!</v>
      </c>
      <c r="J85" s="407" t="e">
        <f t="shared" si="44"/>
        <v>#NUM!</v>
      </c>
      <c r="K85" s="407" t="e">
        <f t="shared" si="44"/>
        <v>#NUM!</v>
      </c>
      <c r="L85" s="78"/>
      <c r="M85" s="77"/>
      <c r="N85" s="414" t="s">
        <v>426</v>
      </c>
      <c r="O85" s="397"/>
      <c r="P85" s="397"/>
      <c r="Q85" s="397"/>
      <c r="R85" s="416" t="e">
        <f>RATE(K17-F17,0,-F22,K22)</f>
        <v>#NUM!</v>
      </c>
      <c r="T85" s="414" t="s">
        <v>426</v>
      </c>
      <c r="U85" s="397"/>
      <c r="V85" s="397"/>
      <c r="W85" s="397"/>
      <c r="X85" s="416" t="e">
        <f>RATE(K17-F17,0,-F22,K22)</f>
        <v>#NUM!</v>
      </c>
      <c r="Y85" s="78"/>
    </row>
    <row r="86" spans="2:25" hidden="1" x14ac:dyDescent="0.3">
      <c r="B86" s="77"/>
      <c r="C86" s="7" t="s">
        <v>427</v>
      </c>
      <c r="D86" s="407" t="e">
        <f t="shared" ref="D86:H86" si="45">D83/(D64+D44)</f>
        <v>#VALUE!</v>
      </c>
      <c r="E86" s="407" t="e">
        <f t="shared" si="45"/>
        <v>#VALUE!</v>
      </c>
      <c r="F86" s="407" t="e">
        <f t="shared" si="45"/>
        <v>#VALUE!</v>
      </c>
      <c r="G86" s="407" t="e">
        <f t="shared" si="45"/>
        <v>#VALUE!</v>
      </c>
      <c r="H86" s="407" t="e">
        <f t="shared" si="45"/>
        <v>#VALUE!</v>
      </c>
      <c r="I86" s="407" t="e">
        <f>I83/(I64+I44)</f>
        <v>#VALUE!</v>
      </c>
      <c r="J86" s="407" t="e">
        <f>J83/(J64+J44)</f>
        <v>#VALUE!</v>
      </c>
      <c r="K86" s="407" t="e">
        <f>K83/(K64+K44)</f>
        <v>#VALUE!</v>
      </c>
      <c r="L86" s="78"/>
      <c r="M86" s="77"/>
      <c r="N86" s="417" t="str">
        <f>"Growth rate of FCF after "&amp;30</f>
        <v>Growth rate of FCF after 30</v>
      </c>
      <c r="O86" s="394"/>
      <c r="P86" s="397"/>
      <c r="Q86" s="397"/>
      <c r="R86" s="418" t="e">
        <v>#DIV/0!</v>
      </c>
      <c r="T86" s="417" t="s">
        <v>428</v>
      </c>
      <c r="U86" s="394"/>
      <c r="V86" s="397"/>
      <c r="W86" s="397"/>
      <c r="X86" s="419" t="e">
        <f>AVERAGE(C85:K85)</f>
        <v>#N/A</v>
      </c>
      <c r="Y86" s="78"/>
    </row>
    <row r="87" spans="2:25" hidden="1" x14ac:dyDescent="0.3">
      <c r="B87" s="77"/>
      <c r="C87" s="7" t="s">
        <v>429</v>
      </c>
      <c r="D87" s="208" t="e">
        <f t="shared" ref="D87:H87" si="46">D60-D63</f>
        <v>#N/A</v>
      </c>
      <c r="E87" s="208" t="e">
        <f t="shared" si="46"/>
        <v>#NUM!</v>
      </c>
      <c r="F87" s="208" t="e">
        <f t="shared" si="46"/>
        <v>#NUM!</v>
      </c>
      <c r="G87" s="208" t="e">
        <f t="shared" si="46"/>
        <v>#NUM!</v>
      </c>
      <c r="H87" s="208" t="e">
        <f t="shared" si="46"/>
        <v>#NUM!</v>
      </c>
      <c r="I87" s="208" t="e">
        <f>I60-I63</f>
        <v>#NUM!</v>
      </c>
      <c r="J87" s="208" t="e">
        <f>J60-J63</f>
        <v>#NUM!</v>
      </c>
      <c r="K87" s="208" t="e">
        <f>K60-K63</f>
        <v>#NUM!</v>
      </c>
      <c r="L87" s="78"/>
      <c r="M87" s="77"/>
      <c r="N87" s="408" t="s">
        <v>430</v>
      </c>
      <c r="O87" s="397"/>
      <c r="P87" s="397"/>
      <c r="Q87" s="397"/>
      <c r="R87" s="420" t="e">
        <v>#DIV/0!</v>
      </c>
      <c r="T87" s="408" t="s">
        <v>430</v>
      </c>
      <c r="U87" s="397"/>
      <c r="V87" s="397"/>
      <c r="W87" s="397"/>
      <c r="X87" s="420" t="e">
        <v>#N/A</v>
      </c>
      <c r="Y87" s="78"/>
    </row>
    <row r="88" spans="2:25" hidden="1" x14ac:dyDescent="0.3">
      <c r="B88" s="77"/>
      <c r="C88" s="7" t="s">
        <v>413</v>
      </c>
      <c r="D88" s="208" t="e">
        <v>#VALUE!</v>
      </c>
      <c r="E88" s="208" t="e">
        <v>#VALUE!</v>
      </c>
      <c r="F88" s="208" t="e">
        <v>#VALUE!</v>
      </c>
      <c r="G88" s="208" t="e">
        <v>#VALUE!</v>
      </c>
      <c r="H88" s="208" t="e">
        <v>#VALUE!</v>
      </c>
      <c r="I88" s="208" t="e">
        <v>#VALUE!</v>
      </c>
      <c r="J88" s="208" t="e">
        <v>#VALUE!</v>
      </c>
      <c r="K88" s="208" t="e">
        <v>#VALUE!</v>
      </c>
      <c r="L88" s="78"/>
      <c r="M88" s="77"/>
      <c r="N88" s="412" t="s">
        <v>431</v>
      </c>
      <c r="O88" s="394"/>
      <c r="P88" s="397"/>
      <c r="Q88" s="397"/>
      <c r="R88" s="421" t="e">
        <f>PV(R82,R85,0,-R87)</f>
        <v>#VALUE!</v>
      </c>
      <c r="T88" s="412" t="s">
        <v>431</v>
      </c>
      <c r="U88" s="394"/>
      <c r="V88" s="397"/>
      <c r="W88" s="397"/>
      <c r="X88" s="421" t="e">
        <f>PV(X82,X85,0,-X87)</f>
        <v>#VALUE!</v>
      </c>
      <c r="Y88" s="78"/>
    </row>
    <row r="89" spans="2:25" hidden="1" x14ac:dyDescent="0.3">
      <c r="B89" s="77"/>
      <c r="C89" s="7" t="s">
        <v>432</v>
      </c>
      <c r="D89" s="400" t="e">
        <f>D46/D62</f>
        <v>#N/A</v>
      </c>
      <c r="E89" s="400" t="e">
        <f t="shared" ref="E89:H89" si="47">E46/E62</f>
        <v>#NUM!</v>
      </c>
      <c r="F89" s="400" t="e">
        <f t="shared" si="47"/>
        <v>#NUM!</v>
      </c>
      <c r="G89" s="400" t="e">
        <f t="shared" si="47"/>
        <v>#NUM!</v>
      </c>
      <c r="H89" s="400" t="e">
        <f t="shared" si="47"/>
        <v>#NUM!</v>
      </c>
      <c r="I89" s="400" t="e">
        <f>I46/I62</f>
        <v>#NUM!</v>
      </c>
      <c r="J89" s="400" t="e">
        <f>J46/J62</f>
        <v>#NUM!</v>
      </c>
      <c r="K89" s="400" t="e">
        <f>K46/K62</f>
        <v>#NUM!</v>
      </c>
      <c r="L89" s="78"/>
      <c r="M89" s="77"/>
      <c r="N89" s="412"/>
      <c r="O89" s="394"/>
      <c r="P89" s="397"/>
      <c r="Q89" s="397"/>
      <c r="R89" s="421"/>
      <c r="T89" s="412"/>
      <c r="U89" s="394"/>
      <c r="V89" s="397"/>
      <c r="W89" s="397"/>
      <c r="X89" s="421"/>
      <c r="Y89" s="78"/>
    </row>
    <row r="90" spans="2:25" hidden="1" x14ac:dyDescent="0.3">
      <c r="B90" s="77"/>
      <c r="C90" s="7" t="s">
        <v>433</v>
      </c>
      <c r="D90" s="400" t="e">
        <f t="shared" ref="D90:H90" si="48">D46/AVERAGE(C69:D69)</f>
        <v>#N/A</v>
      </c>
      <c r="E90" s="400" t="e">
        <f t="shared" si="48"/>
        <v>#N/A</v>
      </c>
      <c r="F90" s="400" t="e">
        <f t="shared" si="48"/>
        <v>#N/A</v>
      </c>
      <c r="G90" s="400" t="e">
        <f t="shared" si="48"/>
        <v>#N/A</v>
      </c>
      <c r="H90" s="400" t="e">
        <f t="shared" si="48"/>
        <v>#N/A</v>
      </c>
      <c r="I90" s="400" t="e">
        <f>I46/AVERAGE(H69:I69)</f>
        <v>#N/A</v>
      </c>
      <c r="J90" s="400" t="e">
        <f>J46/AVERAGE(I69:J69)</f>
        <v>#N/A</v>
      </c>
      <c r="K90" s="400" t="e">
        <f>K46/AVERAGE(J69:K69)</f>
        <v>#N/A</v>
      </c>
      <c r="L90" s="78"/>
      <c r="M90" s="77"/>
      <c r="N90" s="414"/>
      <c r="O90" s="397"/>
      <c r="P90" s="397"/>
      <c r="Q90" s="397"/>
      <c r="R90" s="415"/>
      <c r="T90" s="414"/>
      <c r="U90" s="397"/>
      <c r="V90" s="397"/>
      <c r="W90" s="397"/>
      <c r="X90" s="415"/>
      <c r="Y90" s="78"/>
    </row>
    <row r="91" spans="2:25" hidden="1" x14ac:dyDescent="0.3">
      <c r="B91" s="77"/>
      <c r="C91" s="7" t="s">
        <v>434</v>
      </c>
      <c r="D91" s="407" t="e">
        <v>#VALUE!</v>
      </c>
      <c r="E91" s="407" t="e">
        <v>#VALUE!</v>
      </c>
      <c r="F91" s="407" t="e">
        <v>#VALUE!</v>
      </c>
      <c r="G91" s="407" t="e">
        <v>#VALUE!</v>
      </c>
      <c r="H91" s="407" t="e">
        <v>#VALUE!</v>
      </c>
      <c r="I91" s="407" t="e">
        <v>#VALUE!</v>
      </c>
      <c r="J91" s="407" t="e">
        <v>#VALUE!</v>
      </c>
      <c r="K91" s="407" t="e">
        <v>#VALUE!</v>
      </c>
      <c r="L91" s="78"/>
      <c r="M91" s="77"/>
      <c r="N91" s="417" t="s">
        <v>424</v>
      </c>
      <c r="O91" s="398"/>
      <c r="P91" s="422"/>
      <c r="Q91" s="422"/>
      <c r="R91" s="423" t="e">
        <f>R88+R83</f>
        <v>#VALUE!</v>
      </c>
      <c r="T91" s="417" t="s">
        <v>424</v>
      </c>
      <c r="U91" s="398"/>
      <c r="V91" s="422"/>
      <c r="W91" s="422"/>
      <c r="X91" s="423" t="e">
        <f>X88+X83</f>
        <v>#VALUE!</v>
      </c>
      <c r="Y91" s="78"/>
    </row>
    <row r="92" spans="2:25" hidden="1" x14ac:dyDescent="0.3">
      <c r="B92" s="77"/>
      <c r="C92" s="7" t="s">
        <v>435</v>
      </c>
      <c r="D92" s="424">
        <f t="shared" ref="D92:K92" si="49">AVERAGE(1.19,1.06,1.61)</f>
        <v>1.2866666666666668</v>
      </c>
      <c r="E92" s="424">
        <f t="shared" si="49"/>
        <v>1.2866666666666668</v>
      </c>
      <c r="F92" s="424">
        <f t="shared" si="49"/>
        <v>1.2866666666666668</v>
      </c>
      <c r="G92" s="424">
        <f t="shared" si="49"/>
        <v>1.2866666666666668</v>
      </c>
      <c r="H92" s="424">
        <f t="shared" si="49"/>
        <v>1.2866666666666668</v>
      </c>
      <c r="I92" s="424">
        <f t="shared" si="49"/>
        <v>1.2866666666666668</v>
      </c>
      <c r="J92" s="424">
        <f t="shared" si="49"/>
        <v>1.2866666666666668</v>
      </c>
      <c r="K92" s="424">
        <f t="shared" si="49"/>
        <v>1.2866666666666668</v>
      </c>
      <c r="L92" s="78"/>
      <c r="M92" s="77"/>
      <c r="N92" s="414" t="s">
        <v>436</v>
      </c>
      <c r="O92" s="397"/>
      <c r="P92" s="397"/>
      <c r="Q92" s="397"/>
      <c r="R92" s="425" t="e">
        <f>+AVERAGE(F66:J66)</f>
        <v>#N/A</v>
      </c>
      <c r="T92" s="414" t="str">
        <f>N92</f>
        <v xml:space="preserve"> LESS: Net Debt (Cash)</v>
      </c>
      <c r="U92" s="397"/>
      <c r="V92" s="397"/>
      <c r="W92" s="397"/>
      <c r="X92" s="425" t="e">
        <f>R92</f>
        <v>#N/A</v>
      </c>
      <c r="Y92" s="78"/>
    </row>
    <row r="93" spans="2:25" hidden="1" x14ac:dyDescent="0.3">
      <c r="B93" s="77"/>
      <c r="C93" s="7" t="s">
        <v>437</v>
      </c>
      <c r="D93" s="407" t="e">
        <f t="shared" ref="D93:H93" si="50">D92*(1+(D65/D69))</f>
        <v>#N/A</v>
      </c>
      <c r="E93" s="407" t="e">
        <f t="shared" si="50"/>
        <v>#N/A</v>
      </c>
      <c r="F93" s="407" t="e">
        <f t="shared" si="50"/>
        <v>#N/A</v>
      </c>
      <c r="G93" s="407" t="e">
        <f t="shared" si="50"/>
        <v>#N/A</v>
      </c>
      <c r="H93" s="407" t="e">
        <f t="shared" si="50"/>
        <v>#N/A</v>
      </c>
      <c r="I93" s="407" t="e">
        <f>I92*(1+(I65/I69))</f>
        <v>#N/A</v>
      </c>
      <c r="J93" s="407" t="e">
        <f>J92*(1+(J65/J69))</f>
        <v>#N/A</v>
      </c>
      <c r="K93" s="407" t="e">
        <f>K92*(1+(K65/K69))</f>
        <v>#N/A</v>
      </c>
      <c r="L93" s="78"/>
      <c r="M93" s="77"/>
      <c r="N93" s="426" t="s">
        <v>438</v>
      </c>
      <c r="O93" s="427"/>
      <c r="P93" s="428"/>
      <c r="Q93" s="428"/>
      <c r="R93" s="429" t="e">
        <f>R91-R92</f>
        <v>#VALUE!</v>
      </c>
      <c r="T93" s="426" t="s">
        <v>438</v>
      </c>
      <c r="U93" s="427"/>
      <c r="V93" s="428"/>
      <c r="W93" s="428"/>
      <c r="X93" s="429" t="e">
        <f>X91-X92</f>
        <v>#VALUE!</v>
      </c>
      <c r="Y93" s="78"/>
    </row>
    <row r="94" spans="2:25" hidden="1" x14ac:dyDescent="0.3">
      <c r="B94" s="430">
        <v>4.1250000000000002E-2</v>
      </c>
      <c r="C94" s="7" t="s">
        <v>439</v>
      </c>
      <c r="D94" s="431">
        <v>4.1250000000000002E-2</v>
      </c>
      <c r="E94" s="431">
        <v>4.1250000000000002E-2</v>
      </c>
      <c r="F94" s="431">
        <v>4.1250000000000002E-2</v>
      </c>
      <c r="G94" s="431">
        <v>4.1250000000000002E-2</v>
      </c>
      <c r="H94" s="431">
        <v>4.1250000000000002E-2</v>
      </c>
      <c r="I94" s="431">
        <v>4.1250000000000002E-2</v>
      </c>
      <c r="J94" s="431">
        <v>4.1250000000000002E-2</v>
      </c>
      <c r="K94" s="431">
        <v>4.1250000000000002E-2</v>
      </c>
      <c r="L94" s="78"/>
      <c r="M94" s="77"/>
      <c r="T94" s="397"/>
      <c r="U94" s="397"/>
      <c r="V94" s="397"/>
      <c r="W94" s="397"/>
      <c r="X94" s="397"/>
      <c r="Y94" s="78"/>
    </row>
    <row r="95" spans="2:25" hidden="1" x14ac:dyDescent="0.3">
      <c r="B95" s="430"/>
      <c r="C95" s="7" t="s">
        <v>440</v>
      </c>
      <c r="D95" s="431">
        <v>8.1100000000000005E-2</v>
      </c>
      <c r="E95" s="431">
        <v>8.1100000000000005E-2</v>
      </c>
      <c r="F95" s="431">
        <v>8.1100000000000005E-2</v>
      </c>
      <c r="G95" s="431">
        <v>8.1100000000000005E-2</v>
      </c>
      <c r="H95" s="431">
        <v>8.1100000000000005E-2</v>
      </c>
      <c r="I95" s="431">
        <v>8.1100000000000005E-2</v>
      </c>
      <c r="J95" s="431">
        <v>8.1100000000000005E-2</v>
      </c>
      <c r="K95" s="431">
        <v>8.1100000000000005E-2</v>
      </c>
      <c r="L95" s="78"/>
      <c r="M95" s="77"/>
      <c r="Q95" s="432" t="s">
        <v>441</v>
      </c>
      <c r="R95" s="433">
        <v>0</v>
      </c>
      <c r="T95" s="397"/>
      <c r="W95" s="432" t="s">
        <v>441</v>
      </c>
      <c r="X95" s="434">
        <f>R95</f>
        <v>0</v>
      </c>
      <c r="Y95" s="78"/>
    </row>
    <row r="96" spans="2:25" hidden="1" x14ac:dyDescent="0.3">
      <c r="B96" s="430"/>
      <c r="C96" s="7" t="s">
        <v>442</v>
      </c>
      <c r="D96" s="400" t="e">
        <f t="shared" ref="D96:K96" si="51">D$84+(D93*(D$85-D$84))</f>
        <v>#N/A</v>
      </c>
      <c r="E96" s="400" t="e">
        <f t="shared" si="51"/>
        <v>#NUM!</v>
      </c>
      <c r="F96" s="400" t="e">
        <f t="shared" si="51"/>
        <v>#NUM!</v>
      </c>
      <c r="G96" s="400" t="e">
        <f t="shared" si="51"/>
        <v>#NUM!</v>
      </c>
      <c r="H96" s="400" t="e">
        <f t="shared" si="51"/>
        <v>#NUM!</v>
      </c>
      <c r="I96" s="400" t="e">
        <f t="shared" si="51"/>
        <v>#NUM!</v>
      </c>
      <c r="J96" s="400" t="e">
        <f t="shared" si="51"/>
        <v>#NUM!</v>
      </c>
      <c r="K96" s="400" t="e">
        <f t="shared" si="51"/>
        <v>#NUM!</v>
      </c>
      <c r="L96" s="78"/>
      <c r="M96" s="77"/>
      <c r="Y96" s="78"/>
    </row>
    <row r="97" spans="2:25" hidden="1" x14ac:dyDescent="0.3">
      <c r="B97" s="430"/>
      <c r="C97" s="7" t="s">
        <v>443</v>
      </c>
      <c r="D97" s="400" t="e">
        <f t="shared" ref="D97:H97" si="52">D44/D64</f>
        <v>#N/A</v>
      </c>
      <c r="E97" s="400" t="e">
        <f t="shared" si="52"/>
        <v>#N/A</v>
      </c>
      <c r="F97" s="400" t="e">
        <f t="shared" si="52"/>
        <v>#N/A</v>
      </c>
      <c r="G97" s="400" t="e">
        <f t="shared" si="52"/>
        <v>#N/A</v>
      </c>
      <c r="H97" s="400" t="e">
        <f t="shared" si="52"/>
        <v>#N/A</v>
      </c>
      <c r="I97" s="400" t="e">
        <f>I44/I64</f>
        <v>#N/A</v>
      </c>
      <c r="J97" s="400" t="e">
        <f>J44/J64</f>
        <v>#N/A</v>
      </c>
      <c r="K97" s="400" t="e">
        <f>K44/K64</f>
        <v>#N/A</v>
      </c>
      <c r="L97" s="78"/>
      <c r="M97" s="77"/>
      <c r="O97" s="435"/>
      <c r="P97" s="436"/>
      <c r="Q97" s="437" t="s">
        <v>444</v>
      </c>
      <c r="R97" s="438" t="e">
        <f>R93/R95</f>
        <v>#VALUE!</v>
      </c>
      <c r="U97" s="435"/>
      <c r="V97" s="436"/>
      <c r="W97" s="437" t="s">
        <v>444</v>
      </c>
      <c r="X97" s="438" t="e">
        <f>X93/X95</f>
        <v>#VALUE!</v>
      </c>
      <c r="Y97" s="78"/>
    </row>
    <row r="98" spans="2:25" hidden="1" x14ac:dyDescent="0.3">
      <c r="B98" s="77"/>
      <c r="C98" s="7" t="s">
        <v>445</v>
      </c>
      <c r="D98" s="400" t="e">
        <f t="shared" ref="D98:H98" si="53">D44/D65</f>
        <v>#N/A</v>
      </c>
      <c r="E98" s="400" t="e">
        <f t="shared" si="53"/>
        <v>#N/A</v>
      </c>
      <c r="F98" s="400" t="e">
        <f t="shared" si="53"/>
        <v>#N/A</v>
      </c>
      <c r="G98" s="400" t="e">
        <f t="shared" si="53"/>
        <v>#N/A</v>
      </c>
      <c r="H98" s="400" t="e">
        <f t="shared" si="53"/>
        <v>#N/A</v>
      </c>
      <c r="I98" s="400" t="e">
        <f>I44/I65</f>
        <v>#N/A</v>
      </c>
      <c r="J98" s="400" t="e">
        <f>J44/J65</f>
        <v>#N/A</v>
      </c>
      <c r="K98" s="400" t="e">
        <f>K44/K65</f>
        <v>#N/A</v>
      </c>
      <c r="L98" s="78"/>
      <c r="M98" s="77"/>
      <c r="Y98" s="78"/>
    </row>
    <row r="99" spans="2:25" hidden="1" x14ac:dyDescent="0.3">
      <c r="B99" s="77"/>
      <c r="C99" s="7" t="s">
        <v>446</v>
      </c>
      <c r="D99" s="400" t="e">
        <f>((D69/(D65+D69))*D96)+(((D65/(D65+D69))*D98))</f>
        <v>#N/A</v>
      </c>
      <c r="E99" s="400" t="e">
        <f t="shared" ref="E99:H99" si="54">((E69/(E65+E69))*E96)+(((E65/(E65+E69))*E98))</f>
        <v>#N/A</v>
      </c>
      <c r="F99" s="400" t="e">
        <f t="shared" si="54"/>
        <v>#N/A</v>
      </c>
      <c r="G99" s="400" t="e">
        <f t="shared" si="54"/>
        <v>#N/A</v>
      </c>
      <c r="H99" s="400" t="e">
        <f t="shared" si="54"/>
        <v>#N/A</v>
      </c>
      <c r="I99" s="400" t="e">
        <f>((I69/(I65+I69))*I96)+(((I65/(I65+I69))*I98))</f>
        <v>#N/A</v>
      </c>
      <c r="J99" s="400" t="e">
        <f>((J69/(J65+J69))*J96)+(((J65/(J65+J69))*J98))</f>
        <v>#N/A</v>
      </c>
      <c r="K99" s="400" t="e">
        <f>((K69/(K65+K69))*K96)+(((K65/(K65+K69))*K98))</f>
        <v>#N/A</v>
      </c>
      <c r="L99" s="78"/>
      <c r="M99" s="77"/>
      <c r="Y99" s="78"/>
    </row>
    <row r="100" spans="2:25" hidden="1" x14ac:dyDescent="0.3">
      <c r="B100" s="77"/>
      <c r="C100" s="7" t="s">
        <v>447</v>
      </c>
      <c r="D100" s="400" t="e">
        <f t="shared" ref="D100:H100" si="55">D40/D61</f>
        <v>#N/A</v>
      </c>
      <c r="E100" s="400" t="e">
        <f t="shared" si="55"/>
        <v>#N/A</v>
      </c>
      <c r="F100" s="400" t="e">
        <f t="shared" si="55"/>
        <v>#N/A</v>
      </c>
      <c r="G100" s="400" t="e">
        <f t="shared" si="55"/>
        <v>#N/A</v>
      </c>
      <c r="H100" s="400" t="e">
        <f t="shared" si="55"/>
        <v>#N/A</v>
      </c>
      <c r="I100" s="400" t="e">
        <f>I40/I61</f>
        <v>#N/A</v>
      </c>
      <c r="J100" s="400" t="e">
        <f>J40/J61</f>
        <v>#N/A</v>
      </c>
      <c r="K100" s="400" t="e">
        <f>K40/K61</f>
        <v>#N/A</v>
      </c>
      <c r="L100" s="78"/>
      <c r="M100" s="77"/>
      <c r="Y100" s="78"/>
    </row>
    <row r="101" spans="2:25" hidden="1" x14ac:dyDescent="0.3">
      <c r="B101" s="77"/>
      <c r="C101" s="7" t="s">
        <v>448</v>
      </c>
      <c r="D101" s="208" t="e">
        <f t="shared" ref="D101:H101" si="56">(D62-D63-D64)/$S$85</f>
        <v>#N/A</v>
      </c>
      <c r="E101" s="208" t="e">
        <f t="shared" si="56"/>
        <v>#NUM!</v>
      </c>
      <c r="F101" s="208" t="e">
        <f t="shared" si="56"/>
        <v>#NUM!</v>
      </c>
      <c r="G101" s="208" t="e">
        <f t="shared" si="56"/>
        <v>#NUM!</v>
      </c>
      <c r="H101" s="208" t="e">
        <f t="shared" si="56"/>
        <v>#NUM!</v>
      </c>
      <c r="I101" s="208" t="e">
        <f>(I62-I63-I64)/$S$85</f>
        <v>#NUM!</v>
      </c>
      <c r="J101" s="208" t="e">
        <f>(J62-J63-J64)/$S$85</f>
        <v>#NUM!</v>
      </c>
      <c r="K101" s="208" t="e">
        <f>(K62-K63-K64)/$S$85</f>
        <v>#NUM!</v>
      </c>
      <c r="L101" s="78"/>
      <c r="M101" s="77"/>
      <c r="Y101" s="78"/>
    </row>
    <row r="102" spans="2:25" ht="15" hidden="1" thickBot="1" x14ac:dyDescent="0.35">
      <c r="B102" s="86"/>
      <c r="C102" s="88"/>
      <c r="D102" s="88"/>
      <c r="E102" s="88"/>
      <c r="F102" s="88"/>
      <c r="G102" s="88"/>
      <c r="H102" s="88"/>
      <c r="I102" s="88"/>
      <c r="J102" s="88"/>
      <c r="K102" s="88"/>
      <c r="L102" s="89"/>
      <c r="M102" s="86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9"/>
    </row>
  </sheetData>
  <protectedRanges>
    <protectedRange sqref="R86" name="Range1_2_2"/>
    <protectedRange sqref="X86" name="Range1_1_1_2"/>
  </protectedRanges>
  <conditionalFormatting sqref="R83 X83 R87:R89 X87:X89 R91 X91 R93 X93">
    <cfRule type="cellIs" dxfId="3" priority="1" stopIfTrue="1" operator="equal">
      <formula>0.000001</formula>
    </cfRule>
  </conditionalFormatting>
  <printOptions horizontalCentered="1" verticalCentered="1"/>
  <pageMargins left="0.7" right="0.7" top="0.75" bottom="0.75" header="0.3" footer="0.3"/>
  <pageSetup scale="38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CA28-F251-43F8-92B3-03E613ED850F}">
  <sheetPr>
    <tabColor theme="1"/>
    <pageSetUpPr fitToPage="1"/>
  </sheetPr>
  <dimension ref="B1:S65"/>
  <sheetViews>
    <sheetView showGridLines="0" topLeftCell="B9" zoomScale="70" workbookViewId="0">
      <selection activeCell="Q32" sqref="Q32"/>
    </sheetView>
  </sheetViews>
  <sheetFormatPr defaultRowHeight="14.4" x14ac:dyDescent="0.3"/>
  <cols>
    <col min="2" max="2" width="37.44140625" bestFit="1" customWidth="1"/>
    <col min="3" max="3" width="18.88671875" bestFit="1" customWidth="1"/>
    <col min="4" max="4" width="19.109375" bestFit="1" customWidth="1"/>
    <col min="5" max="5" width="17.88671875" bestFit="1" customWidth="1"/>
    <col min="6" max="6" width="18.6640625" bestFit="1" customWidth="1"/>
    <col min="7" max="10" width="19.109375" bestFit="1" customWidth="1"/>
    <col min="11" max="11" width="18.6640625" bestFit="1" customWidth="1"/>
    <col min="12" max="12" width="19.109375" bestFit="1" customWidth="1"/>
    <col min="13" max="13" width="18.33203125" bestFit="1" customWidth="1"/>
    <col min="14" max="14" width="20" bestFit="1" customWidth="1"/>
    <col min="15" max="15" width="0.33203125" customWidth="1"/>
    <col min="16" max="16" width="15.5546875" bestFit="1" customWidth="1"/>
  </cols>
  <sheetData>
    <row r="1" spans="2:16" x14ac:dyDescent="0.3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3">
      <c r="B2" s="77"/>
      <c r="P2" s="78"/>
    </row>
    <row r="3" spans="2:16" x14ac:dyDescent="0.3">
      <c r="B3" s="77"/>
      <c r="P3" s="78"/>
    </row>
    <row r="4" spans="2:16" x14ac:dyDescent="0.3">
      <c r="B4" s="77"/>
      <c r="P4" s="78"/>
    </row>
    <row r="5" spans="2:16" x14ac:dyDescent="0.3">
      <c r="B5" s="77"/>
      <c r="P5" s="78"/>
    </row>
    <row r="6" spans="2:16" x14ac:dyDescent="0.3">
      <c r="B6" s="77"/>
      <c r="P6" s="78"/>
    </row>
    <row r="7" spans="2:16" x14ac:dyDescent="0.3">
      <c r="B7" s="77"/>
      <c r="P7" s="78"/>
    </row>
    <row r="8" spans="2:16" ht="23.4" x14ac:dyDescent="0.45">
      <c r="B8" s="681" t="s">
        <v>463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3"/>
    </row>
    <row r="9" spans="2:16" x14ac:dyDescent="0.3">
      <c r="B9" s="77"/>
      <c r="P9" s="78"/>
    </row>
    <row r="10" spans="2:16" ht="15.6" x14ac:dyDescent="0.3">
      <c r="B10" s="444"/>
      <c r="C10" s="303" t="str">
        <f>TEXT('Monthly Detail'!D3,"mmmm")</f>
        <v>January</v>
      </c>
      <c r="D10" s="303" t="str">
        <f>TEXT('Monthly Detail'!E3,"mmmm")</f>
        <v>February</v>
      </c>
      <c r="E10" s="303" t="str">
        <f>TEXT('Monthly Detail'!F3,"mmmm")</f>
        <v>March</v>
      </c>
      <c r="F10" s="303" t="str">
        <f>TEXT('Monthly Detail'!G3,"mmmm")</f>
        <v>April</v>
      </c>
      <c r="G10" s="303" t="str">
        <f>TEXT('Monthly Detail'!H3,"mmmm")</f>
        <v>May</v>
      </c>
      <c r="H10" s="303" t="str">
        <f>TEXT('Monthly Detail'!I3,"mmmm")</f>
        <v>June</v>
      </c>
      <c r="I10" s="303" t="str">
        <f>TEXT('Monthly Detail'!J3,"mmmm")</f>
        <v>July</v>
      </c>
      <c r="J10" s="303" t="str">
        <f>TEXT('Monthly Detail'!K3,"mmmm")</f>
        <v>August</v>
      </c>
      <c r="K10" s="303" t="str">
        <f>TEXT('Monthly Detail'!L3,"mmmm")</f>
        <v>September</v>
      </c>
      <c r="L10" s="303" t="str">
        <f>TEXT('Monthly Detail'!M3,"mmmm")</f>
        <v>October</v>
      </c>
      <c r="M10" s="303" t="str">
        <f>TEXT('Monthly Detail'!N3,"mmmm")</f>
        <v>November</v>
      </c>
      <c r="N10" s="469" t="str">
        <f>TEXT('Monthly Detail'!O3,"mmmm")</f>
        <v>December</v>
      </c>
      <c r="O10" s="475"/>
      <c r="P10" s="445" t="s">
        <v>0</v>
      </c>
    </row>
    <row r="11" spans="2:16" x14ac:dyDescent="0.3">
      <c r="B11" s="210"/>
      <c r="C11" s="72">
        <v>45688</v>
      </c>
      <c r="D11" s="72">
        <v>45716</v>
      </c>
      <c r="E11" s="72">
        <v>45747</v>
      </c>
      <c r="F11" s="72">
        <v>45777</v>
      </c>
      <c r="G11" s="72">
        <v>45808</v>
      </c>
      <c r="H11" s="72">
        <v>45838</v>
      </c>
      <c r="I11" s="72">
        <v>45869</v>
      </c>
      <c r="J11" s="72">
        <v>45900</v>
      </c>
      <c r="K11" s="72">
        <v>45930</v>
      </c>
      <c r="L11" s="72">
        <v>45961</v>
      </c>
      <c r="M11" s="72">
        <v>45991</v>
      </c>
      <c r="N11" s="470">
        <v>46022</v>
      </c>
      <c r="O11" s="476">
        <v>45322</v>
      </c>
      <c r="P11" s="78"/>
    </row>
    <row r="12" spans="2:16" x14ac:dyDescent="0.3">
      <c r="B12" s="211" t="s">
        <v>239</v>
      </c>
      <c r="C12" s="54">
        <f>SUMIF('Monthly Detail'!$3:$3, '2025 Overview (Accrual Basis)'!C$11, 'Monthly Detail'!10:10)</f>
        <v>5424.2758533204296</v>
      </c>
      <c r="D12" s="54">
        <f>SUMIF('Monthly Detail'!$3:$3, '2025 Overview (Accrual Basis)'!D$11, 'Monthly Detail'!10:10)</f>
        <v>775.80873005112676</v>
      </c>
      <c r="E12" s="54">
        <f>SUMIF('Monthly Detail'!$3:$3, '2025 Overview (Accrual Basis)'!E$11, 'Monthly Detail'!10:10)</f>
        <v>32151.700723854017</v>
      </c>
      <c r="F12" s="54">
        <f>SUMIF('Monthly Detail'!$3:$3, '2025 Overview (Accrual Basis)'!F$11, 'Monthly Detail'!10:10)</f>
        <v>2902.2908812357086</v>
      </c>
      <c r="G12" s="54">
        <f>SUMIF('Monthly Detail'!$3:$3, '2025 Overview (Accrual Basis)'!G$11, 'Monthly Detail'!10:10)</f>
        <v>131296.40086473405</v>
      </c>
      <c r="H12" s="54">
        <f>SUMIF('Monthly Detail'!$3:$3, '2025 Overview (Accrual Basis)'!H$11, 'Monthly Detail'!10:10)</f>
        <v>235458.92332221521</v>
      </c>
      <c r="I12" s="54">
        <f>SUMIF('Monthly Detail'!$3:$3, '2025 Overview (Accrual Basis)'!I$11, 'Monthly Detail'!10:10)</f>
        <v>167696.7611635045</v>
      </c>
      <c r="J12" s="54">
        <f>SUMIF('Monthly Detail'!$3:$3, '2025 Overview (Accrual Basis)'!J$11, 'Monthly Detail'!10:10)</f>
        <v>105986.2955356624</v>
      </c>
      <c r="K12" s="54">
        <f>SUMIF('Monthly Detail'!$3:$3, '2025 Overview (Accrual Basis)'!K$11, 'Monthly Detail'!10:10)</f>
        <v>75504.743926715979</v>
      </c>
      <c r="L12" s="54">
        <f>SUMIF('Monthly Detail'!$3:$3, '2025 Overview (Accrual Basis)'!L$11, 'Monthly Detail'!10:10)</f>
        <v>172689.73950918234</v>
      </c>
      <c r="M12" s="54">
        <f>SUMIF('Monthly Detail'!$3:$3, '2025 Overview (Accrual Basis)'!M$11, 'Monthly Detail'!10:10)</f>
        <v>257697.18791151649</v>
      </c>
      <c r="N12" s="306">
        <f>SUMIF('Monthly Detail'!$3:$3, '2025 Overview (Accrual Basis)'!N$11, 'Monthly Detail'!10:10)</f>
        <v>392431.53887035867</v>
      </c>
      <c r="O12" s="477"/>
      <c r="P12" s="446">
        <f>SUM(C12:O12)</f>
        <v>1580015.6672923509</v>
      </c>
    </row>
    <row r="13" spans="2:16" x14ac:dyDescent="0.3">
      <c r="B13" s="211" t="s">
        <v>367</v>
      </c>
      <c r="C13" s="54">
        <f>SUMIF('Monthly Detail'!$3:$3, '2025 Overview (Accrual Basis)'!C$11, 'Monthly Detail'!11:11)</f>
        <v>30000</v>
      </c>
      <c r="D13" s="54">
        <f>SUMIF('Monthly Detail'!$3:$3, '2025 Overview (Accrual Basis)'!D$11, 'Monthly Detail'!11:11)</f>
        <v>30000</v>
      </c>
      <c r="E13" s="54">
        <f>SUMIF('Monthly Detail'!$3:$3, '2025 Overview (Accrual Basis)'!E$11, 'Monthly Detail'!11:11)</f>
        <v>30000</v>
      </c>
      <c r="F13" s="54">
        <f>SUMIF('Monthly Detail'!$3:$3, '2025 Overview (Accrual Basis)'!F$11, 'Monthly Detail'!11:11)</f>
        <v>30000</v>
      </c>
      <c r="G13" s="54">
        <f>SUMIF('Monthly Detail'!$3:$3, '2025 Overview (Accrual Basis)'!G$11, 'Monthly Detail'!11:11)</f>
        <v>30000</v>
      </c>
      <c r="H13" s="54">
        <f>SUMIF('Monthly Detail'!$3:$3, '2025 Overview (Accrual Basis)'!H$11, 'Monthly Detail'!11:11)</f>
        <v>30000</v>
      </c>
      <c r="I13" s="54">
        <f>SUMIF('Monthly Detail'!$3:$3, '2025 Overview (Accrual Basis)'!I$11, 'Monthly Detail'!11:11)</f>
        <v>30000</v>
      </c>
      <c r="J13" s="54">
        <f>SUMIF('Monthly Detail'!$3:$3, '2025 Overview (Accrual Basis)'!J$11, 'Monthly Detail'!11:11)</f>
        <v>30000</v>
      </c>
      <c r="K13" s="54">
        <f>SUMIF('Monthly Detail'!$3:$3, '2025 Overview (Accrual Basis)'!K$11, 'Monthly Detail'!11:11)</f>
        <v>30000</v>
      </c>
      <c r="L13" s="54">
        <f>SUMIF('Monthly Detail'!$3:$3, '2025 Overview (Accrual Basis)'!L$11, 'Monthly Detail'!11:11)</f>
        <v>30000</v>
      </c>
      <c r="M13" s="54">
        <f>SUMIF('Monthly Detail'!$3:$3, '2025 Overview (Accrual Basis)'!M$11, 'Monthly Detail'!11:11)</f>
        <v>30000</v>
      </c>
      <c r="N13" s="306">
        <f>SUMIF('Monthly Detail'!$3:$3, '2025 Overview (Accrual Basis)'!N$11, 'Monthly Detail'!11:11)</f>
        <v>30000</v>
      </c>
      <c r="O13" s="477"/>
      <c r="P13" s="446">
        <f>SUM(C13:O13)</f>
        <v>360000</v>
      </c>
    </row>
    <row r="14" spans="2:16" x14ac:dyDescent="0.3">
      <c r="B14" s="212" t="s">
        <v>301</v>
      </c>
      <c r="C14" s="55">
        <f>+C12+C13</f>
        <v>35424.275853320432</v>
      </c>
      <c r="D14" s="55">
        <f t="shared" ref="D14:N14" si="0">+D12+D13</f>
        <v>30775.808730051125</v>
      </c>
      <c r="E14" s="55">
        <f t="shared" si="0"/>
        <v>62151.700723854017</v>
      </c>
      <c r="F14" s="55">
        <f t="shared" si="0"/>
        <v>32902.290881235705</v>
      </c>
      <c r="G14" s="55">
        <f t="shared" si="0"/>
        <v>161296.40086473405</v>
      </c>
      <c r="H14" s="55">
        <f t="shared" si="0"/>
        <v>265458.92332221521</v>
      </c>
      <c r="I14" s="55">
        <f t="shared" si="0"/>
        <v>197696.7611635045</v>
      </c>
      <c r="J14" s="55">
        <f t="shared" si="0"/>
        <v>135986.29553566239</v>
      </c>
      <c r="K14" s="55">
        <f t="shared" si="0"/>
        <v>105504.74392671598</v>
      </c>
      <c r="L14" s="55">
        <f t="shared" si="0"/>
        <v>202689.73950918234</v>
      </c>
      <c r="M14" s="55">
        <f t="shared" si="0"/>
        <v>287697.18791151652</v>
      </c>
      <c r="N14" s="307">
        <f t="shared" si="0"/>
        <v>422431.53887035867</v>
      </c>
      <c r="O14" s="478"/>
      <c r="P14" s="560">
        <f>SUM(P12:P13)</f>
        <v>1940015.6672923509</v>
      </c>
    </row>
    <row r="15" spans="2:16" x14ac:dyDescent="0.3">
      <c r="B15" s="551" t="s">
        <v>507</v>
      </c>
      <c r="C15" s="586">
        <f>SUMIF('Monthly Detail'!$3:$3, '2025 Overview (Accrual Basis)'!C$11, 'Monthly Detail'!12:12)</f>
        <v>3</v>
      </c>
      <c r="D15" s="586">
        <f>SUMIF('Monthly Detail'!$3:$3, '2025 Overview (Accrual Basis)'!D$11, 'Monthly Detail'!12:12)</f>
        <v>0</v>
      </c>
      <c r="E15" s="586">
        <f>SUMIF('Monthly Detail'!$3:$3, '2025 Overview (Accrual Basis)'!E$11, 'Monthly Detail'!12:12)</f>
        <v>0</v>
      </c>
      <c r="F15" s="586">
        <f>SUMIF('Monthly Detail'!$3:$3, '2025 Overview (Accrual Basis)'!F$11, 'Monthly Detail'!12:12)</f>
        <v>3</v>
      </c>
      <c r="G15" s="586">
        <f>SUMIF('Monthly Detail'!$3:$3, '2025 Overview (Accrual Basis)'!G$11, 'Monthly Detail'!12:12)</f>
        <v>0</v>
      </c>
      <c r="H15" s="586">
        <f>SUMIF('Monthly Detail'!$3:$3, '2025 Overview (Accrual Basis)'!H$11, 'Monthly Detail'!12:12)</f>
        <v>0</v>
      </c>
      <c r="I15" s="586">
        <f>SUMIF('Monthly Detail'!$3:$3, '2025 Overview (Accrual Basis)'!I$11, 'Monthly Detail'!12:12)</f>
        <v>3</v>
      </c>
      <c r="J15" s="586">
        <f>SUMIF('Monthly Detail'!$3:$3, '2025 Overview (Accrual Basis)'!J$11, 'Monthly Detail'!12:12)</f>
        <v>0</v>
      </c>
      <c r="K15" s="586">
        <f>SUMIF('Monthly Detail'!$3:$3, '2025 Overview (Accrual Basis)'!K$11, 'Monthly Detail'!12:12)</f>
        <v>0</v>
      </c>
      <c r="L15" s="586">
        <f>SUMIF('Monthly Detail'!$3:$3, '2025 Overview (Accrual Basis)'!L$11, 'Monthly Detail'!12:12)</f>
        <v>3</v>
      </c>
      <c r="M15" s="586">
        <f>SUMIF('Monthly Detail'!$3:$3, '2025 Overview (Accrual Basis)'!M$11, 'Monthly Detail'!12:12)</f>
        <v>0</v>
      </c>
      <c r="N15" s="587">
        <f>SUMIF('Monthly Detail'!$3:$3, '2025 Overview (Accrual Basis)'!N$11, 'Monthly Detail'!12:12)</f>
        <v>0</v>
      </c>
      <c r="O15" s="585"/>
      <c r="P15" s="588">
        <f>+SUM(C15:N15)</f>
        <v>12</v>
      </c>
    </row>
    <row r="16" spans="2:16" hidden="1" x14ac:dyDescent="0.3">
      <c r="B16" s="211" t="s">
        <v>362</v>
      </c>
      <c r="C16" s="57">
        <f>SUMIF('Monthly Detail'!$3:$3, '2025 Overview (Accrual Basis)'!C$11, 'Monthly Detail'!22:22)</f>
        <v>0</v>
      </c>
      <c r="D16" s="57">
        <f>SUMIF('Monthly Detail'!$3:$3, '2025 Overview (Accrual Basis)'!D$11, 'Monthly Detail'!22:22)</f>
        <v>0</v>
      </c>
      <c r="E16" s="57">
        <f>SUMIF('Monthly Detail'!$3:$3, '2025 Overview (Accrual Basis)'!E$11, 'Monthly Detail'!22:22)</f>
        <v>0</v>
      </c>
      <c r="F16" s="57">
        <f>SUMIF('Monthly Detail'!$3:$3, '2025 Overview (Accrual Basis)'!F$11, 'Monthly Detail'!22:22)</f>
        <v>0</v>
      </c>
      <c r="G16" s="57">
        <f>SUMIF('Monthly Detail'!$3:$3, '2025 Overview (Accrual Basis)'!G$11, 'Monthly Detail'!22:22)</f>
        <v>0</v>
      </c>
      <c r="H16" s="57">
        <f>SUMIF('Monthly Detail'!$3:$3, '2025 Overview (Accrual Basis)'!H$11, 'Monthly Detail'!22:22)</f>
        <v>0</v>
      </c>
      <c r="I16" s="57">
        <f>SUMIF('Monthly Detail'!$3:$3, '2025 Overview (Accrual Basis)'!I$11, 'Monthly Detail'!22:22)</f>
        <v>0</v>
      </c>
      <c r="J16" s="57">
        <f>SUMIF('Monthly Detail'!$3:$3, '2025 Overview (Accrual Basis)'!J$11, 'Monthly Detail'!22:22)</f>
        <v>0</v>
      </c>
      <c r="K16" s="57">
        <f>SUMIF('Monthly Detail'!$3:$3, '2025 Overview (Accrual Basis)'!K$11, 'Monthly Detail'!22:22)</f>
        <v>0</v>
      </c>
      <c r="L16" s="57">
        <f>SUMIF('Monthly Detail'!$3:$3, '2025 Overview (Accrual Basis)'!L$11, 'Monthly Detail'!22:22)</f>
        <v>0</v>
      </c>
      <c r="M16" s="57">
        <f>SUMIF('Monthly Detail'!$3:$3, '2025 Overview (Accrual Basis)'!M$11, 'Monthly Detail'!22:22)</f>
        <v>0</v>
      </c>
      <c r="N16" s="261">
        <f>SUMIF('Monthly Detail'!$3:$3, '2025 Overview (Accrual Basis)'!N$11, 'Monthly Detail'!22:22)</f>
        <v>0</v>
      </c>
      <c r="O16" s="479"/>
      <c r="P16" s="449">
        <f>SUM(C16:O16)</f>
        <v>0</v>
      </c>
    </row>
    <row r="17" spans="2:19" x14ac:dyDescent="0.3">
      <c r="B17" s="211" t="s">
        <v>363</v>
      </c>
      <c r="C17" s="57">
        <f>SUMIF('Monthly Detail'!$3:$3, '2025 Overview (Accrual Basis)'!C$11, 'Monthly Detail'!23:23)</f>
        <v>2286.0953995759955</v>
      </c>
      <c r="D17" s="57">
        <f>SUMIF('Monthly Detail'!$3:$3, '2025 Overview (Accrual Basis)'!D$11, 'Monthly Detail'!23:23)</f>
        <v>326.96950093994519</v>
      </c>
      <c r="E17" s="57">
        <f>SUMIF('Monthly Detail'!$3:$3, '2025 Overview (Accrual Basis)'!E$11, 'Monthly Detail'!23:23)</f>
        <v>13550.537823100067</v>
      </c>
      <c r="F17" s="57">
        <f>SUMIF('Monthly Detail'!$3:$3, '2025 Overview (Accrual Basis)'!F$11, 'Monthly Detail'!23:23)</f>
        <v>1223.1888663558293</v>
      </c>
      <c r="G17" s="57">
        <f>SUMIF('Monthly Detail'!$3:$3, '2025 Overview (Accrual Basis)'!G$11, 'Monthly Detail'!23:23)</f>
        <v>55335.699384465486</v>
      </c>
      <c r="H17" s="57">
        <f>SUMIF('Monthly Detail'!$3:$3, '2025 Overview (Accrual Basis)'!H$11, 'Monthly Detail'!23:23)</f>
        <v>99235.653929091422</v>
      </c>
      <c r="I17" s="57">
        <f>SUMIF('Monthly Detail'!$3:$3, '2025 Overview (Accrual Basis)'!I$11, 'Monthly Detail'!23:23)</f>
        <v>69632.140667823784</v>
      </c>
      <c r="J17" s="57">
        <f>SUMIF('Monthly Detail'!$3:$3, '2025 Overview (Accrual Basis)'!J$11, 'Monthly Detail'!23:23)</f>
        <v>44519.17370863918</v>
      </c>
      <c r="K17" s="57">
        <f>SUMIF('Monthly Detail'!$3:$3, '2025 Overview (Accrual Basis)'!K$11, 'Monthly Detail'!23:23)</f>
        <v>25629.502269442397</v>
      </c>
      <c r="L17" s="57">
        <f>SUMIF('Monthly Detail'!$3:$3, '2025 Overview (Accrual Basis)'!L$11, 'Monthly Detail'!23:23)</f>
        <v>72222.19985883015</v>
      </c>
      <c r="M17" s="57">
        <f>SUMIF('Monthly Detail'!$3:$3, '2025 Overview (Accrual Basis)'!M$11, 'Monthly Detail'!23:23)</f>
        <v>83320.291719950139</v>
      </c>
      <c r="N17" s="261">
        <f>SUMIF('Monthly Detail'!$3:$3, '2025 Overview (Accrual Basis)'!N$11, 'Monthly Detail'!23:23)</f>
        <v>120043.12975293318</v>
      </c>
      <c r="O17" s="479"/>
      <c r="P17" s="449">
        <f t="shared" ref="P17:P19" si="1">SUM(C17:O17)</f>
        <v>587324.58288114762</v>
      </c>
    </row>
    <row r="18" spans="2:19" x14ac:dyDescent="0.3">
      <c r="B18" s="211" t="s">
        <v>364</v>
      </c>
      <c r="C18" s="57">
        <f>SUMIF('Monthly Detail'!$3:$3, '2025 Overview (Accrual Basis)'!C$11, 'Monthly Detail'!24:24)</f>
        <v>1450.6279660447451</v>
      </c>
      <c r="D18" s="57">
        <f>SUMIF('Monthly Detail'!$3:$3, '2025 Overview (Accrual Basis)'!D$11, 'Monthly Detail'!24:24)</f>
        <v>207.47651309527546</v>
      </c>
      <c r="E18" s="57">
        <f>SUMIF('Monthly Detail'!$3:$3, '2025 Overview (Accrual Basis)'!E$11, 'Monthly Detail'!24:24)</f>
        <v>8598.4115644438116</v>
      </c>
      <c r="F18" s="57">
        <f>SUMIF('Monthly Detail'!$3:$3, '2025 Overview (Accrual Basis)'!F$11, 'Monthly Detail'!24:24)</f>
        <v>776.16707405099214</v>
      </c>
      <c r="G18" s="57">
        <f>SUMIF('Monthly Detail'!$3:$3, '2025 Overview (Accrual Basis)'!G$11, 'Monthly Detail'!24:24)</f>
        <v>35112.932322351313</v>
      </c>
      <c r="H18" s="57">
        <f>SUMIF('Monthly Detail'!$3:$3, '2025 Overview (Accrual Basis)'!H$11, 'Monthly Detail'!24:24)</f>
        <v>62969.38213732349</v>
      </c>
      <c r="I18" s="57">
        <f>SUMIF('Monthly Detail'!$3:$3, '2025 Overview (Accrual Basis)'!I$11, 'Monthly Detail'!24:24)</f>
        <v>44184.652402100663</v>
      </c>
      <c r="J18" s="57">
        <f>SUMIF('Monthly Detail'!$3:$3, '2025 Overview (Accrual Basis)'!J$11, 'Monthly Detail'!24:24)</f>
        <v>28249.371578689937</v>
      </c>
      <c r="K18" s="57">
        <f>SUMIF('Monthly Detail'!$3:$3, '2025 Overview (Accrual Basis)'!K$11, 'Monthly Detail'!24:24)</f>
        <v>16263.045170711601</v>
      </c>
      <c r="L18" s="57">
        <f>SUMIF('Monthly Detail'!$3:$3, '2025 Overview (Accrual Basis)'!L$11, 'Monthly Detail'!24:24)</f>
        <v>45828.158747847177</v>
      </c>
      <c r="M18" s="57">
        <f>SUMIF('Monthly Detail'!$3:$3, '2025 Overview (Accrual Basis)'!M$11, 'Monthly Detail'!24:24)</f>
        <v>52870.38560612272</v>
      </c>
      <c r="N18" s="261">
        <f>SUMIF('Monthly Detail'!$3:$3, '2025 Overview (Accrual Basis)'!N$11, 'Monthly Detail'!24:24)</f>
        <v>76172.639682246154</v>
      </c>
      <c r="O18" s="479"/>
      <c r="P18" s="449">
        <f t="shared" si="1"/>
        <v>372683.25076502789</v>
      </c>
    </row>
    <row r="19" spans="2:19" x14ac:dyDescent="0.3">
      <c r="B19" s="211" t="s">
        <v>365</v>
      </c>
      <c r="C19" s="57">
        <f>SUMIF('Monthly Detail'!$3:$3, '2025 Overview (Accrual Basis)'!C$11, 'Monthly Detail'!25:25)</f>
        <v>25500</v>
      </c>
      <c r="D19" s="57">
        <f>SUMIF('Monthly Detail'!$3:$3, '2025 Overview (Accrual Basis)'!D$11, 'Monthly Detail'!25:25)</f>
        <v>25500</v>
      </c>
      <c r="E19" s="57">
        <f>SUMIF('Monthly Detail'!$3:$3, '2025 Overview (Accrual Basis)'!E$11, 'Monthly Detail'!25:25)</f>
        <v>25500</v>
      </c>
      <c r="F19" s="57">
        <f>SUMIF('Monthly Detail'!$3:$3, '2025 Overview (Accrual Basis)'!F$11, 'Monthly Detail'!25:25)</f>
        <v>25500</v>
      </c>
      <c r="G19" s="57">
        <f>SUMIF('Monthly Detail'!$3:$3, '2025 Overview (Accrual Basis)'!G$11, 'Monthly Detail'!25:25)</f>
        <v>25500</v>
      </c>
      <c r="H19" s="57">
        <f>SUMIF('Monthly Detail'!$3:$3, '2025 Overview (Accrual Basis)'!H$11, 'Monthly Detail'!25:25)</f>
        <v>25500</v>
      </c>
      <c r="I19" s="57">
        <f>SUMIF('Monthly Detail'!$3:$3, '2025 Overview (Accrual Basis)'!I$11, 'Monthly Detail'!25:25)</f>
        <v>25500</v>
      </c>
      <c r="J19" s="57">
        <f>SUMIF('Monthly Detail'!$3:$3, '2025 Overview (Accrual Basis)'!J$11, 'Monthly Detail'!25:25)</f>
        <v>25500</v>
      </c>
      <c r="K19" s="57">
        <f>SUMIF('Monthly Detail'!$3:$3, '2025 Overview (Accrual Basis)'!K$11, 'Monthly Detail'!25:25)</f>
        <v>25500</v>
      </c>
      <c r="L19" s="57">
        <f>SUMIF('Monthly Detail'!$3:$3, '2025 Overview (Accrual Basis)'!L$11, 'Monthly Detail'!25:25)</f>
        <v>25500</v>
      </c>
      <c r="M19" s="57">
        <f>SUMIF('Monthly Detail'!$3:$3, '2025 Overview (Accrual Basis)'!M$11, 'Monthly Detail'!25:25)</f>
        <v>25500</v>
      </c>
      <c r="N19" s="261">
        <f>SUMIF('Monthly Detail'!$3:$3, '2025 Overview (Accrual Basis)'!N$11, 'Monthly Detail'!25:25)</f>
        <v>25500</v>
      </c>
      <c r="O19" s="479"/>
      <c r="P19" s="449">
        <f t="shared" si="1"/>
        <v>306000</v>
      </c>
    </row>
    <row r="20" spans="2:19" ht="15.6" x14ac:dyDescent="0.3">
      <c r="B20" s="214" t="s">
        <v>366</v>
      </c>
      <c r="C20" s="69">
        <f t="shared" ref="C20:N20" si="2">C14-SUM(C16:C19)</f>
        <v>6187.5524876996933</v>
      </c>
      <c r="D20" s="69">
        <f t="shared" si="2"/>
        <v>4741.3627160159049</v>
      </c>
      <c r="E20" s="69">
        <f t="shared" si="2"/>
        <v>14502.751336310139</v>
      </c>
      <c r="F20" s="69">
        <f t="shared" si="2"/>
        <v>5402.9349408288836</v>
      </c>
      <c r="G20" s="69">
        <f t="shared" si="2"/>
        <v>45347.769157917253</v>
      </c>
      <c r="H20" s="69">
        <f t="shared" si="2"/>
        <v>77753.887255800306</v>
      </c>
      <c r="I20" s="69">
        <f t="shared" si="2"/>
        <v>58379.968093580042</v>
      </c>
      <c r="J20" s="69">
        <f t="shared" si="2"/>
        <v>37717.750248333265</v>
      </c>
      <c r="K20" s="69">
        <f t="shared" si="2"/>
        <v>38112.196486561981</v>
      </c>
      <c r="L20" s="69">
        <f t="shared" si="2"/>
        <v>59139.380902505014</v>
      </c>
      <c r="M20" s="69">
        <f t="shared" si="2"/>
        <v>126006.51058544367</v>
      </c>
      <c r="N20" s="258">
        <f t="shared" si="2"/>
        <v>200715.76943517933</v>
      </c>
      <c r="O20" s="480"/>
      <c r="P20" s="450">
        <f>P14-SUM(P16:P19)</f>
        <v>674007.83364617545</v>
      </c>
    </row>
    <row r="21" spans="2:19" x14ac:dyDescent="0.3">
      <c r="B21" s="215" t="s">
        <v>378</v>
      </c>
      <c r="C21" s="71">
        <f t="shared" ref="C21:N21" si="3">+IFERROR((C12-SUM(C16:C18))/C12, 0)</f>
        <v>0.31111111111111101</v>
      </c>
      <c r="D21" s="71">
        <f t="shared" si="3"/>
        <v>0.31111111111111117</v>
      </c>
      <c r="E21" s="71">
        <f t="shared" si="3"/>
        <v>0.31111111111111112</v>
      </c>
      <c r="F21" s="71">
        <f t="shared" si="3"/>
        <v>0.31111111111111112</v>
      </c>
      <c r="G21" s="71">
        <f t="shared" si="3"/>
        <v>0.31111111111111106</v>
      </c>
      <c r="H21" s="71">
        <f t="shared" si="3"/>
        <v>0.31111111111111117</v>
      </c>
      <c r="I21" s="71">
        <f t="shared" si="3"/>
        <v>0.32129402929283196</v>
      </c>
      <c r="J21" s="71">
        <f t="shared" si="3"/>
        <v>0.31341552302067327</v>
      </c>
      <c r="K21" s="71">
        <f t="shared" si="3"/>
        <v>0.44516668408524879</v>
      </c>
      <c r="L21" s="71">
        <f t="shared" si="3"/>
        <v>0.31640201124745865</v>
      </c>
      <c r="M21" s="71">
        <f t="shared" si="3"/>
        <v>0.47150887275946685</v>
      </c>
      <c r="N21" s="260">
        <f t="shared" si="3"/>
        <v>0.5</v>
      </c>
      <c r="O21" s="481"/>
      <c r="P21" s="451">
        <f>((P12-SUM(P16:P18))/P12)</f>
        <v>0.3924061301927933</v>
      </c>
    </row>
    <row r="22" spans="2:19" x14ac:dyDescent="0.3">
      <c r="B22" s="215" t="s">
        <v>379</v>
      </c>
      <c r="C22" s="71">
        <f t="shared" ref="C22:N22" si="4">+IFERROR((C13-C19)/C13, 0)</f>
        <v>0.15</v>
      </c>
      <c r="D22" s="71">
        <f t="shared" si="4"/>
        <v>0.15</v>
      </c>
      <c r="E22" s="71">
        <f t="shared" si="4"/>
        <v>0.15</v>
      </c>
      <c r="F22" s="71">
        <f t="shared" si="4"/>
        <v>0.15</v>
      </c>
      <c r="G22" s="71">
        <f t="shared" si="4"/>
        <v>0.15</v>
      </c>
      <c r="H22" s="71">
        <f t="shared" si="4"/>
        <v>0.15</v>
      </c>
      <c r="I22" s="71">
        <f t="shared" si="4"/>
        <v>0.15</v>
      </c>
      <c r="J22" s="71">
        <f t="shared" si="4"/>
        <v>0.15</v>
      </c>
      <c r="K22" s="71">
        <f t="shared" si="4"/>
        <v>0.15</v>
      </c>
      <c r="L22" s="71">
        <f t="shared" si="4"/>
        <v>0.15</v>
      </c>
      <c r="M22" s="71">
        <f t="shared" si="4"/>
        <v>0.15</v>
      </c>
      <c r="N22" s="260">
        <f t="shared" si="4"/>
        <v>0.15</v>
      </c>
      <c r="O22" s="481"/>
      <c r="P22" s="451">
        <f>((P13-P19))/P13</f>
        <v>0.15</v>
      </c>
    </row>
    <row r="23" spans="2:19" x14ac:dyDescent="0.3">
      <c r="B23" s="210"/>
      <c r="N23" s="162"/>
      <c r="O23" s="479"/>
      <c r="P23" s="78"/>
    </row>
    <row r="24" spans="2:19" x14ac:dyDescent="0.3">
      <c r="B24" s="210" t="s">
        <v>387</v>
      </c>
      <c r="C24" s="54">
        <f>SUMIF('Monthly Detail'!$3:$3, '2025 Overview (Accrual Basis)'!C$11, 'Monthly Detail'!$41:$41)</f>
        <v>605</v>
      </c>
      <c r="D24" s="54">
        <f>SUMIF('Monthly Detail'!$3:$3, '2025 Overview (Accrual Basis)'!D$11, 'Monthly Detail'!$41:$41)</f>
        <v>605</v>
      </c>
      <c r="E24" s="54">
        <f>SUMIF('Monthly Detail'!$3:$3, '2025 Overview (Accrual Basis)'!E$11, 'Monthly Detail'!$41:$41)</f>
        <v>605</v>
      </c>
      <c r="F24" s="54">
        <f>SUMIF('Monthly Detail'!$3:$3, '2025 Overview (Accrual Basis)'!F$11, 'Monthly Detail'!$41:$41)</f>
        <v>605</v>
      </c>
      <c r="G24" s="54">
        <f>SUMIF('Monthly Detail'!$3:$3, '2025 Overview (Accrual Basis)'!G$11, 'Monthly Detail'!$41:$41)</f>
        <v>605</v>
      </c>
      <c r="H24" s="54">
        <f>SUMIF('Monthly Detail'!$3:$3, '2025 Overview (Accrual Basis)'!H$11, 'Monthly Detail'!$41:$41)</f>
        <v>605</v>
      </c>
      <c r="I24" s="54">
        <f>SUMIF('Monthly Detail'!$3:$3, '2025 Overview (Accrual Basis)'!I$11, 'Monthly Detail'!$41:$41)</f>
        <v>605</v>
      </c>
      <c r="J24" s="54">
        <f>SUMIF('Monthly Detail'!$3:$3, '2025 Overview (Accrual Basis)'!J$11, 'Monthly Detail'!$41:$41)</f>
        <v>605</v>
      </c>
      <c r="K24" s="54">
        <f>SUMIF('Monthly Detail'!$3:$3, '2025 Overview (Accrual Basis)'!K$11, 'Monthly Detail'!$41:$41)</f>
        <v>605</v>
      </c>
      <c r="L24" s="54">
        <f>SUMIF('Monthly Detail'!$3:$3, '2025 Overview (Accrual Basis)'!L$11, 'Monthly Detail'!$41:$41)</f>
        <v>605</v>
      </c>
      <c r="M24" s="54">
        <f>SUMIF('Monthly Detail'!$3:$3, '2025 Overview (Accrual Basis)'!M$11, 'Monthly Detail'!$41:$41)</f>
        <v>605</v>
      </c>
      <c r="N24" s="306">
        <f>SUMIF('Monthly Detail'!$3:$3, '2025 Overview (Accrual Basis)'!N$11, 'Monthly Detail'!$41:$41)</f>
        <v>605</v>
      </c>
      <c r="O24" s="479"/>
      <c r="P24" s="446">
        <f>SUM(C24:O24)</f>
        <v>7260</v>
      </c>
    </row>
    <row r="25" spans="2:19" x14ac:dyDescent="0.3">
      <c r="B25" s="210" t="s">
        <v>388</v>
      </c>
      <c r="C25" s="54">
        <f>SUMIF('Monthly Detail'!$3:$3, '2025 Overview (Accrual Basis)'!C$11, 'Monthly Detail'!$75:$75)</f>
        <v>31926.36</v>
      </c>
      <c r="D25" s="54">
        <f>SUMIF('Monthly Detail'!$3:$3, '2025 Overview (Accrual Basis)'!D$11, 'Monthly Detail'!$75:$75)</f>
        <v>32270.560000000001</v>
      </c>
      <c r="E25" s="54">
        <f>SUMIF('Monthly Detail'!$3:$3, '2025 Overview (Accrual Basis)'!E$11, 'Monthly Detail'!$75:$75)</f>
        <v>31826.36</v>
      </c>
      <c r="F25" s="54">
        <f>SUMIF('Monthly Detail'!$3:$3, '2025 Overview (Accrual Basis)'!F$11, 'Monthly Detail'!$75:$75)</f>
        <v>34726.36</v>
      </c>
      <c r="G25" s="54">
        <f>SUMIF('Monthly Detail'!$3:$3, '2025 Overview (Accrual Basis)'!G$11, 'Monthly Detail'!$75:$75)</f>
        <v>31826.36</v>
      </c>
      <c r="H25" s="54">
        <f>SUMIF('Monthly Detail'!$3:$3, '2025 Overview (Accrual Basis)'!H$11, 'Monthly Detail'!$75:$75)</f>
        <v>31826.36</v>
      </c>
      <c r="I25" s="54">
        <f>SUMIF('Monthly Detail'!$3:$3, '2025 Overview (Accrual Basis)'!I$11, 'Monthly Detail'!$75:$75)</f>
        <v>32338.36</v>
      </c>
      <c r="J25" s="54">
        <f>SUMIF('Monthly Detail'!$3:$3, '2025 Overview (Accrual Basis)'!J$11, 'Monthly Detail'!$75:$75)</f>
        <v>31866.36</v>
      </c>
      <c r="K25" s="54">
        <f>SUMIF('Monthly Detail'!$3:$3, '2025 Overview (Accrual Basis)'!K$11, 'Monthly Detail'!$75:$75)</f>
        <v>31826.36</v>
      </c>
      <c r="L25" s="54">
        <f>SUMIF('Monthly Detail'!$3:$3, '2025 Overview (Accrual Basis)'!L$11, 'Monthly Detail'!$75:$75)</f>
        <v>31826.36</v>
      </c>
      <c r="M25" s="54">
        <f>SUMIF('Monthly Detail'!$3:$3, '2025 Overview (Accrual Basis)'!M$11, 'Monthly Detail'!$75:$75)</f>
        <v>31826.36</v>
      </c>
      <c r="N25" s="306">
        <f>SUMIF('Monthly Detail'!$3:$3, '2025 Overview (Accrual Basis)'!N$11, 'Monthly Detail'!$75:$75)</f>
        <v>31826.36</v>
      </c>
      <c r="O25" s="479"/>
      <c r="P25" s="446">
        <f>SUM(C25:O25)</f>
        <v>385912.5199999999</v>
      </c>
      <c r="S25" s="1"/>
    </row>
    <row r="26" spans="2:19" x14ac:dyDescent="0.3">
      <c r="B26" s="216" t="s">
        <v>151</v>
      </c>
      <c r="C26" s="60">
        <f>SUM(C24:C25)</f>
        <v>32531.360000000001</v>
      </c>
      <c r="D26" s="60">
        <f t="shared" ref="D26:N26" si="5">SUM(D24:D25)</f>
        <v>32875.56</v>
      </c>
      <c r="E26" s="60">
        <f t="shared" si="5"/>
        <v>32431.360000000001</v>
      </c>
      <c r="F26" s="60">
        <f t="shared" si="5"/>
        <v>35331.360000000001</v>
      </c>
      <c r="G26" s="60">
        <f t="shared" si="5"/>
        <v>32431.360000000001</v>
      </c>
      <c r="H26" s="60">
        <f t="shared" si="5"/>
        <v>32431.360000000001</v>
      </c>
      <c r="I26" s="60">
        <f t="shared" si="5"/>
        <v>32943.360000000001</v>
      </c>
      <c r="J26" s="60">
        <f t="shared" si="5"/>
        <v>32471.360000000001</v>
      </c>
      <c r="K26" s="60">
        <f t="shared" si="5"/>
        <v>32431.360000000001</v>
      </c>
      <c r="L26" s="60">
        <f t="shared" si="5"/>
        <v>32431.360000000001</v>
      </c>
      <c r="M26" s="60">
        <f t="shared" si="5"/>
        <v>32431.360000000001</v>
      </c>
      <c r="N26" s="313">
        <f t="shared" si="5"/>
        <v>32431.360000000001</v>
      </c>
      <c r="O26" s="482"/>
      <c r="P26" s="452">
        <f>SUM(P24:P25)</f>
        <v>393172.5199999999</v>
      </c>
    </row>
    <row r="27" spans="2:19" x14ac:dyDescent="0.3">
      <c r="B27" s="210"/>
      <c r="N27" s="162"/>
      <c r="O27" s="479"/>
      <c r="P27" s="78"/>
    </row>
    <row r="28" spans="2:19" ht="15.6" x14ac:dyDescent="0.3">
      <c r="B28" s="214" t="s">
        <v>152</v>
      </c>
      <c r="C28" s="69">
        <f t="shared" ref="C28:N28" si="6">C20-C26</f>
        <v>-26343.807512300307</v>
      </c>
      <c r="D28" s="69">
        <f t="shared" si="6"/>
        <v>-28134.197283984093</v>
      </c>
      <c r="E28" s="69">
        <f t="shared" si="6"/>
        <v>-17928.608663689862</v>
      </c>
      <c r="F28" s="69">
        <f t="shared" si="6"/>
        <v>-29928.425059171117</v>
      </c>
      <c r="G28" s="69">
        <f t="shared" si="6"/>
        <v>12916.409157917253</v>
      </c>
      <c r="H28" s="69">
        <f t="shared" si="6"/>
        <v>45322.527255800305</v>
      </c>
      <c r="I28" s="69">
        <f t="shared" si="6"/>
        <v>25436.608093580042</v>
      </c>
      <c r="J28" s="69">
        <f t="shared" si="6"/>
        <v>5246.390248333264</v>
      </c>
      <c r="K28" s="69">
        <f t="shared" si="6"/>
        <v>5680.8364865619806</v>
      </c>
      <c r="L28" s="69">
        <f t="shared" si="6"/>
        <v>26708.020902505014</v>
      </c>
      <c r="M28" s="69">
        <f t="shared" si="6"/>
        <v>93575.150585443669</v>
      </c>
      <c r="N28" s="258">
        <f t="shared" si="6"/>
        <v>168284.40943517932</v>
      </c>
      <c r="O28" s="480"/>
      <c r="P28" s="450">
        <f>P20-P26</f>
        <v>280835.31364617555</v>
      </c>
    </row>
    <row r="29" spans="2:19" x14ac:dyDescent="0.3">
      <c r="B29" s="215" t="s">
        <v>153</v>
      </c>
      <c r="C29" s="71">
        <f t="shared" ref="C29:N29" si="7">+IFERROR(C28/C14, 0)</f>
        <v>-0.74366537854946768</v>
      </c>
      <c r="D29" s="71">
        <f t="shared" si="7"/>
        <v>-0.91416597791993603</v>
      </c>
      <c r="E29" s="71">
        <f t="shared" si="7"/>
        <v>-0.28846529467227927</v>
      </c>
      <c r="F29" s="71">
        <f t="shared" si="7"/>
        <v>-0.90961523521875509</v>
      </c>
      <c r="G29" s="71">
        <f t="shared" si="7"/>
        <v>8.0078718983625535E-2</v>
      </c>
      <c r="H29" s="71">
        <f t="shared" si="7"/>
        <v>0.17073273216281232</v>
      </c>
      <c r="I29" s="71">
        <f t="shared" si="7"/>
        <v>0.12866476893135731</v>
      </c>
      <c r="J29" s="71">
        <f t="shared" si="7"/>
        <v>3.858028654775289E-2</v>
      </c>
      <c r="K29" s="71">
        <f t="shared" si="7"/>
        <v>5.3844370168870441E-2</v>
      </c>
      <c r="L29" s="71">
        <f t="shared" si="7"/>
        <v>0.13176799658028607</v>
      </c>
      <c r="M29" s="71">
        <f t="shared" si="7"/>
        <v>0.3252557011931011</v>
      </c>
      <c r="N29" s="260">
        <f t="shared" si="7"/>
        <v>0.39837084580662585</v>
      </c>
      <c r="O29" s="481"/>
      <c r="P29" s="451">
        <f>P28/P14</f>
        <v>0.14475930188653216</v>
      </c>
    </row>
    <row r="30" spans="2:19" x14ac:dyDescent="0.3">
      <c r="B30" s="217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263"/>
      <c r="O30" s="479"/>
      <c r="P30" s="453"/>
    </row>
    <row r="31" spans="2:19" x14ac:dyDescent="0.3">
      <c r="B31" s="210" t="s">
        <v>154</v>
      </c>
      <c r="C31" s="108">
        <f>SUMIF('Monthly Detail'!$3:$3, '2025 Overview (Accrual Basis)'!C$11, 'Monthly Detail'!88:88)</f>
        <v>0</v>
      </c>
      <c r="D31" s="108">
        <f>SUMIF('Monthly Detail'!$3:$3, '2025 Overview (Accrual Basis)'!D$11, 'Monthly Detail'!88:88)</f>
        <v>0</v>
      </c>
      <c r="E31" s="108">
        <f>SUMIF('Monthly Detail'!$3:$3, '2025 Overview (Accrual Basis)'!E$11, 'Monthly Detail'!88:88)</f>
        <v>0</v>
      </c>
      <c r="F31" s="108">
        <f>SUMIF('Monthly Detail'!$3:$3, '2025 Overview (Accrual Basis)'!F$11, 'Monthly Detail'!88:88)</f>
        <v>0</v>
      </c>
      <c r="G31" s="108">
        <f>SUMIF('Monthly Detail'!$3:$3, '2025 Overview (Accrual Basis)'!G$11, 'Monthly Detail'!88:88)</f>
        <v>0</v>
      </c>
      <c r="H31" s="108">
        <f>SUMIF('Monthly Detail'!$3:$3, '2025 Overview (Accrual Basis)'!H$11, 'Monthly Detail'!88:88)</f>
        <v>0</v>
      </c>
      <c r="I31" s="108">
        <f>SUMIF('Monthly Detail'!$3:$3, '2025 Overview (Accrual Basis)'!I$11, 'Monthly Detail'!88:88)</f>
        <v>0</v>
      </c>
      <c r="J31" s="108">
        <f>SUMIF('Monthly Detail'!$3:$3, '2025 Overview (Accrual Basis)'!J$11, 'Monthly Detail'!88:88)</f>
        <v>0</v>
      </c>
      <c r="K31" s="108">
        <f>SUMIF('Monthly Detail'!$3:$3, '2025 Overview (Accrual Basis)'!K$11, 'Monthly Detail'!88:88)</f>
        <v>0</v>
      </c>
      <c r="L31" s="108">
        <f>SUMIF('Monthly Detail'!$3:$3, '2025 Overview (Accrual Basis)'!L$11, 'Monthly Detail'!88:88)</f>
        <v>0</v>
      </c>
      <c r="M31" s="108">
        <f>SUMIF('Monthly Detail'!$3:$3, '2025 Overview (Accrual Basis)'!M$11, 'Monthly Detail'!88:88)</f>
        <v>0</v>
      </c>
      <c r="N31" s="471">
        <f>SUMIF('Monthly Detail'!$3:$3, '2025 Overview (Accrual Basis)'!N$11, 'Monthly Detail'!88:88)</f>
        <v>0</v>
      </c>
      <c r="O31" s="483"/>
      <c r="P31" s="454">
        <f>SUM(C31:O31)</f>
        <v>0</v>
      </c>
    </row>
    <row r="32" spans="2:19" ht="15.6" x14ac:dyDescent="0.3">
      <c r="B32" s="214" t="s">
        <v>12</v>
      </c>
      <c r="C32" s="69">
        <f t="shared" ref="C32:N32" si="8">+C28+C31</f>
        <v>-26343.807512300307</v>
      </c>
      <c r="D32" s="69">
        <f t="shared" si="8"/>
        <v>-28134.197283984093</v>
      </c>
      <c r="E32" s="69">
        <f t="shared" si="8"/>
        <v>-17928.608663689862</v>
      </c>
      <c r="F32" s="69">
        <f t="shared" si="8"/>
        <v>-29928.425059171117</v>
      </c>
      <c r="G32" s="69">
        <f t="shared" si="8"/>
        <v>12916.409157917253</v>
      </c>
      <c r="H32" s="69">
        <f t="shared" si="8"/>
        <v>45322.527255800305</v>
      </c>
      <c r="I32" s="69">
        <f t="shared" si="8"/>
        <v>25436.608093580042</v>
      </c>
      <c r="J32" s="69">
        <f t="shared" si="8"/>
        <v>5246.390248333264</v>
      </c>
      <c r="K32" s="69">
        <f t="shared" si="8"/>
        <v>5680.8364865619806</v>
      </c>
      <c r="L32" s="69">
        <f t="shared" si="8"/>
        <v>26708.020902505014</v>
      </c>
      <c r="M32" s="69">
        <f t="shared" si="8"/>
        <v>93575.150585443669</v>
      </c>
      <c r="N32" s="258">
        <f t="shared" si="8"/>
        <v>168284.40943517932</v>
      </c>
      <c r="O32" s="480"/>
      <c r="P32" s="450">
        <f>P28+SUM(P31:P31)</f>
        <v>280835.31364617555</v>
      </c>
    </row>
    <row r="33" spans="2:16" x14ac:dyDescent="0.3">
      <c r="B33" s="215" t="s">
        <v>155</v>
      </c>
      <c r="C33" s="71">
        <f t="shared" ref="C33:N33" si="9">+IFERROR(C32/C14, 0)</f>
        <v>-0.74366537854946768</v>
      </c>
      <c r="D33" s="71">
        <f t="shared" si="9"/>
        <v>-0.91416597791993603</v>
      </c>
      <c r="E33" s="71">
        <f t="shared" si="9"/>
        <v>-0.28846529467227927</v>
      </c>
      <c r="F33" s="71">
        <f t="shared" si="9"/>
        <v>-0.90961523521875509</v>
      </c>
      <c r="G33" s="71">
        <f t="shared" si="9"/>
        <v>8.0078718983625535E-2</v>
      </c>
      <c r="H33" s="71">
        <f t="shared" si="9"/>
        <v>0.17073273216281232</v>
      </c>
      <c r="I33" s="71">
        <f t="shared" si="9"/>
        <v>0.12866476893135731</v>
      </c>
      <c r="J33" s="71">
        <f t="shared" si="9"/>
        <v>3.858028654775289E-2</v>
      </c>
      <c r="K33" s="71">
        <f t="shared" si="9"/>
        <v>5.3844370168870441E-2</v>
      </c>
      <c r="L33" s="71">
        <f t="shared" si="9"/>
        <v>0.13176799658028607</v>
      </c>
      <c r="M33" s="71">
        <f t="shared" si="9"/>
        <v>0.3252557011931011</v>
      </c>
      <c r="N33" s="260">
        <f t="shared" si="9"/>
        <v>0.39837084580662585</v>
      </c>
      <c r="O33" s="481"/>
      <c r="P33" s="451">
        <f>P32/P14</f>
        <v>0.14475930188653216</v>
      </c>
    </row>
    <row r="34" spans="2:16" ht="15.6" x14ac:dyDescent="0.3">
      <c r="B34" s="215" t="s">
        <v>238</v>
      </c>
      <c r="C34" s="245">
        <f>+'Monthly Detail'!AN149-'Monthly Detail'!AM149</f>
        <v>0</v>
      </c>
      <c r="D34" s="245">
        <f>+'Monthly Detail'!AO149-'Monthly Detail'!AN149</f>
        <v>0</v>
      </c>
      <c r="E34" s="245">
        <f>+'Monthly Detail'!AP149-'Monthly Detail'!AO149</f>
        <v>0</v>
      </c>
      <c r="F34" s="245">
        <f>+'Monthly Detail'!AQ149-'Monthly Detail'!AP149</f>
        <v>0</v>
      </c>
      <c r="G34" s="245">
        <f>+'Monthly Detail'!AR149-'Monthly Detail'!AQ149</f>
        <v>0</v>
      </c>
      <c r="H34" s="245">
        <f>+'Monthly Detail'!AS149-'Monthly Detail'!AR149</f>
        <v>0</v>
      </c>
      <c r="I34" s="245">
        <f>+'Monthly Detail'!AT149-'Monthly Detail'!AS149</f>
        <v>0</v>
      </c>
      <c r="J34" s="245">
        <f>+'Monthly Detail'!AU149-'Monthly Detail'!AT149</f>
        <v>0</v>
      </c>
      <c r="K34" s="245">
        <f>+'Monthly Detail'!AV149-'Monthly Detail'!AU149</f>
        <v>0</v>
      </c>
      <c r="L34" s="245">
        <f>+'Monthly Detail'!AW149-'Monthly Detail'!AV149</f>
        <v>0</v>
      </c>
      <c r="M34" s="245">
        <f>+'Monthly Detail'!AX149-'Monthly Detail'!AW149</f>
        <v>0</v>
      </c>
      <c r="N34" s="315">
        <f>+'Monthly Detail'!AY149-'Monthly Detail'!AX149</f>
        <v>-56167.062729235098</v>
      </c>
      <c r="O34" s="481"/>
      <c r="P34" s="466">
        <f>+N34+SUM(N35:N36)</f>
        <v>-31167.062729235098</v>
      </c>
    </row>
    <row r="35" spans="2:16" ht="15.6" x14ac:dyDescent="0.3">
      <c r="B35" s="215" t="s">
        <v>504</v>
      </c>
      <c r="C35" s="245">
        <f>SUMIF('Monthly Detail'!$3:$3, '2025 Overview (Accrual Basis)'!C$11, 'Monthly Detail'!44:44)/2</f>
        <v>12500</v>
      </c>
      <c r="D35" s="245">
        <f>SUMIF('Monthly Detail'!$3:$3, '2025 Overview (Accrual Basis)'!D$11, 'Monthly Detail'!44:44)/2</f>
        <v>12500</v>
      </c>
      <c r="E35" s="245">
        <f>SUMIF('Monthly Detail'!$3:$3, '2025 Overview (Accrual Basis)'!E$11, 'Monthly Detail'!44:44)/2</f>
        <v>12500</v>
      </c>
      <c r="F35" s="245">
        <f>SUMIF('Monthly Detail'!$3:$3, '2025 Overview (Accrual Basis)'!F$11, 'Monthly Detail'!44:44)/2</f>
        <v>12500</v>
      </c>
      <c r="G35" s="245">
        <f>SUMIF('Monthly Detail'!$3:$3, '2025 Overview (Accrual Basis)'!G$11, 'Monthly Detail'!44:44)/2</f>
        <v>12500</v>
      </c>
      <c r="H35" s="245">
        <f>SUMIF('Monthly Detail'!$3:$3, '2025 Overview (Accrual Basis)'!H$11, 'Monthly Detail'!44:44)/2</f>
        <v>12500</v>
      </c>
      <c r="I35" s="245">
        <f>SUMIF('Monthly Detail'!$3:$3, '2025 Overview (Accrual Basis)'!I$11, 'Monthly Detail'!44:44)/2</f>
        <v>12500</v>
      </c>
      <c r="J35" s="245">
        <f>SUMIF('Monthly Detail'!$3:$3, '2025 Overview (Accrual Basis)'!J$11, 'Monthly Detail'!44:44)/2</f>
        <v>12500</v>
      </c>
      <c r="K35" s="245">
        <f>SUMIF('Monthly Detail'!$3:$3, '2025 Overview (Accrual Basis)'!K$11, 'Monthly Detail'!44:44)/2</f>
        <v>12500</v>
      </c>
      <c r="L35" s="245">
        <f>SUMIF('Monthly Detail'!$3:$3, '2025 Overview (Accrual Basis)'!L$11, 'Monthly Detail'!44:44)/2</f>
        <v>12500</v>
      </c>
      <c r="M35" s="245">
        <f>SUMIF('Monthly Detail'!$3:$3, '2025 Overview (Accrual Basis)'!M$11, 'Monthly Detail'!44:44)/2</f>
        <v>12500</v>
      </c>
      <c r="N35" s="264">
        <f>SUMIF('Monthly Detail'!$3:$3, '2025 Overview (Accrual Basis)'!N$11, 'Monthly Detail'!44:44)/2</f>
        <v>12500</v>
      </c>
      <c r="O35" s="481"/>
      <c r="P35" s="455">
        <f>+SUM(C35:N35)</f>
        <v>150000</v>
      </c>
    </row>
    <row r="36" spans="2:16" ht="16.2" thickBot="1" x14ac:dyDescent="0.35">
      <c r="B36" s="485" t="s">
        <v>505</v>
      </c>
      <c r="C36" s="486">
        <f>SUMIF('Monthly Detail'!$3:$3, '2025 Overview (Accrual Basis)'!C$11, 'Monthly Detail'!44:44)/2</f>
        <v>12500</v>
      </c>
      <c r="D36" s="486">
        <f>SUMIF('Monthly Detail'!$3:$3, '2025 Overview (Accrual Basis)'!D$11, 'Monthly Detail'!44:44)/2</f>
        <v>12500</v>
      </c>
      <c r="E36" s="486">
        <f>SUMIF('Monthly Detail'!$3:$3, '2025 Overview (Accrual Basis)'!E$11, 'Monthly Detail'!44:44)/2</f>
        <v>12500</v>
      </c>
      <c r="F36" s="486">
        <f>SUMIF('Monthly Detail'!$3:$3, '2025 Overview (Accrual Basis)'!F$11, 'Monthly Detail'!44:44)/2</f>
        <v>12500</v>
      </c>
      <c r="G36" s="486">
        <f>SUMIF('Monthly Detail'!$3:$3, '2025 Overview (Accrual Basis)'!G$11, 'Monthly Detail'!44:44)/2</f>
        <v>12500</v>
      </c>
      <c r="H36" s="486">
        <f>SUMIF('Monthly Detail'!$3:$3, '2025 Overview (Accrual Basis)'!H$11, 'Monthly Detail'!44:44)/2</f>
        <v>12500</v>
      </c>
      <c r="I36" s="486">
        <f>SUMIF('Monthly Detail'!$3:$3, '2025 Overview (Accrual Basis)'!I$11, 'Monthly Detail'!44:44)/2</f>
        <v>12500</v>
      </c>
      <c r="J36" s="486">
        <f>SUMIF('Monthly Detail'!$3:$3, '2025 Overview (Accrual Basis)'!J$11, 'Monthly Detail'!44:44)/2</f>
        <v>12500</v>
      </c>
      <c r="K36" s="486">
        <f>SUMIF('Monthly Detail'!$3:$3, '2025 Overview (Accrual Basis)'!K$11, 'Monthly Detail'!44:44)/2</f>
        <v>12500</v>
      </c>
      <c r="L36" s="486">
        <f>SUMIF('Monthly Detail'!$3:$3, '2025 Overview (Accrual Basis)'!L$11, 'Monthly Detail'!44:44)/2</f>
        <v>12500</v>
      </c>
      <c r="M36" s="486">
        <f>SUMIF('Monthly Detail'!$3:$3, '2025 Overview (Accrual Basis)'!M$11, 'Monthly Detail'!44:44)/2</f>
        <v>12500</v>
      </c>
      <c r="N36" s="487">
        <f>SUMIF('Monthly Detail'!$3:$3, '2025 Overview (Accrual Basis)'!N$11, 'Monthly Detail'!44:44)/2</f>
        <v>12500</v>
      </c>
      <c r="O36" s="488"/>
      <c r="P36" s="489">
        <f>+SUM(C36:N36)</f>
        <v>150000</v>
      </c>
    </row>
    <row r="37" spans="2:16" ht="15" customHeight="1" thickBot="1" x14ac:dyDescent="0.35">
      <c r="B37" s="210"/>
      <c r="N37" s="162"/>
      <c r="O37" s="479"/>
      <c r="P37" s="490"/>
    </row>
    <row r="38" spans="2:16" ht="22.95" customHeight="1" x14ac:dyDescent="0.3">
      <c r="B38" s="64" t="s">
        <v>156</v>
      </c>
      <c r="C38" s="65">
        <f>SUMIF('Monthly Detail'!$3:$3, '2025 Overview (Accrual Basis)'!C$11, 'Monthly Detail'!179:179)</f>
        <v>335561.62857232022</v>
      </c>
      <c r="D38" s="134">
        <f>SUMIF('Monthly Detail'!$3:$3, '2025 Overview (Accrual Basis)'!D$11, 'Monthly Detail'!179:179)</f>
        <v>314832.22931562545</v>
      </c>
      <c r="E38" s="65">
        <f>SUMIF('Monthly Detail'!$3:$3, '2025 Overview (Accrual Basis)'!E$11, 'Monthly Detail'!179:179)</f>
        <v>242361.02336300298</v>
      </c>
      <c r="F38" s="134">
        <f>SUMIF('Monthly Detail'!$3:$3, '2025 Overview (Accrual Basis)'!F$11, 'Monthly Detail'!179:179)</f>
        <v>547118.2103943401</v>
      </c>
      <c r="G38" s="134">
        <f>SUMIF('Monthly Detail'!$3:$3, '2025 Overview (Accrual Basis)'!G$11, 'Monthly Detail'!179:179)</f>
        <v>845678.87634067261</v>
      </c>
      <c r="H38" s="134">
        <f>SUMIF('Monthly Detail'!$3:$3, '2025 Overview (Accrual Basis)'!H$11, 'Monthly Detail'!179:179)</f>
        <v>1049418.3156140326</v>
      </c>
      <c r="I38" s="65">
        <f>SUMIF('Monthly Detail'!$3:$3, '2025 Overview (Accrual Basis)'!I$11, 'Monthly Detail'!179:179)</f>
        <v>691330.3321276895</v>
      </c>
      <c r="J38" s="134">
        <f>SUMIF('Monthly Detail'!$3:$3, '2025 Overview (Accrual Basis)'!J$11, 'Monthly Detail'!179:179)</f>
        <v>725985.22262644547</v>
      </c>
      <c r="K38" s="65">
        <f>SUMIF('Monthly Detail'!$3:$3, '2025 Overview (Accrual Basis)'!K$11, 'Monthly Detail'!179:179)</f>
        <v>538807.03291127761</v>
      </c>
      <c r="L38" s="65">
        <f>SUMIF('Monthly Detail'!$3:$3, '2025 Overview (Accrual Basis)'!L$11, 'Monthly Detail'!179:179)</f>
        <v>1164609.0743828993</v>
      </c>
      <c r="M38" s="65">
        <f>SUMIF('Monthly Detail'!$3:$3, '2025 Overview (Accrual Basis)'!M$11, 'Monthly Detail'!179:179)</f>
        <v>1522671.891565352</v>
      </c>
      <c r="N38" s="472">
        <f>SUMIF('Monthly Detail'!$3:$3, '2025 Overview (Accrual Basis)'!N$11, 'Monthly Detail'!179:179)</f>
        <v>1347696.6337711802</v>
      </c>
      <c r="O38" s="479"/>
      <c r="P38" s="684" t="s">
        <v>460</v>
      </c>
    </row>
    <row r="39" spans="2:16" ht="22.95" customHeight="1" x14ac:dyDescent="0.3">
      <c r="B39" s="456" t="s">
        <v>157</v>
      </c>
      <c r="C39" s="318">
        <f>SUMIF('Monthly Detail'!$3:$3, '2025 Overview (Accrual Basis)'!C$11, 'Monthly Detail'!176:176)</f>
        <v>-17227.306949796599</v>
      </c>
      <c r="D39" s="317">
        <f>SUMIF('Monthly Detail'!$3:$3, '2025 Overview (Accrual Basis)'!D$11, 'Monthly Detail'!176:176)</f>
        <v>-20729.39925669476</v>
      </c>
      <c r="E39" s="318">
        <f>SUMIF('Monthly Detail'!$3:$3, '2025 Overview (Accrual Basis)'!E$11, 'Monthly Detail'!176:176)</f>
        <v>-72471.205952622462</v>
      </c>
      <c r="F39" s="317">
        <f>SUMIF('Monthly Detail'!$3:$3, '2025 Overview (Accrual Basis)'!F$11, 'Monthly Detail'!176:176)</f>
        <v>304757.18703133718</v>
      </c>
      <c r="G39" s="317">
        <f>SUMIF('Monthly Detail'!$3:$3, '2025 Overview (Accrual Basis)'!G$11, 'Monthly Detail'!176:176)</f>
        <v>298560.6659463325</v>
      </c>
      <c r="H39" s="317">
        <f>SUMIF('Monthly Detail'!$3:$3, '2025 Overview (Accrual Basis)'!H$11, 'Monthly Detail'!176:176)</f>
        <v>203739.43927335995</v>
      </c>
      <c r="I39" s="318">
        <f>SUMIF('Monthly Detail'!$3:$3, '2025 Overview (Accrual Basis)'!I$11, 'Monthly Detail'!176:176)</f>
        <v>-358087.98348634306</v>
      </c>
      <c r="J39" s="317">
        <f>SUMIF('Monthly Detail'!$3:$3, '2025 Overview (Accrual Basis)'!J$11, 'Monthly Detail'!176:176)</f>
        <v>34654.890498756009</v>
      </c>
      <c r="K39" s="318">
        <f>SUMIF('Monthly Detail'!$3:$3, '2025 Overview (Accrual Basis)'!K$11, 'Monthly Detail'!176:176)</f>
        <v>-187178.18971516786</v>
      </c>
      <c r="L39" s="318">
        <f>SUMIF('Monthly Detail'!$3:$3, '2025 Overview (Accrual Basis)'!L$11, 'Monthly Detail'!176:176)</f>
        <v>625802.04147162172</v>
      </c>
      <c r="M39" s="318">
        <f>SUMIF('Monthly Detail'!$3:$3, '2025 Overview (Accrual Basis)'!M$11, 'Monthly Detail'!176:176)</f>
        <v>358062.81718245271</v>
      </c>
      <c r="N39" s="473">
        <f>SUMIF('Monthly Detail'!$3:$3, '2025 Overview (Accrual Basis)'!N$11, 'Monthly Detail'!176:176)</f>
        <v>-174975.25779417169</v>
      </c>
      <c r="O39" s="479"/>
      <c r="P39" s="684"/>
    </row>
    <row r="40" spans="2:16" x14ac:dyDescent="0.3">
      <c r="B40" s="467" t="s">
        <v>457</v>
      </c>
      <c r="C40" s="468">
        <f>+C38+SUM('Monthly Detail'!AN82:AP82)</f>
        <v>134803.22980512038</v>
      </c>
      <c r="D40" s="468">
        <f>+D38+SUM('Monthly Detail'!AO82:AQ82)</f>
        <v>113011.19797363953</v>
      </c>
      <c r="E40" s="468">
        <f>+E38+SUM('Monthly Detail'!AP82:AR82)</f>
        <v>-48929.993671764561</v>
      </c>
      <c r="F40" s="468">
        <f>+F38+SUM('Monthly Detail'!AQ82:AS82)</f>
        <v>115771.1066807016</v>
      </c>
      <c r="G40" s="468">
        <f>+G38+SUM('Monthly Detail'!AR82:AT82)</f>
        <v>304902.33549751644</v>
      </c>
      <c r="H40" s="468">
        <f>+H38+SUM('Monthly Detail'!AS82:AU82)</f>
        <v>526281.86119036411</v>
      </c>
      <c r="I40" s="468">
        <f>+I38+SUM('Monthly Detail'!AT82:AV82)</f>
        <v>288506.36633028195</v>
      </c>
      <c r="J40" s="468">
        <f>+J38+SUM('Monthly Detail'!AU82:AW82)</f>
        <v>319439.69129228505</v>
      </c>
      <c r="K40" s="468">
        <f>+K38+SUM('Monthly Detail'!AV82:AX82)</f>
        <v>68879.36953837343</v>
      </c>
      <c r="L40" s="468">
        <f>+L38+SUM('Monthly Detail'!AW82:AY82)</f>
        <v>540358.18901496986</v>
      </c>
      <c r="M40" s="468">
        <f>+M38+SUM('Monthly Detail'!AX82:AZ82)</f>
        <v>880557.20196412434</v>
      </c>
      <c r="N40" s="474">
        <f>+N38+SUM('Monthly Detail'!AY82:BA82)</f>
        <v>750483.44234137784</v>
      </c>
      <c r="O40" s="479"/>
      <c r="P40" s="684"/>
    </row>
    <row r="41" spans="2:16" ht="15" thickBot="1" x14ac:dyDescent="0.35">
      <c r="B41" s="66" t="s">
        <v>458</v>
      </c>
      <c r="C41" s="503">
        <f>+C38/-SUM('Monthly Detail'!AN82:AP82)</f>
        <v>1.6714699391552663</v>
      </c>
      <c r="D41" s="503">
        <f>+D38/-SUM('Monthly Detail'!AO82:AQ82)</f>
        <v>1.5599574891783303</v>
      </c>
      <c r="E41" s="503">
        <f>+E38/-SUM('Monthly Detail'!AP82:AR82)</f>
        <v>0.83202367800472055</v>
      </c>
      <c r="F41" s="503">
        <f>+F38/-SUM('Monthly Detail'!AQ82:AS82)</f>
        <v>1.2683943063115115</v>
      </c>
      <c r="G41" s="503">
        <f>+G38/-SUM('Monthly Detail'!AR82:AT82)</f>
        <v>1.5638231551652102</v>
      </c>
      <c r="H41" s="503">
        <f>+H38/-SUM('Monthly Detail'!AS82:AU82)</f>
        <v>2.0060125933493986</v>
      </c>
      <c r="I41" s="503">
        <f>+I38/-SUM('Monthly Detail'!AT82:AV82)</f>
        <v>1.7162095377298892</v>
      </c>
      <c r="J41" s="503">
        <f>+J38/-SUM('Monthly Detail'!AU82:AW82)</f>
        <v>1.7857414893824557</v>
      </c>
      <c r="K41" s="503">
        <f>+K38/-SUM('Monthly Detail'!AV82:AX82)</f>
        <v>1.1465744090143406</v>
      </c>
      <c r="L41" s="503">
        <f>+L38/-SUM('Monthly Detail'!AW82:AY82)</f>
        <v>1.8656106089404842</v>
      </c>
      <c r="M41" s="503">
        <f>+M38/-SUM('Monthly Detail'!AX82:AZ82)</f>
        <v>2.3713394448443106</v>
      </c>
      <c r="N41" s="503">
        <f>+N38/-SUM('Monthly Detail'!AY82:BA82)</f>
        <v>2.2566424404401175</v>
      </c>
      <c r="O41" s="484"/>
      <c r="P41" s="685"/>
    </row>
    <row r="42" spans="2:16" x14ac:dyDescent="0.3">
      <c r="B42" s="77"/>
      <c r="E42" s="9"/>
      <c r="P42" s="78"/>
    </row>
    <row r="43" spans="2:16" x14ac:dyDescent="0.3">
      <c r="B43" s="77"/>
      <c r="P43" s="78"/>
    </row>
    <row r="44" spans="2:16" x14ac:dyDescent="0.3">
      <c r="B44" s="77"/>
      <c r="P44" s="78"/>
    </row>
    <row r="45" spans="2:16" x14ac:dyDescent="0.3">
      <c r="B45" s="77"/>
      <c r="P45" s="78"/>
    </row>
    <row r="46" spans="2:16" x14ac:dyDescent="0.3">
      <c r="B46" s="77"/>
      <c r="P46" s="78"/>
    </row>
    <row r="47" spans="2:16" x14ac:dyDescent="0.3">
      <c r="B47" s="77"/>
      <c r="P47" s="78"/>
    </row>
    <row r="48" spans="2:16" x14ac:dyDescent="0.3">
      <c r="B48" s="77"/>
      <c r="P48" s="78"/>
    </row>
    <row r="49" spans="2:16" x14ac:dyDescent="0.3">
      <c r="B49" s="77"/>
      <c r="P49" s="78"/>
    </row>
    <row r="50" spans="2:16" x14ac:dyDescent="0.3">
      <c r="B50" s="77"/>
      <c r="P50" s="78"/>
    </row>
    <row r="51" spans="2:16" x14ac:dyDescent="0.3">
      <c r="B51" s="77"/>
      <c r="P51" s="78"/>
    </row>
    <row r="52" spans="2:16" x14ac:dyDescent="0.3">
      <c r="B52" s="77"/>
      <c r="P52" s="78"/>
    </row>
    <row r="53" spans="2:16" x14ac:dyDescent="0.3">
      <c r="B53" s="77"/>
      <c r="P53" s="78"/>
    </row>
    <row r="54" spans="2:16" x14ac:dyDescent="0.3">
      <c r="B54" s="77"/>
      <c r="P54" s="78"/>
    </row>
    <row r="55" spans="2:16" x14ac:dyDescent="0.3">
      <c r="B55" s="77"/>
      <c r="P55" s="78"/>
    </row>
    <row r="56" spans="2:16" x14ac:dyDescent="0.3">
      <c r="B56" s="77"/>
      <c r="P56" s="78"/>
    </row>
    <row r="57" spans="2:16" x14ac:dyDescent="0.3">
      <c r="B57" s="77"/>
      <c r="P57" s="78"/>
    </row>
    <row r="58" spans="2:16" x14ac:dyDescent="0.3">
      <c r="B58" s="77"/>
      <c r="P58" s="78"/>
    </row>
    <row r="59" spans="2:16" ht="215.4" customHeight="1" thickBot="1" x14ac:dyDescent="0.35">
      <c r="B59" s="86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9"/>
    </row>
    <row r="65" spans="4:4" x14ac:dyDescent="0.3">
      <c r="D65" s="9"/>
    </row>
  </sheetData>
  <mergeCells count="2">
    <mergeCell ref="B8:P8"/>
    <mergeCell ref="P38:P41"/>
  </mergeCells>
  <conditionalFormatting sqref="C38:N38">
    <cfRule type="cellIs" dxfId="2" priority="1" operator="lessThan">
      <formula>0</formula>
    </cfRule>
  </conditionalFormatting>
  <pageMargins left="0.25" right="0.25" top="0.75" bottom="0.75" header="0.3" footer="0.3"/>
  <pageSetup scale="46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CD0-6D13-4D3D-8046-E3320F14E91E}">
  <sheetPr>
    <tabColor theme="1"/>
    <pageSetUpPr fitToPage="1"/>
  </sheetPr>
  <dimension ref="B1:S64"/>
  <sheetViews>
    <sheetView showGridLines="0" topLeftCell="A7" zoomScale="70" zoomScaleNormal="70" workbookViewId="0">
      <selection activeCell="B1" sqref="B1:P58"/>
    </sheetView>
  </sheetViews>
  <sheetFormatPr defaultRowHeight="14.4" x14ac:dyDescent="0.3"/>
  <cols>
    <col min="2" max="2" width="46.21875" bestFit="1" customWidth="1"/>
    <col min="3" max="3" width="18" bestFit="1" customWidth="1"/>
    <col min="4" max="5" width="18.33203125" bestFit="1" customWidth="1"/>
    <col min="6" max="6" width="18" bestFit="1" customWidth="1"/>
    <col min="7" max="8" width="18.33203125" bestFit="1" customWidth="1"/>
    <col min="9" max="9" width="17.6640625" bestFit="1" customWidth="1"/>
    <col min="10" max="10" width="18" bestFit="1" customWidth="1"/>
    <col min="11" max="13" width="18.33203125" bestFit="1" customWidth="1"/>
    <col min="14" max="14" width="18" bestFit="1" customWidth="1"/>
    <col min="15" max="15" width="0.44140625" customWidth="1"/>
    <col min="16" max="16" width="14.5546875" bestFit="1" customWidth="1"/>
  </cols>
  <sheetData>
    <row r="1" spans="2:16" x14ac:dyDescent="0.3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3">
      <c r="B2" s="77"/>
      <c r="P2" s="78"/>
    </row>
    <row r="3" spans="2:16" x14ac:dyDescent="0.3">
      <c r="B3" s="77"/>
      <c r="P3" s="78"/>
    </row>
    <row r="4" spans="2:16" x14ac:dyDescent="0.3">
      <c r="B4" s="77"/>
      <c r="P4" s="78"/>
    </row>
    <row r="5" spans="2:16" x14ac:dyDescent="0.3">
      <c r="B5" s="77"/>
      <c r="P5" s="78"/>
    </row>
    <row r="6" spans="2:16" x14ac:dyDescent="0.3">
      <c r="B6" s="77"/>
      <c r="P6" s="78"/>
    </row>
    <row r="7" spans="2:16" x14ac:dyDescent="0.3">
      <c r="B7" s="77"/>
      <c r="P7" s="78"/>
    </row>
    <row r="8" spans="2:16" ht="23.4" x14ac:dyDescent="0.45">
      <c r="B8" s="681" t="s">
        <v>462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3"/>
    </row>
    <row r="9" spans="2:16" ht="15" thickBot="1" x14ac:dyDescent="0.35">
      <c r="B9" s="77"/>
      <c r="P9" s="78"/>
    </row>
    <row r="10" spans="2:16" ht="15.6" x14ac:dyDescent="0.3">
      <c r="B10" s="494"/>
      <c r="C10" s="495" t="str">
        <f>TEXT('Monthly Detail'!D3,"mmmm")</f>
        <v>January</v>
      </c>
      <c r="D10" s="495" t="str">
        <f>TEXT('Monthly Detail'!E3,"mmmm")</f>
        <v>February</v>
      </c>
      <c r="E10" s="495" t="str">
        <f>TEXT('Monthly Detail'!F3,"mmmm")</f>
        <v>March</v>
      </c>
      <c r="F10" s="495" t="str">
        <f>TEXT('Monthly Detail'!G3,"mmmm")</f>
        <v>April</v>
      </c>
      <c r="G10" s="495" t="str">
        <f>TEXT('Monthly Detail'!H3,"mmmm")</f>
        <v>May</v>
      </c>
      <c r="H10" s="504" t="str">
        <f>TEXT('Monthly Detail'!I3,"mmmm")</f>
        <v>June</v>
      </c>
      <c r="I10" s="495" t="str">
        <f>TEXT('Monthly Detail'!J3,"mmmm")</f>
        <v>July</v>
      </c>
      <c r="J10" s="504" t="str">
        <f>TEXT('Monthly Detail'!K3,"mmmm")</f>
        <v>August</v>
      </c>
      <c r="K10" s="495" t="str">
        <f>TEXT('Monthly Detail'!L3,"mmmm")</f>
        <v>September</v>
      </c>
      <c r="L10" s="495" t="str">
        <f>TEXT('Monthly Detail'!M3,"mmmm")</f>
        <v>October</v>
      </c>
      <c r="M10" s="495" t="str">
        <f>TEXT('Monthly Detail'!N3,"mmmm")</f>
        <v>November</v>
      </c>
      <c r="N10" s="495" t="str">
        <f>TEXT('Monthly Detail'!O3,"mmmm")</f>
        <v>December</v>
      </c>
      <c r="O10" s="496"/>
      <c r="P10" s="497" t="s">
        <v>0</v>
      </c>
    </row>
    <row r="11" spans="2:16" x14ac:dyDescent="0.3">
      <c r="B11" s="210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505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3">
      <c r="B12" s="211" t="s">
        <v>239</v>
      </c>
      <c r="C12" s="54">
        <f>SUMIF('Monthly Detail'!$3:$3, '2024 Overview (Accrual Basis)'!C$11, 'Monthly Detail'!6:6)</f>
        <v>0</v>
      </c>
      <c r="D12" s="54">
        <f>SUMIF('Monthly Detail'!$3:$3, '2024 Overview (Accrual Basis)'!D$11, 'Monthly Detail'!6:6)</f>
        <v>112500</v>
      </c>
      <c r="E12" s="54">
        <f>SUMIF('Monthly Detail'!$3:$3, '2024 Overview (Accrual Basis)'!E$11, 'Monthly Detail'!6:6)</f>
        <v>112500</v>
      </c>
      <c r="F12" s="54">
        <f>SUMIF('Monthly Detail'!$3:$3, '2024 Overview (Accrual Basis)'!F$11, 'Monthly Detail'!6:6)</f>
        <v>0</v>
      </c>
      <c r="G12" s="54">
        <f>SUMIF('Monthly Detail'!$3:$3, '2024 Overview (Accrual Basis)'!G$11, 'Monthly Detail'!6:6)</f>
        <v>76995</v>
      </c>
      <c r="H12" s="54">
        <f>SUMIF('Monthly Detail'!$3:$3, '2024 Overview (Accrual Basis)'!H$11, 'Monthly Detail'!6:6)</f>
        <v>0</v>
      </c>
      <c r="I12" s="54">
        <f>SUMIF('Monthly Detail'!$3:$3, '2024 Overview (Accrual Basis)'!I$11, 'Monthly Detail'!10:10)</f>
        <v>0</v>
      </c>
      <c r="J12" s="54">
        <f>SUMIF('Monthly Detail'!$3:$3, '2024 Overview (Accrual Basis)'!J$11, 'Monthly Detail'!10:10)</f>
        <v>0</v>
      </c>
      <c r="K12" s="446">
        <f>SUMIF('Monthly Detail'!$3:$3, '2024 Overview (Accrual Basis)'!K$11, 'Monthly Detail'!10:10)</f>
        <v>0</v>
      </c>
      <c r="L12" s="54">
        <f>SUMIF('Monthly Detail'!$3:$3, '2024 Overview (Accrual Basis)'!L$11, 'Monthly Detail'!10:10)</f>
        <v>0</v>
      </c>
      <c r="M12" s="54">
        <f>SUMIF('Monthly Detail'!$3:$3, '2024 Overview (Accrual Basis)'!M$11, 'Monthly Detail'!10:10)</f>
        <v>0</v>
      </c>
      <c r="N12" s="54">
        <f>SUMIF('Monthly Detail'!$3:$3, '2024 Overview (Accrual Basis)'!N$11, 'Monthly Detail'!10:10)</f>
        <v>0</v>
      </c>
      <c r="O12" s="54"/>
      <c r="P12" s="446">
        <f>SUM(C12:O12)</f>
        <v>301995</v>
      </c>
    </row>
    <row r="13" spans="2:16" x14ac:dyDescent="0.3">
      <c r="B13" s="211" t="s">
        <v>367</v>
      </c>
      <c r="C13" s="54">
        <f>SUMIF('Monthly Detail'!$3:$3, '2024 Overview (Accrual Basis)'!C$11, 'Monthly Detail'!7:7)</f>
        <v>0</v>
      </c>
      <c r="D13" s="54">
        <f>SUMIF('Monthly Detail'!$3:$3, '2024 Overview (Accrual Basis)'!D$11, 'Monthly Detail'!7:7)</f>
        <v>0</v>
      </c>
      <c r="E13" s="54">
        <f>SUMIF('Monthly Detail'!$3:$3, '2024 Overview (Accrual Basis)'!E$11, 'Monthly Detail'!7:7)</f>
        <v>0</v>
      </c>
      <c r="F13" s="54">
        <f>SUMIF('Monthly Detail'!$3:$3, '2024 Overview (Accrual Basis)'!F$11, 'Monthly Detail'!7:7)</f>
        <v>0</v>
      </c>
      <c r="G13" s="54">
        <f>SUMIF('Monthly Detail'!$3:$3, '2024 Overview (Accrual Basis)'!G$11, 'Monthly Detail'!7:7)</f>
        <v>5464.32</v>
      </c>
      <c r="H13" s="54">
        <f>SUMIF('Monthly Detail'!$3:$3, '2024 Overview (Accrual Basis)'!H$11, 'Monthly Detail'!7:7)</f>
        <v>10928.64</v>
      </c>
      <c r="I13" s="54">
        <f>SUMIF('Monthly Detail'!$3:$3, '2024 Overview (Accrual Basis)'!I$11, 'Monthly Detail'!11:11)</f>
        <v>700</v>
      </c>
      <c r="J13" s="54">
        <f>SUMIF('Monthly Detail'!$3:$3, '2024 Overview (Accrual Basis)'!J$11, 'Monthly Detail'!11:11)</f>
        <v>45897</v>
      </c>
      <c r="K13" s="446">
        <f>SUMIF('Monthly Detail'!$3:$3, '2024 Overview (Accrual Basis)'!K$11, 'Monthly Detail'!11:11)</f>
        <v>49010.3</v>
      </c>
      <c r="L13" s="54">
        <f>SUMIF('Monthly Detail'!$3:$3, '2024 Overview (Accrual Basis)'!L$11, 'Monthly Detail'!11:11)</f>
        <v>59081.11</v>
      </c>
      <c r="M13" s="54">
        <f>SUMIF('Monthly Detail'!$3:$3, '2024 Overview (Accrual Basis)'!M$11, 'Monthly Detail'!11:11)</f>
        <v>22716.666666666664</v>
      </c>
      <c r="N13" s="54">
        <f>SUMIF('Monthly Detail'!$3:$3, '2024 Overview (Accrual Basis)'!N$11, 'Monthly Detail'!11:11)</f>
        <v>10000</v>
      </c>
      <c r="O13" s="54"/>
      <c r="P13" s="446">
        <f>SUM(C13:O13)</f>
        <v>203798.03666666665</v>
      </c>
    </row>
    <row r="14" spans="2:16" x14ac:dyDescent="0.3">
      <c r="B14" s="212" t="s">
        <v>301</v>
      </c>
      <c r="C14" s="55">
        <f>+C12+C13</f>
        <v>0</v>
      </c>
      <c r="D14" s="55">
        <f t="shared" ref="D14:N14" si="0">+D12+D13</f>
        <v>112500</v>
      </c>
      <c r="E14" s="55">
        <f t="shared" si="0"/>
        <v>112500</v>
      </c>
      <c r="F14" s="55">
        <f t="shared" si="0"/>
        <v>0</v>
      </c>
      <c r="G14" s="55">
        <f t="shared" si="0"/>
        <v>82459.320000000007</v>
      </c>
      <c r="H14" s="55">
        <f t="shared" si="0"/>
        <v>10928.64</v>
      </c>
      <c r="I14" s="55">
        <f t="shared" si="0"/>
        <v>700</v>
      </c>
      <c r="J14" s="55">
        <f t="shared" si="0"/>
        <v>45897</v>
      </c>
      <c r="K14" s="447">
        <f t="shared" si="0"/>
        <v>49010.3</v>
      </c>
      <c r="L14" s="55">
        <f t="shared" si="0"/>
        <v>59081.11</v>
      </c>
      <c r="M14" s="55">
        <f t="shared" si="0"/>
        <v>22716.666666666664</v>
      </c>
      <c r="N14" s="307">
        <f t="shared" si="0"/>
        <v>10000</v>
      </c>
      <c r="O14" s="56"/>
      <c r="P14" s="560">
        <f>SUM(P12:P13)</f>
        <v>505793.03666666662</v>
      </c>
    </row>
    <row r="15" spans="2:16" x14ac:dyDescent="0.3">
      <c r="B15" s="551" t="s">
        <v>507</v>
      </c>
      <c r="C15" s="586">
        <f>SUMIF('Monthly Detail'!$3:$3, '2024 Overview (Accrual Basis)'!C$11, 'Monthly Detail'!12:12)</f>
        <v>0</v>
      </c>
      <c r="D15" s="586">
        <f>SUMIF('Monthly Detail'!$3:$3, '2024 Overview (Accrual Basis)'!D$11, 'Monthly Detail'!12:12)</f>
        <v>0</v>
      </c>
      <c r="E15" s="586">
        <f>SUMIF('Monthly Detail'!$3:$3, '2024 Overview (Accrual Basis)'!E$11, 'Monthly Detail'!12:12)</f>
        <v>1</v>
      </c>
      <c r="F15" s="586">
        <f>SUMIF('Monthly Detail'!$3:$3, '2024 Overview (Accrual Basis)'!F$11, 'Monthly Detail'!12:12)</f>
        <v>0</v>
      </c>
      <c r="G15" s="586">
        <f>SUMIF('Monthly Detail'!$3:$3, '2024 Overview (Accrual Basis)'!G$11, 'Monthly Detail'!12:12)</f>
        <v>2</v>
      </c>
      <c r="H15" s="586">
        <f>SUMIF('Monthly Detail'!$3:$3, '2024 Overview (Accrual Basis)'!H$11, 'Monthly Detail'!12:12)</f>
        <v>0</v>
      </c>
      <c r="I15" s="586">
        <f>SUMIF('Monthly Detail'!$3:$3, '2024 Overview (Accrual Basis)'!I$11, 'Monthly Detail'!12:12)</f>
        <v>1</v>
      </c>
      <c r="J15" s="586">
        <f>SUMIF('Monthly Detail'!$3:$3, '2024 Overview (Accrual Basis)'!J$11, 'Monthly Detail'!12:12)</f>
        <v>4</v>
      </c>
      <c r="K15" s="589">
        <f>SUMIF('Monthly Detail'!$3:$3, '2024 Overview (Accrual Basis)'!K$11, 'Monthly Detail'!12:12)</f>
        <v>2</v>
      </c>
      <c r="L15" s="586">
        <f>SUMIF('Monthly Detail'!$3:$3, '2024 Overview (Accrual Basis)'!L$11, 'Monthly Detail'!12:12)</f>
        <v>1</v>
      </c>
      <c r="M15" s="586">
        <f>SUMIF('Monthly Detail'!$3:$3, '2024 Overview (Accrual Basis)'!M$11, 'Monthly Detail'!12:12)</f>
        <v>0</v>
      </c>
      <c r="N15" s="587">
        <f>SUMIF('Monthly Detail'!$3:$3, '2024 Overview (Accrual Basis)'!N$11, 'Monthly Detail'!12:12)</f>
        <v>0</v>
      </c>
      <c r="O15" s="56"/>
      <c r="P15" s="588">
        <f>+SUM(C15:N15)</f>
        <v>11</v>
      </c>
    </row>
    <row r="16" spans="2:16" ht="3.6" customHeight="1" x14ac:dyDescent="0.3">
      <c r="B16" s="552"/>
      <c r="C16" s="553"/>
      <c r="D16" s="553"/>
      <c r="E16" s="553"/>
      <c r="F16" s="553"/>
      <c r="G16" s="553"/>
      <c r="H16" s="553"/>
      <c r="I16" s="553"/>
      <c r="J16" s="553"/>
      <c r="K16" s="554"/>
      <c r="L16" s="553"/>
      <c r="M16" s="553"/>
      <c r="N16" s="553"/>
      <c r="O16" s="555"/>
      <c r="P16" s="554"/>
    </row>
    <row r="17" spans="2:19" hidden="1" x14ac:dyDescent="0.3">
      <c r="B17" s="211" t="s">
        <v>362</v>
      </c>
      <c r="C17" s="57">
        <f>SUMIF('Monthly Detail'!$3:$3, '2024 Overview (Accrual Basis)'!C$11, 'Monthly Detail'!22:22)</f>
        <v>0</v>
      </c>
      <c r="D17" s="57">
        <f>SUMIF('Monthly Detail'!$3:$3, '2024 Overview (Accrual Basis)'!D$11, 'Monthly Detail'!22:22)</f>
        <v>0</v>
      </c>
      <c r="E17" s="57">
        <f>SUMIF('Monthly Detail'!$3:$3, '2024 Overview (Accrual Basis)'!E$11, 'Monthly Detail'!22:22)</f>
        <v>0</v>
      </c>
      <c r="F17" s="57">
        <f>SUMIF('Monthly Detail'!$3:$3, '2024 Overview (Accrual Basis)'!F$11, 'Monthly Detail'!22:22)</f>
        <v>0</v>
      </c>
      <c r="G17" s="57">
        <f>SUMIF('Monthly Detail'!$3:$3, '2024 Overview (Accrual Basis)'!G$11, 'Monthly Detail'!22:22)</f>
        <v>0</v>
      </c>
      <c r="H17" s="57">
        <f>SUMIF('Monthly Detail'!$3:$3, '2024 Overview (Accrual Basis)'!H$11, 'Monthly Detail'!22:22)</f>
        <v>0</v>
      </c>
      <c r="I17" s="57">
        <f>SUMIF('Monthly Detail'!$3:$3, '2024 Overview (Accrual Basis)'!I$11, 'Monthly Detail'!22:22)</f>
        <v>0</v>
      </c>
      <c r="J17" s="57">
        <f>SUMIF('Monthly Detail'!$3:$3, '2024 Overview (Accrual Basis)'!J$11, 'Monthly Detail'!22:22)</f>
        <v>0</v>
      </c>
      <c r="K17" s="449">
        <f>SUMIF('Monthly Detail'!$3:$3, '2024 Overview (Accrual Basis)'!K$11, 'Monthly Detail'!22:22)</f>
        <v>0</v>
      </c>
      <c r="L17" s="57">
        <f>SUMIF('Monthly Detail'!$3:$3, '2024 Overview (Accrual Basis)'!L$11, 'Monthly Detail'!22:22)</f>
        <v>0</v>
      </c>
      <c r="M17" s="57">
        <f>SUMIF('Monthly Detail'!$3:$3, '2024 Overview (Accrual Basis)'!M$11, 'Monthly Detail'!22:22)</f>
        <v>0</v>
      </c>
      <c r="N17" s="57">
        <f>SUMIF('Monthly Detail'!$3:$3, '2024 Overview (Accrual Basis)'!N$11, 'Monthly Detail'!22:22)</f>
        <v>0</v>
      </c>
      <c r="P17" s="449">
        <f>SUM(C17:O17)</f>
        <v>0</v>
      </c>
    </row>
    <row r="18" spans="2:19" x14ac:dyDescent="0.3">
      <c r="B18" s="211" t="s">
        <v>363</v>
      </c>
      <c r="C18" s="57">
        <f>SUMIF('Monthly Detail'!$3:$3, '2024 Overview (Accrual Basis)'!C$11, 'Monthly Detail'!23:23)</f>
        <v>9331.41</v>
      </c>
      <c r="D18" s="57">
        <f>SUMIF('Monthly Detail'!$3:$3, '2024 Overview (Accrual Basis)'!D$11, 'Monthly Detail'!23:23)</f>
        <v>11043.19</v>
      </c>
      <c r="E18" s="57">
        <f>SUMIF('Monthly Detail'!$3:$3, '2024 Overview (Accrual Basis)'!E$11, 'Monthly Detail'!23:23)</f>
        <v>12624.47</v>
      </c>
      <c r="F18" s="57">
        <f>SUMIF('Monthly Detail'!$3:$3, '2024 Overview (Accrual Basis)'!F$11, 'Monthly Detail'!23:23)</f>
        <v>2249.58</v>
      </c>
      <c r="G18" s="57">
        <f>SUMIF('Monthly Detail'!$3:$3, '2024 Overview (Accrual Basis)'!G$11, 'Monthly Detail'!23:23)</f>
        <v>1056.1600000000001</v>
      </c>
      <c r="H18" s="57">
        <f>SUMIF('Monthly Detail'!$3:$3, '2024 Overview (Accrual Basis)'!H$11, 'Monthly Detail'!23:23)</f>
        <v>9369.24</v>
      </c>
      <c r="I18" s="57">
        <f>SUMIF('Monthly Detail'!$3:$3, '2024 Overview (Accrual Basis)'!I$11, 'Monthly Detail'!23:23)</f>
        <v>1419</v>
      </c>
      <c r="J18" s="57">
        <f>SUMIF('Monthly Detail'!$3:$3, '2024 Overview (Accrual Basis)'!J$11, 'Monthly Detail'!23:23)</f>
        <v>75</v>
      </c>
      <c r="K18" s="449">
        <f>SUMIF('Monthly Detail'!$3:$3, '2024 Overview (Accrual Basis)'!K$11, 'Monthly Detail'!23:23)</f>
        <v>9450.67</v>
      </c>
      <c r="L18" s="57">
        <f>SUMIF('Monthly Detail'!$3:$3, '2024 Overview (Accrual Basis)'!L$11, 'Monthly Detail'!23:23)</f>
        <v>0</v>
      </c>
      <c r="M18" s="57">
        <f>SUMIF('Monthly Detail'!$3:$3, '2024 Overview (Accrual Basis)'!M$11, 'Monthly Detail'!23:23)</f>
        <v>0</v>
      </c>
      <c r="N18" s="57">
        <f>SUMIF('Monthly Detail'!$3:$3, '2024 Overview (Accrual Basis)'!N$11, 'Monthly Detail'!23:23)</f>
        <v>0</v>
      </c>
      <c r="P18" s="449">
        <f t="shared" ref="P18:P20" si="1">SUM(C18:O18)</f>
        <v>56618.720000000001</v>
      </c>
    </row>
    <row r="19" spans="2:19" x14ac:dyDescent="0.3">
      <c r="B19" s="211" t="s">
        <v>364</v>
      </c>
      <c r="C19" s="57">
        <f>SUMIF('Monthly Detail'!$3:$3, '2024 Overview (Accrual Basis)'!C$11, 'Monthly Detail'!24:24)</f>
        <v>56252.97</v>
      </c>
      <c r="D19" s="57">
        <f>SUMIF('Monthly Detail'!$3:$3, '2024 Overview (Accrual Basis)'!D$11, 'Monthly Detail'!24:24)</f>
        <v>2687.55</v>
      </c>
      <c r="E19" s="57">
        <f>SUMIF('Monthly Detail'!$3:$3, '2024 Overview (Accrual Basis)'!E$11, 'Monthly Detail'!24:24)</f>
        <v>92525.62</v>
      </c>
      <c r="F19" s="57">
        <f>SUMIF('Monthly Detail'!$3:$3, '2024 Overview (Accrual Basis)'!F$11, 'Monthly Detail'!24:24)</f>
        <v>22100.17</v>
      </c>
      <c r="G19" s="57">
        <f>SUMIF('Monthly Detail'!$3:$3, '2024 Overview (Accrual Basis)'!G$11, 'Monthly Detail'!24:24)</f>
        <v>22336</v>
      </c>
      <c r="H19" s="57">
        <f>SUMIF('Monthly Detail'!$3:$3, '2024 Overview (Accrual Basis)'!H$11, 'Monthly Detail'!24:24)</f>
        <v>14367</v>
      </c>
      <c r="I19" s="57">
        <f>SUMIF('Monthly Detail'!$3:$3, '2024 Overview (Accrual Basis)'!I$11, 'Monthly Detail'!24:24)</f>
        <v>880</v>
      </c>
      <c r="J19" s="57">
        <f>SUMIF('Monthly Detail'!$3:$3, '2024 Overview (Accrual Basis)'!J$11, 'Monthly Detail'!24:24)</f>
        <v>0</v>
      </c>
      <c r="K19" s="449">
        <f>SUMIF('Monthly Detail'!$3:$3, '2024 Overview (Accrual Basis)'!K$11, 'Monthly Detail'!24:24)</f>
        <v>0</v>
      </c>
      <c r="L19" s="57">
        <f>SUMIF('Monthly Detail'!$3:$3, '2024 Overview (Accrual Basis)'!L$11, 'Monthly Detail'!24:24)</f>
        <v>0</v>
      </c>
      <c r="M19" s="57">
        <f>SUMIF('Monthly Detail'!$3:$3, '2024 Overview (Accrual Basis)'!M$11, 'Monthly Detail'!24:24)</f>
        <v>0</v>
      </c>
      <c r="N19" s="57">
        <f>SUMIF('Monthly Detail'!$3:$3, '2024 Overview (Accrual Basis)'!N$11, 'Monthly Detail'!24:24)</f>
        <v>0</v>
      </c>
      <c r="P19" s="449">
        <f t="shared" si="1"/>
        <v>211149.31</v>
      </c>
    </row>
    <row r="20" spans="2:19" x14ac:dyDescent="0.3">
      <c r="B20" s="211" t="s">
        <v>365</v>
      </c>
      <c r="C20" s="57">
        <f>SUMIF('Monthly Detail'!$3:$3, '2024 Overview (Accrual Basis)'!C$11, 'Monthly Detail'!25:25)</f>
        <v>0</v>
      </c>
      <c r="D20" s="57">
        <f>SUMIF('Monthly Detail'!$3:$3, '2024 Overview (Accrual Basis)'!D$11, 'Monthly Detail'!25:25)</f>
        <v>0</v>
      </c>
      <c r="E20" s="57">
        <f>SUMIF('Monthly Detail'!$3:$3, '2024 Overview (Accrual Basis)'!E$11, 'Monthly Detail'!25:25)</f>
        <v>0</v>
      </c>
      <c r="F20" s="57">
        <f>SUMIF('Monthly Detail'!$3:$3, '2024 Overview (Accrual Basis)'!F$11, 'Monthly Detail'!25:25)</f>
        <v>0</v>
      </c>
      <c r="G20" s="57">
        <f>SUMIF('Monthly Detail'!$3:$3, '2024 Overview (Accrual Basis)'!G$11, 'Monthly Detail'!25:25)</f>
        <v>735</v>
      </c>
      <c r="H20" s="57">
        <f>SUMIF('Monthly Detail'!$3:$3, '2024 Overview (Accrual Basis)'!H$11, 'Monthly Detail'!25:25)</f>
        <v>11876</v>
      </c>
      <c r="I20" s="57">
        <f>SUMIF('Monthly Detail'!$3:$3, '2024 Overview (Accrual Basis)'!I$11, 'Monthly Detail'!25:25)</f>
        <v>600</v>
      </c>
      <c r="J20" s="57">
        <f>SUMIF('Monthly Detail'!$3:$3, '2024 Overview (Accrual Basis)'!J$11, 'Monthly Detail'!25:25)</f>
        <v>39200</v>
      </c>
      <c r="K20" s="449">
        <f>SUMIF('Monthly Detail'!$3:$3, '2024 Overview (Accrual Basis)'!K$11, 'Monthly Detail'!25:25)</f>
        <v>26774</v>
      </c>
      <c r="L20" s="57">
        <f>SUMIF('Monthly Detail'!$3:$3, '2024 Overview (Accrual Basis)'!L$11, 'Monthly Detail'!25:25)</f>
        <v>50514.349049999997</v>
      </c>
      <c r="M20" s="57">
        <f>SUMIF('Monthly Detail'!$3:$3, '2024 Overview (Accrual Basis)'!M$11, 'Monthly Detail'!25:25)</f>
        <v>19422.749999999996</v>
      </c>
      <c r="N20" s="57">
        <f>SUMIF('Monthly Detail'!$3:$3, '2024 Overview (Accrual Basis)'!N$11, 'Monthly Detail'!25:25)</f>
        <v>8550</v>
      </c>
      <c r="P20" s="449">
        <f t="shared" si="1"/>
        <v>157672.09904999999</v>
      </c>
    </row>
    <row r="21" spans="2:19" ht="15.6" x14ac:dyDescent="0.3">
      <c r="B21" s="214" t="s">
        <v>366</v>
      </c>
      <c r="C21" s="69">
        <f t="shared" ref="C21:N21" si="2">C14-SUM(C17:C20)</f>
        <v>-65584.38</v>
      </c>
      <c r="D21" s="69">
        <f t="shared" si="2"/>
        <v>98769.26</v>
      </c>
      <c r="E21" s="69">
        <f t="shared" si="2"/>
        <v>7349.9100000000035</v>
      </c>
      <c r="F21" s="69">
        <f t="shared" si="2"/>
        <v>-24349.75</v>
      </c>
      <c r="G21" s="69">
        <f t="shared" si="2"/>
        <v>58332.160000000003</v>
      </c>
      <c r="H21" s="69">
        <f t="shared" si="2"/>
        <v>-24683.599999999999</v>
      </c>
      <c r="I21" s="69">
        <f t="shared" si="2"/>
        <v>-2199</v>
      </c>
      <c r="J21" s="69">
        <f t="shared" si="2"/>
        <v>6622</v>
      </c>
      <c r="K21" s="450">
        <f t="shared" si="2"/>
        <v>12785.630000000005</v>
      </c>
      <c r="L21" s="69">
        <f t="shared" si="2"/>
        <v>8566.7609500000035</v>
      </c>
      <c r="M21" s="69">
        <f t="shared" si="2"/>
        <v>3293.9166666666679</v>
      </c>
      <c r="N21" s="258">
        <f t="shared" si="2"/>
        <v>1450</v>
      </c>
      <c r="O21" s="310"/>
      <c r="P21" s="561">
        <f>P14-SUM(P17:P20)</f>
        <v>80352.907616666635</v>
      </c>
    </row>
    <row r="22" spans="2:19" x14ac:dyDescent="0.3">
      <c r="B22" s="215" t="s">
        <v>378</v>
      </c>
      <c r="C22" s="71">
        <f t="shared" ref="C22:N22" si="3">+IFERROR((C12-SUM(C17:C19))/C12, 0)</f>
        <v>0</v>
      </c>
      <c r="D22" s="71">
        <f t="shared" si="3"/>
        <v>0.87794897777777769</v>
      </c>
      <c r="E22" s="71">
        <f t="shared" si="3"/>
        <v>6.5332533333333359E-2</v>
      </c>
      <c r="F22" s="71">
        <f t="shared" si="3"/>
        <v>0</v>
      </c>
      <c r="G22" s="71">
        <f t="shared" si="3"/>
        <v>0.69618598610299365</v>
      </c>
      <c r="H22" s="71">
        <f t="shared" si="3"/>
        <v>0</v>
      </c>
      <c r="I22" s="71">
        <f t="shared" si="3"/>
        <v>0</v>
      </c>
      <c r="J22" s="71">
        <f t="shared" si="3"/>
        <v>0</v>
      </c>
      <c r="K22" s="451">
        <f t="shared" si="3"/>
        <v>0</v>
      </c>
      <c r="L22" s="71">
        <f t="shared" si="3"/>
        <v>0</v>
      </c>
      <c r="M22" s="71">
        <f t="shared" si="3"/>
        <v>0</v>
      </c>
      <c r="N22" s="260">
        <f t="shared" si="3"/>
        <v>0</v>
      </c>
      <c r="O22" s="7"/>
      <c r="P22" s="562">
        <f>((P12-SUM(P17:P19))/P12)</f>
        <v>0.1133362141757313</v>
      </c>
    </row>
    <row r="23" spans="2:19" x14ac:dyDescent="0.3">
      <c r="B23" s="556" t="s">
        <v>379</v>
      </c>
      <c r="C23" s="557">
        <f t="shared" ref="C23:N23" si="4">+IFERROR((C13-C20)/C13, 0)</f>
        <v>0</v>
      </c>
      <c r="D23" s="557">
        <f t="shared" si="4"/>
        <v>0</v>
      </c>
      <c r="E23" s="557">
        <f t="shared" si="4"/>
        <v>0</v>
      </c>
      <c r="F23" s="557">
        <f t="shared" si="4"/>
        <v>0</v>
      </c>
      <c r="G23" s="557">
        <f t="shared" si="4"/>
        <v>0.86549104005621924</v>
      </c>
      <c r="H23" s="557">
        <f t="shared" si="4"/>
        <v>-8.6685992035605591E-2</v>
      </c>
      <c r="I23" s="557">
        <f t="shared" si="4"/>
        <v>0.14285714285714285</v>
      </c>
      <c r="J23" s="557">
        <f t="shared" si="4"/>
        <v>0.14591367627513782</v>
      </c>
      <c r="K23" s="558">
        <f>+IFERROR((K13-K20)/K13, 0)</f>
        <v>0.45370666982246594</v>
      </c>
      <c r="L23" s="557">
        <f t="shared" si="4"/>
        <v>0.14500000000000005</v>
      </c>
      <c r="M23" s="557">
        <f t="shared" si="4"/>
        <v>0.14500000000000007</v>
      </c>
      <c r="N23" s="559">
        <f t="shared" si="4"/>
        <v>0.14499999999999999</v>
      </c>
      <c r="O23" s="7"/>
      <c r="P23" s="563">
        <f>((P13-P20))/P13</f>
        <v>0.22633160932806501</v>
      </c>
    </row>
    <row r="24" spans="2:19" x14ac:dyDescent="0.3">
      <c r="B24" s="210"/>
      <c r="K24" s="78"/>
      <c r="P24" s="78"/>
    </row>
    <row r="25" spans="2:19" x14ac:dyDescent="0.3">
      <c r="B25" s="210" t="s">
        <v>387</v>
      </c>
      <c r="C25" s="54">
        <f>SUMIF('Monthly Detail'!$3:$3, '2024 Overview (Accrual Basis)'!C$11, 'Monthly Detail'!$41:$41)</f>
        <v>0</v>
      </c>
      <c r="D25" s="54">
        <f>SUMIF('Monthly Detail'!$3:$3, '2024 Overview (Accrual Basis)'!D$11, 'Monthly Detail'!$41:$41)</f>
        <v>2489.27</v>
      </c>
      <c r="E25" s="54">
        <f>SUMIF('Monthly Detail'!$3:$3, '2024 Overview (Accrual Basis)'!E$11, 'Monthly Detail'!$41:$41)</f>
        <v>0</v>
      </c>
      <c r="F25" s="54">
        <f>SUMIF('Monthly Detail'!$3:$3, '2024 Overview (Accrual Basis)'!F$11, 'Monthly Detail'!$41:$41)</f>
        <v>0</v>
      </c>
      <c r="G25" s="54">
        <f>SUMIF('Monthly Detail'!$3:$3, '2024 Overview (Accrual Basis)'!G$11, 'Monthly Detail'!$41:$41)</f>
        <v>108.38</v>
      </c>
      <c r="H25" s="54">
        <f>SUMIF('Monthly Detail'!$3:$3, '2024 Overview (Accrual Basis)'!H$11, 'Monthly Detail'!$41:$41)</f>
        <v>600</v>
      </c>
      <c r="I25" s="54">
        <f>SUMIF('Monthly Detail'!$3:$3, '2024 Overview (Accrual Basis)'!I$11, 'Monthly Detail'!$41:$41)</f>
        <v>0</v>
      </c>
      <c r="J25" s="54">
        <f>SUMIF('Monthly Detail'!$3:$3, '2024 Overview (Accrual Basis)'!J$11, 'Monthly Detail'!$41:$41)</f>
        <v>1799</v>
      </c>
      <c r="K25" s="446">
        <f>SUMIF('Monthly Detail'!$3:$3, '2024 Overview (Accrual Basis)'!K$11, 'Monthly Detail'!$41:$41)</f>
        <v>35</v>
      </c>
      <c r="L25" s="54">
        <f>SUMIF('Monthly Detail'!$3:$3, '2024 Overview (Accrual Basis)'!L$11, 'Monthly Detail'!$41:$41)</f>
        <v>600</v>
      </c>
      <c r="M25" s="54">
        <f>SUMIF('Monthly Detail'!$3:$3, '2024 Overview (Accrual Basis)'!M$11, 'Monthly Detail'!$41:$41)</f>
        <v>600</v>
      </c>
      <c r="N25" s="54">
        <f>SUMIF('Monthly Detail'!$3:$3, '2024 Overview (Accrual Basis)'!N$11, 'Monthly Detail'!$41:$41)</f>
        <v>600</v>
      </c>
      <c r="P25" s="446">
        <f>SUM(C25:O25)</f>
        <v>6831.65</v>
      </c>
    </row>
    <row r="26" spans="2:19" x14ac:dyDescent="0.3">
      <c r="B26" s="210" t="s">
        <v>388</v>
      </c>
      <c r="C26" s="54">
        <f>SUMIF('Monthly Detail'!$3:$3, '2024 Overview (Accrual Basis)'!C$11, 'Monthly Detail'!$75:$75)</f>
        <v>1735.88</v>
      </c>
      <c r="D26" s="54">
        <f>SUMIF('Monthly Detail'!$3:$3, '2024 Overview (Accrual Basis)'!D$11, 'Monthly Detail'!$75:$75)</f>
        <v>4033.27</v>
      </c>
      <c r="E26" s="54">
        <f>SUMIF('Monthly Detail'!$3:$3, '2024 Overview (Accrual Basis)'!E$11, 'Monthly Detail'!$75:$75)</f>
        <v>1614.19</v>
      </c>
      <c r="F26" s="54">
        <f>SUMIF('Monthly Detail'!$3:$3, '2024 Overview (Accrual Basis)'!F$11, 'Monthly Detail'!$75:$75)</f>
        <v>4507.3599999999997</v>
      </c>
      <c r="G26" s="54">
        <f>SUMIF('Monthly Detail'!$3:$3, '2024 Overview (Accrual Basis)'!G$11, 'Monthly Detail'!$75:$75)</f>
        <v>5191.57</v>
      </c>
      <c r="H26" s="54">
        <f>SUMIF('Monthly Detail'!$3:$3, '2024 Overview (Accrual Basis)'!H$11, 'Monthly Detail'!$75:$75)</f>
        <v>5215.9499999999989</v>
      </c>
      <c r="I26" s="54">
        <f>SUMIF('Monthly Detail'!$3:$3, '2024 Overview (Accrual Basis)'!I$11, 'Monthly Detail'!$75:$75)</f>
        <v>3100.88</v>
      </c>
      <c r="J26" s="54">
        <f>SUMIF('Monthly Detail'!$3:$3, '2024 Overview (Accrual Basis)'!J$11, 'Monthly Detail'!$75:$75)</f>
        <v>2942.8500000000004</v>
      </c>
      <c r="K26" s="446">
        <f>SUMIF('Monthly Detail'!$3:$3, '2024 Overview (Accrual Basis)'!K$11, 'Monthly Detail'!$75:$75)</f>
        <v>2183.8900000000003</v>
      </c>
      <c r="L26" s="54">
        <f>SUMIF('Monthly Detail'!$3:$3, '2024 Overview (Accrual Basis)'!L$11, 'Monthly Detail'!$75:$75)</f>
        <v>3538.86</v>
      </c>
      <c r="M26" s="54">
        <f>SUMIF('Monthly Detail'!$3:$3, '2024 Overview (Accrual Basis)'!M$11, 'Monthly Detail'!$75:$75)</f>
        <v>3538.86</v>
      </c>
      <c r="N26" s="54">
        <f>SUMIF('Monthly Detail'!$3:$3, '2024 Overview (Accrual Basis)'!N$11, 'Monthly Detail'!$75:$75)</f>
        <v>3538.86</v>
      </c>
      <c r="P26" s="446">
        <f>SUM(C26:O26)</f>
        <v>41142.420000000006</v>
      </c>
      <c r="S26" s="1"/>
    </row>
    <row r="27" spans="2:19" x14ac:dyDescent="0.3">
      <c r="B27" s="566" t="s">
        <v>151</v>
      </c>
      <c r="C27" s="567">
        <f>SUM(C25:C26)</f>
        <v>1735.88</v>
      </c>
      <c r="D27" s="567">
        <f t="shared" ref="D27:N27" si="5">SUM(D25:D26)</f>
        <v>6522.54</v>
      </c>
      <c r="E27" s="567">
        <f t="shared" si="5"/>
        <v>1614.19</v>
      </c>
      <c r="F27" s="567">
        <f t="shared" si="5"/>
        <v>4507.3599999999997</v>
      </c>
      <c r="G27" s="567">
        <f t="shared" si="5"/>
        <v>5299.95</v>
      </c>
      <c r="H27" s="567">
        <f t="shared" si="5"/>
        <v>5815.9499999999989</v>
      </c>
      <c r="I27" s="567">
        <f t="shared" si="5"/>
        <v>3100.88</v>
      </c>
      <c r="J27" s="567">
        <f t="shared" si="5"/>
        <v>4741.8500000000004</v>
      </c>
      <c r="K27" s="568">
        <f t="shared" si="5"/>
        <v>2218.8900000000003</v>
      </c>
      <c r="L27" s="567">
        <f t="shared" si="5"/>
        <v>4138.8600000000006</v>
      </c>
      <c r="M27" s="567">
        <f t="shared" si="5"/>
        <v>4138.8600000000006</v>
      </c>
      <c r="N27" s="569">
        <f t="shared" si="5"/>
        <v>4138.8600000000006</v>
      </c>
      <c r="O27" s="312"/>
      <c r="P27" s="564">
        <f>SUM(P25:P26)</f>
        <v>47974.070000000007</v>
      </c>
    </row>
    <row r="28" spans="2:19" ht="6" customHeight="1" x14ac:dyDescent="0.3">
      <c r="B28" s="210"/>
      <c r="K28" s="78"/>
      <c r="P28" s="78"/>
    </row>
    <row r="29" spans="2:19" ht="15.6" x14ac:dyDescent="0.3">
      <c r="B29" s="214" t="s">
        <v>152</v>
      </c>
      <c r="C29" s="69">
        <f t="shared" ref="C29:N29" si="6">C21-C27</f>
        <v>-67320.260000000009</v>
      </c>
      <c r="D29" s="69">
        <f t="shared" si="6"/>
        <v>92246.720000000001</v>
      </c>
      <c r="E29" s="69">
        <f t="shared" si="6"/>
        <v>5735.720000000003</v>
      </c>
      <c r="F29" s="69">
        <f t="shared" si="6"/>
        <v>-28857.11</v>
      </c>
      <c r="G29" s="69">
        <f t="shared" si="6"/>
        <v>53032.210000000006</v>
      </c>
      <c r="H29" s="69">
        <f t="shared" si="6"/>
        <v>-30499.549999999996</v>
      </c>
      <c r="I29" s="69">
        <f t="shared" si="6"/>
        <v>-5299.88</v>
      </c>
      <c r="J29" s="69">
        <f t="shared" si="6"/>
        <v>1880.1499999999996</v>
      </c>
      <c r="K29" s="450">
        <f t="shared" si="6"/>
        <v>10566.740000000005</v>
      </c>
      <c r="L29" s="69">
        <f t="shared" si="6"/>
        <v>4427.9009500000029</v>
      </c>
      <c r="M29" s="69">
        <f t="shared" si="6"/>
        <v>-844.9433333333327</v>
      </c>
      <c r="N29" s="258">
        <f t="shared" si="6"/>
        <v>-2688.8600000000006</v>
      </c>
      <c r="O29" s="310"/>
      <c r="P29" s="561">
        <f>P21-P27</f>
        <v>32378.837616666628</v>
      </c>
    </row>
    <row r="30" spans="2:19" x14ac:dyDescent="0.3">
      <c r="B30" s="556" t="s">
        <v>153</v>
      </c>
      <c r="C30" s="557">
        <f t="shared" ref="C30:N30" si="7">+IFERROR(C29/C14, 0)</f>
        <v>0</v>
      </c>
      <c r="D30" s="557">
        <f t="shared" si="7"/>
        <v>0.81997084444444446</v>
      </c>
      <c r="E30" s="557">
        <f t="shared" si="7"/>
        <v>5.0984177777777806E-2</v>
      </c>
      <c r="F30" s="557">
        <f t="shared" si="7"/>
        <v>0</v>
      </c>
      <c r="G30" s="557">
        <f t="shared" si="7"/>
        <v>0.64313178910522184</v>
      </c>
      <c r="H30" s="557">
        <f t="shared" si="7"/>
        <v>-2.7907909858866242</v>
      </c>
      <c r="I30" s="557">
        <f t="shared" si="7"/>
        <v>-7.5712571428571431</v>
      </c>
      <c r="J30" s="557">
        <f t="shared" si="7"/>
        <v>4.0964551059982125E-2</v>
      </c>
      <c r="K30" s="558">
        <f t="shared" si="7"/>
        <v>0.21560243459028008</v>
      </c>
      <c r="L30" s="557">
        <f t="shared" si="7"/>
        <v>7.4946136760125237E-2</v>
      </c>
      <c r="M30" s="557">
        <f t="shared" si="7"/>
        <v>-3.719486426999264E-2</v>
      </c>
      <c r="N30" s="559">
        <f t="shared" si="7"/>
        <v>-0.26888600000000007</v>
      </c>
      <c r="O30" s="7"/>
      <c r="P30" s="563">
        <f>P29/P14</f>
        <v>6.4015981378575781E-2</v>
      </c>
    </row>
    <row r="31" spans="2:19" x14ac:dyDescent="0.3">
      <c r="B31" s="217"/>
      <c r="C31" s="63"/>
      <c r="D31" s="63"/>
      <c r="E31" s="63"/>
      <c r="F31" s="63"/>
      <c r="G31" s="63"/>
      <c r="H31" s="63"/>
      <c r="I31" s="63"/>
      <c r="J31" s="63"/>
      <c r="K31" s="453"/>
      <c r="L31" s="63"/>
      <c r="M31" s="63"/>
      <c r="N31" s="63"/>
      <c r="P31" s="453"/>
    </row>
    <row r="32" spans="2:19" x14ac:dyDescent="0.3">
      <c r="B32" s="210" t="s">
        <v>154</v>
      </c>
      <c r="C32" s="108">
        <f>SUMIF('Monthly Detail'!$3:$3, '2024 Overview (Accrual Basis)'!C$11, 'Monthly Detail'!88:88)</f>
        <v>0</v>
      </c>
      <c r="D32" s="108">
        <f>SUMIF('Monthly Detail'!$3:$3, '2024 Overview (Accrual Basis)'!D$11, 'Monthly Detail'!88:88)</f>
        <v>0</v>
      </c>
      <c r="E32" s="108">
        <f>SUMIF('Monthly Detail'!$3:$3, '2024 Overview (Accrual Basis)'!E$11, 'Monthly Detail'!88:88)</f>
        <v>0</v>
      </c>
      <c r="F32" s="108">
        <f>SUMIF('Monthly Detail'!$3:$3, '2024 Overview (Accrual Basis)'!F$11, 'Monthly Detail'!88:88)</f>
        <v>0</v>
      </c>
      <c r="G32" s="108">
        <f>SUMIF('Monthly Detail'!$3:$3, '2024 Overview (Accrual Basis)'!G$11, 'Monthly Detail'!88:88)</f>
        <v>0</v>
      </c>
      <c r="H32" s="108">
        <f>SUMIF('Monthly Detail'!$3:$3, '2024 Overview (Accrual Basis)'!H$11, 'Monthly Detail'!88:88)</f>
        <v>0</v>
      </c>
      <c r="I32" s="108">
        <f>SUMIF('Monthly Detail'!$3:$3, '2024 Overview (Accrual Basis)'!I$11, 'Monthly Detail'!88:88)</f>
        <v>300</v>
      </c>
      <c r="J32" s="108">
        <f>SUMIF('Monthly Detail'!$3:$3, '2024 Overview (Accrual Basis)'!J$11, 'Monthly Detail'!88:88)</f>
        <v>0</v>
      </c>
      <c r="K32" s="506">
        <f>SUMIF('Monthly Detail'!$3:$3, '2024 Overview (Accrual Basis)'!K$11, 'Monthly Detail'!88:88)</f>
        <v>300</v>
      </c>
      <c r="L32" s="108">
        <f>SUMIF('Monthly Detail'!$3:$3, '2024 Overview (Accrual Basis)'!L$11, 'Monthly Detail'!88:88)</f>
        <v>0</v>
      </c>
      <c r="M32" s="108">
        <f>SUMIF('Monthly Detail'!$3:$3, '2024 Overview (Accrual Basis)'!M$11, 'Monthly Detail'!88:88)</f>
        <v>0</v>
      </c>
      <c r="N32" s="108">
        <f>SUMIF('Monthly Detail'!$3:$3, '2024 Overview (Accrual Basis)'!N$11, 'Monthly Detail'!88:88)</f>
        <v>0</v>
      </c>
      <c r="O32" s="108"/>
      <c r="P32" s="454">
        <f>SUM(C32:O32)</f>
        <v>600</v>
      </c>
    </row>
    <row r="33" spans="2:16" ht="15.6" x14ac:dyDescent="0.3">
      <c r="B33" s="214" t="s">
        <v>12</v>
      </c>
      <c r="C33" s="69">
        <f t="shared" ref="C33:N33" si="8">+C29+C32</f>
        <v>-67320.260000000009</v>
      </c>
      <c r="D33" s="69">
        <f t="shared" si="8"/>
        <v>92246.720000000001</v>
      </c>
      <c r="E33" s="69">
        <f t="shared" si="8"/>
        <v>5735.720000000003</v>
      </c>
      <c r="F33" s="69">
        <f t="shared" si="8"/>
        <v>-28857.11</v>
      </c>
      <c r="G33" s="69">
        <f t="shared" si="8"/>
        <v>53032.210000000006</v>
      </c>
      <c r="H33" s="69">
        <f t="shared" si="8"/>
        <v>-30499.549999999996</v>
      </c>
      <c r="I33" s="69">
        <f t="shared" si="8"/>
        <v>-4999.88</v>
      </c>
      <c r="J33" s="69">
        <f t="shared" si="8"/>
        <v>1880.1499999999996</v>
      </c>
      <c r="K33" s="450">
        <f>+K29+K32</f>
        <v>10866.740000000005</v>
      </c>
      <c r="L33" s="69">
        <f t="shared" si="8"/>
        <v>4427.9009500000029</v>
      </c>
      <c r="M33" s="69">
        <f t="shared" si="8"/>
        <v>-844.9433333333327</v>
      </c>
      <c r="N33" s="258">
        <f t="shared" si="8"/>
        <v>-2688.8600000000006</v>
      </c>
      <c r="O33" s="310"/>
      <c r="P33" s="561">
        <f>P29+SUM(P32:P32)</f>
        <v>32978.837616666628</v>
      </c>
    </row>
    <row r="34" spans="2:16" x14ac:dyDescent="0.3">
      <c r="B34" s="215" t="s">
        <v>155</v>
      </c>
      <c r="C34" s="71">
        <f t="shared" ref="C34:N34" si="9">+IFERROR(C33/C14, 0)</f>
        <v>0</v>
      </c>
      <c r="D34" s="71">
        <f t="shared" si="9"/>
        <v>0.81997084444444446</v>
      </c>
      <c r="E34" s="71">
        <f t="shared" si="9"/>
        <v>5.0984177777777806E-2</v>
      </c>
      <c r="F34" s="71">
        <f t="shared" si="9"/>
        <v>0</v>
      </c>
      <c r="G34" s="71">
        <f t="shared" si="9"/>
        <v>0.64313178910522184</v>
      </c>
      <c r="H34" s="71">
        <f t="shared" si="9"/>
        <v>-2.7907909858866242</v>
      </c>
      <c r="I34" s="71">
        <f t="shared" si="9"/>
        <v>-7.1426857142857143</v>
      </c>
      <c r="J34" s="71">
        <f t="shared" si="9"/>
        <v>4.0964551059982125E-2</v>
      </c>
      <c r="K34" s="451">
        <f t="shared" si="9"/>
        <v>0.22172359687657503</v>
      </c>
      <c r="L34" s="71">
        <f t="shared" si="9"/>
        <v>7.4946136760125237E-2</v>
      </c>
      <c r="M34" s="71">
        <f t="shared" si="9"/>
        <v>-3.719486426999264E-2</v>
      </c>
      <c r="N34" s="260">
        <f t="shared" si="9"/>
        <v>-0.26888600000000007</v>
      </c>
      <c r="O34" s="7"/>
      <c r="P34" s="562">
        <f>P33/P14</f>
        <v>6.5202237330128976E-2</v>
      </c>
    </row>
    <row r="35" spans="2:16" ht="15.6" x14ac:dyDescent="0.3">
      <c r="B35" s="556" t="s">
        <v>238</v>
      </c>
      <c r="C35" s="570">
        <f>+'Monthly Detail'!AB149-'Monthly Detail'!AA149</f>
        <v>0</v>
      </c>
      <c r="D35" s="570">
        <f>+'Monthly Detail'!AC149-'Monthly Detail'!AB149</f>
        <v>-20000</v>
      </c>
      <c r="E35" s="570">
        <f>+'Monthly Detail'!AD149-'Monthly Detail'!AC149</f>
        <v>0</v>
      </c>
      <c r="F35" s="570">
        <f>+'Monthly Detail'!AE149-'Monthly Detail'!AD149</f>
        <v>-50000</v>
      </c>
      <c r="G35" s="570">
        <f>+'Monthly Detail'!AF149-'Monthly Detail'!AE149</f>
        <v>0</v>
      </c>
      <c r="H35" s="570">
        <f>+'Monthly Detail'!AG149-'Monthly Detail'!AF149</f>
        <v>0</v>
      </c>
      <c r="I35" s="570">
        <f>+'Monthly Detail'!AH149-'Monthly Detail'!AG149</f>
        <v>0</v>
      </c>
      <c r="J35" s="570">
        <f>+'Monthly Detail'!AI149-'Monthly Detail'!AH149</f>
        <v>0</v>
      </c>
      <c r="K35" s="571">
        <f>+'Monthly Detail'!AJ149-'Monthly Detail'!AI149</f>
        <v>0</v>
      </c>
      <c r="L35" s="570">
        <f>+'Monthly Detail'!AK149-'Monthly Detail'!AJ149</f>
        <v>0</v>
      </c>
      <c r="M35" s="570">
        <f>+'Monthly Detail'!AL149-'Monthly Detail'!AK149</f>
        <v>0</v>
      </c>
      <c r="N35" s="319">
        <f>+'Monthly Detail'!AM149-'Monthly Detail'!AL149</f>
        <v>-6595.7678927698289</v>
      </c>
      <c r="O35" s="7"/>
      <c r="P35" s="565">
        <f>+SUM(C35:N35)</f>
        <v>-76595.767892769829</v>
      </c>
    </row>
    <row r="36" spans="2:16" ht="4.95" customHeight="1" thickBot="1" x14ac:dyDescent="0.35">
      <c r="B36" s="210"/>
      <c r="K36" s="78"/>
      <c r="P36" s="78"/>
    </row>
    <row r="37" spans="2:16" ht="15.6" customHeight="1" x14ac:dyDescent="0.3">
      <c r="B37" s="64" t="s">
        <v>156</v>
      </c>
      <c r="C37" s="65">
        <f>SUMIF('Monthly Detail'!$3:$3, '2024 Overview (Accrual Basis)'!C$11, 'Monthly Detail'!179:179)</f>
        <v>95197.939999999973</v>
      </c>
      <c r="D37" s="134">
        <f>SUMIF('Monthly Detail'!$3:$3, '2024 Overview (Accrual Basis)'!D$11, 'Monthly Detail'!179:179)</f>
        <v>146721.93</v>
      </c>
      <c r="E37" s="65">
        <f>SUMIF('Monthly Detail'!$3:$3, '2024 Overview (Accrual Basis)'!E$11, 'Monthly Detail'!179:179)</f>
        <v>152555.54</v>
      </c>
      <c r="F37" s="134">
        <f>SUMIF('Monthly Detail'!$3:$3, '2024 Overview (Accrual Basis)'!F$11, 'Monthly Detail'!179:179)</f>
        <v>82418.3</v>
      </c>
      <c r="G37" s="134">
        <f>SUMIF('Monthly Detail'!$3:$3, '2024 Overview (Accrual Basis)'!G$11, 'Monthly Detail'!179:179)</f>
        <v>53728.640000000014</v>
      </c>
      <c r="H37" s="134">
        <f>SUMIF('Monthly Detail'!$3:$3, '2024 Overview (Accrual Basis)'!H$11, 'Monthly Detail'!179:179)</f>
        <v>44539.60000000002</v>
      </c>
      <c r="I37" s="134">
        <f>SUMIF('Monthly Detail'!$3:$3, '2024 Overview (Accrual Basis)'!I$11, 'Monthly Detail'!179:179)</f>
        <v>27299.970000000019</v>
      </c>
      <c r="J37" s="134">
        <f>SUMIF('Monthly Detail'!$3:$3, '2024 Overview (Accrual Basis)'!J$11, 'Monthly Detail'!179:179)</f>
        <v>20509.540000000015</v>
      </c>
      <c r="K37" s="507">
        <f>SUMIF('Monthly Detail'!$3:$3, '2024 Overview (Accrual Basis)'!K$11, 'Monthly Detail'!179:179)</f>
        <v>33227.020000000019</v>
      </c>
      <c r="L37" s="134">
        <f>SUMIF('Monthly Detail'!$3:$3, '2024 Overview (Accrual Basis)'!L$11, 'Monthly Detail'!179:179)</f>
        <v>169214.67718884727</v>
      </c>
      <c r="M37" s="65">
        <f>SUMIF('Monthly Detail'!$3:$3, '2024 Overview (Accrual Basis)'!M$11, 'Monthly Detail'!179:179)</f>
        <v>190769.46533662349</v>
      </c>
      <c r="N37" s="472">
        <f>SUMIF('Monthly Detail'!$3:$3, '2024 Overview (Accrual Basis)'!N$11, 'Monthly Detail'!179:179)</f>
        <v>352788.93552211684</v>
      </c>
      <c r="P37" s="686" t="s">
        <v>461</v>
      </c>
    </row>
    <row r="38" spans="2:16" ht="15.6" customHeight="1" x14ac:dyDescent="0.3">
      <c r="B38" s="456" t="s">
        <v>157</v>
      </c>
      <c r="C38" s="318">
        <f>SUMIF('Monthly Detail'!$3:$3, '2024 Overview (Accrual Basis)'!C$11, 'Monthly Detail'!176:176)</f>
        <v>-99451.290000000008</v>
      </c>
      <c r="D38" s="317">
        <f>SUMIF('Monthly Detail'!$3:$3, '2024 Overview (Accrual Basis)'!D$11, 'Monthly Detail'!176:176)</f>
        <v>51523.990000000005</v>
      </c>
      <c r="E38" s="318">
        <f>SUMIF('Monthly Detail'!$3:$3, '2024 Overview (Accrual Basis)'!E$11, 'Monthly Detail'!176:176)</f>
        <v>5833.6100000000024</v>
      </c>
      <c r="F38" s="317">
        <f>SUMIF('Monthly Detail'!$3:$3, '2024 Overview (Accrual Basis)'!F$11, 'Monthly Detail'!176:176)</f>
        <v>-70137.240000000005</v>
      </c>
      <c r="G38" s="317">
        <f>SUMIF('Monthly Detail'!$3:$3, '2024 Overview (Accrual Basis)'!G$11, 'Monthly Detail'!176:176)</f>
        <v>-28689.659999999989</v>
      </c>
      <c r="H38" s="317">
        <f>SUMIF('Monthly Detail'!$3:$3, '2024 Overview (Accrual Basis)'!H$11, 'Monthly Detail'!176:176)</f>
        <v>-9189.0399999999936</v>
      </c>
      <c r="I38" s="317">
        <f>SUMIF('Monthly Detail'!$3:$3, '2024 Overview (Accrual Basis)'!I$11, 'Monthly Detail'!176:176)</f>
        <v>-17239.63</v>
      </c>
      <c r="J38" s="317">
        <f>SUMIF('Monthly Detail'!$3:$3, '2024 Overview (Accrual Basis)'!J$11, 'Monthly Detail'!176:176)</f>
        <v>-6790.4300000000021</v>
      </c>
      <c r="K38" s="508">
        <f>SUMIF('Monthly Detail'!$3:$3, '2024 Overview (Accrual Basis)'!K$11, 'Monthly Detail'!176:176)</f>
        <v>12717.480000000007</v>
      </c>
      <c r="L38" s="317">
        <f>SUMIF('Monthly Detail'!$3:$3, '2024 Overview (Accrual Basis)'!L$11, 'Monthly Detail'!176:176)</f>
        <v>135987.65718884725</v>
      </c>
      <c r="M38" s="318">
        <f>SUMIF('Monthly Detail'!$3:$3, '2024 Overview (Accrual Basis)'!M$11, 'Monthly Detail'!176:176)</f>
        <v>21554.788147776213</v>
      </c>
      <c r="N38" s="473">
        <f>SUMIF('Monthly Detail'!$3:$3, '2024 Overview (Accrual Basis)'!N$11, 'Monthly Detail'!176:176)</f>
        <v>162019.47018549335</v>
      </c>
      <c r="O38" s="283"/>
      <c r="P38" s="687"/>
    </row>
    <row r="39" spans="2:16" ht="15.6" customHeight="1" x14ac:dyDescent="0.3">
      <c r="B39" s="467" t="s">
        <v>457</v>
      </c>
      <c r="C39" s="468">
        <f>+C37+SUM('Monthly Detail'!AB82:AD82)</f>
        <v>-99139.880000000034</v>
      </c>
      <c r="D39" s="468">
        <f>+D37+SUM('Monthly Detail'!AC82:AE82)</f>
        <v>-9152.7399999999907</v>
      </c>
      <c r="E39" s="468">
        <f>+E37+SUM('Monthly Detail'!AD82:AF82)</f>
        <v>-12492.959999999992</v>
      </c>
      <c r="F39" s="468">
        <f>+F37+SUM('Monthly Detail'!AE82:AG82)</f>
        <v>-17294.11</v>
      </c>
      <c r="G39" s="468">
        <f>+G37+SUM('Monthly Detail'!AF82:AH82)</f>
        <v>-23126.539999999979</v>
      </c>
      <c r="H39" s="468">
        <f>+H37+SUM('Monthly Detail'!AG82:AI82)</f>
        <v>-46905.319999999963</v>
      </c>
      <c r="I39" s="468">
        <f>+I37+SUM('Monthly Detail'!AH82:AJ82)</f>
        <v>-61160.319999999978</v>
      </c>
      <c r="J39" s="468">
        <f>+J37+SUM('Monthly Detail'!AI82:AK82)</f>
        <v>-116604.07905</v>
      </c>
      <c r="K39" s="509">
        <f>+K37+SUM('Monthly Detail'!AJ82:AL82)</f>
        <v>-83431.359049999985</v>
      </c>
      <c r="L39" s="468">
        <f>+L37+SUM('Monthly Detail'!AK82:AM82)</f>
        <v>78310.998138847281</v>
      </c>
      <c r="M39" s="468">
        <f>+M37+SUM('Monthly Detail'!AL82:AN82)</f>
        <v>92750.911971002744</v>
      </c>
      <c r="N39" s="474">
        <f>+N37+SUM('Monthly Detail'!AM82:AO82)</f>
        <v>219421.9861424609</v>
      </c>
      <c r="P39" s="687"/>
    </row>
    <row r="40" spans="2:16" ht="16.2" customHeight="1" thickBot="1" x14ac:dyDescent="0.35">
      <c r="B40" s="66" t="s">
        <v>458</v>
      </c>
      <c r="C40" s="503">
        <f>+C37/-SUM('Monthly Detail'!AB82:AD82)</f>
        <v>0.48985802145974455</v>
      </c>
      <c r="D40" s="503">
        <f>+D37/-SUM('Monthly Detail'!AC82:AE82)</f>
        <v>0.94128141538326915</v>
      </c>
      <c r="E40" s="503">
        <f>+E37/-SUM('Monthly Detail'!AD82:AF82)</f>
        <v>0.92430733996370773</v>
      </c>
      <c r="F40" s="503">
        <f>+F37/-SUM('Monthly Detail'!AE82:AG82)</f>
        <v>0.82656010420367931</v>
      </c>
      <c r="G40" s="503">
        <f>+G37/-SUM('Monthly Detail'!AF82:AH82)</f>
        <v>0.69908937823058925</v>
      </c>
      <c r="H40" s="503">
        <f>+H37/-SUM('Monthly Detail'!AG82:AI82)</f>
        <v>0.48706478172871742</v>
      </c>
      <c r="I40" s="503">
        <f>+I37/-SUM('Monthly Detail'!AH82:AJ82)</f>
        <v>0.30861271198636159</v>
      </c>
      <c r="J40" s="503">
        <f>+J37/-SUM('Monthly Detail'!AI82:AK82)</f>
        <v>0.1495806189210204</v>
      </c>
      <c r="K40" s="510">
        <f>+K37/-SUM('Monthly Detail'!AJ82:AL82)</f>
        <v>0.28482326148007642</v>
      </c>
      <c r="L40" s="503">
        <f>+L37/-SUM('Monthly Detail'!AK82:AM82)</f>
        <v>1.8614722633588205</v>
      </c>
      <c r="M40" s="503">
        <f>+M37/-SUM('Monthly Detail'!AL82:AN82)</f>
        <v>1.9462587314978106</v>
      </c>
      <c r="N40" s="503">
        <f>+N37/-SUM('Monthly Detail'!AM82:AO82)</f>
        <v>2.6452500950429023</v>
      </c>
      <c r="O40" s="88"/>
      <c r="P40" s="688"/>
    </row>
    <row r="41" spans="2:16" x14ac:dyDescent="0.3">
      <c r="B41" s="77"/>
      <c r="E41" s="9"/>
      <c r="P41" s="78"/>
    </row>
    <row r="42" spans="2:16" x14ac:dyDescent="0.3">
      <c r="B42" s="77"/>
      <c r="P42" s="78"/>
    </row>
    <row r="43" spans="2:16" x14ac:dyDescent="0.3">
      <c r="B43" s="77"/>
      <c r="P43" s="78"/>
    </row>
    <row r="44" spans="2:16" x14ac:dyDescent="0.3">
      <c r="B44" s="77"/>
      <c r="P44" s="78"/>
    </row>
    <row r="45" spans="2:16" x14ac:dyDescent="0.3">
      <c r="B45" s="77"/>
      <c r="P45" s="78"/>
    </row>
    <row r="46" spans="2:16" x14ac:dyDescent="0.3">
      <c r="B46" s="77"/>
      <c r="P46" s="78"/>
    </row>
    <row r="47" spans="2:16" x14ac:dyDescent="0.3">
      <c r="B47" s="77"/>
      <c r="P47" s="78"/>
    </row>
    <row r="48" spans="2:16" x14ac:dyDescent="0.3">
      <c r="B48" s="77"/>
      <c r="P48" s="78"/>
    </row>
    <row r="49" spans="2:16" x14ac:dyDescent="0.3">
      <c r="B49" s="77"/>
      <c r="P49" s="78"/>
    </row>
    <row r="50" spans="2:16" x14ac:dyDescent="0.3">
      <c r="B50" s="77"/>
      <c r="P50" s="78"/>
    </row>
    <row r="51" spans="2:16" x14ac:dyDescent="0.3">
      <c r="B51" s="77"/>
      <c r="P51" s="78"/>
    </row>
    <row r="52" spans="2:16" x14ac:dyDescent="0.3">
      <c r="B52" s="77"/>
      <c r="P52" s="78"/>
    </row>
    <row r="53" spans="2:16" x14ac:dyDescent="0.3">
      <c r="B53" s="77"/>
      <c r="P53" s="78"/>
    </row>
    <row r="54" spans="2:16" x14ac:dyDescent="0.3">
      <c r="B54" s="77"/>
      <c r="P54" s="78"/>
    </row>
    <row r="55" spans="2:16" x14ac:dyDescent="0.3">
      <c r="B55" s="77"/>
      <c r="P55" s="78"/>
    </row>
    <row r="56" spans="2:16" x14ac:dyDescent="0.3">
      <c r="B56" s="77"/>
      <c r="P56" s="78"/>
    </row>
    <row r="57" spans="2:16" x14ac:dyDescent="0.3">
      <c r="B57" s="77"/>
      <c r="P57" s="78"/>
    </row>
    <row r="58" spans="2:16" ht="205.2" customHeight="1" thickBot="1" x14ac:dyDescent="0.35">
      <c r="B58" s="86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9"/>
    </row>
    <row r="64" spans="2:16" x14ac:dyDescent="0.3">
      <c r="D64" s="9"/>
    </row>
  </sheetData>
  <mergeCells count="2">
    <mergeCell ref="B8:P8"/>
    <mergeCell ref="P37:P40"/>
  </mergeCells>
  <conditionalFormatting sqref="C37:N37">
    <cfRule type="cellIs" dxfId="1" priority="1" operator="lessThan">
      <formula>0</formula>
    </cfRule>
  </conditionalFormatting>
  <pageMargins left="0.25" right="0.25" top="0.75" bottom="0.75" header="0.3" footer="0.3"/>
  <pageSetup scale="46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8772-01D7-46C2-BF6F-746A5777784B}">
  <sheetPr>
    <tabColor theme="1"/>
    <pageSetUpPr fitToPage="1"/>
  </sheetPr>
  <dimension ref="B1:S54"/>
  <sheetViews>
    <sheetView showGridLines="0" topLeftCell="B8" workbookViewId="0">
      <selection activeCell="B34" sqref="B34"/>
    </sheetView>
  </sheetViews>
  <sheetFormatPr defaultRowHeight="14.4" x14ac:dyDescent="0.3"/>
  <cols>
    <col min="2" max="2" width="46.33203125" bestFit="1" customWidth="1"/>
    <col min="3" max="3" width="12.33203125" bestFit="1" customWidth="1"/>
    <col min="4" max="5" width="14.6640625" bestFit="1" customWidth="1"/>
    <col min="6" max="14" width="12.44140625" bestFit="1" customWidth="1"/>
    <col min="15" max="15" width="1.33203125" customWidth="1"/>
    <col min="16" max="16" width="17.44140625" customWidth="1"/>
  </cols>
  <sheetData>
    <row r="1" spans="2:16" x14ac:dyDescent="0.3">
      <c r="B1" s="73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x14ac:dyDescent="0.3">
      <c r="B2" s="77"/>
      <c r="P2" s="78"/>
    </row>
    <row r="3" spans="2:16" x14ac:dyDescent="0.3">
      <c r="B3" s="77"/>
      <c r="P3" s="78"/>
    </row>
    <row r="4" spans="2:16" x14ac:dyDescent="0.3">
      <c r="B4" s="77"/>
      <c r="P4" s="78"/>
    </row>
    <row r="5" spans="2:16" x14ac:dyDescent="0.3">
      <c r="B5" s="77"/>
      <c r="P5" s="78"/>
    </row>
    <row r="6" spans="2:16" x14ac:dyDescent="0.3">
      <c r="B6" s="77"/>
      <c r="P6" s="78"/>
    </row>
    <row r="7" spans="2:16" x14ac:dyDescent="0.3">
      <c r="B7" s="77"/>
      <c r="P7" s="78"/>
    </row>
    <row r="8" spans="2:16" ht="23.4" x14ac:dyDescent="0.45">
      <c r="B8" s="681" t="s">
        <v>374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3"/>
    </row>
    <row r="9" spans="2:16" x14ac:dyDescent="0.3">
      <c r="B9" s="77"/>
      <c r="P9" s="78"/>
    </row>
    <row r="10" spans="2:16" ht="15.6" x14ac:dyDescent="0.3">
      <c r="B10" s="444"/>
      <c r="C10" s="303" t="str">
        <f>TEXT('Monthly Detail'!D3,"mmmm")</f>
        <v>January</v>
      </c>
      <c r="D10" s="303" t="str">
        <f>TEXT('Monthly Detail'!E3,"mmmm")</f>
        <v>February</v>
      </c>
      <c r="E10" s="303" t="str">
        <f>TEXT('Monthly Detail'!F3,"mmmm")</f>
        <v>March</v>
      </c>
      <c r="F10" s="303" t="str">
        <f>TEXT('Monthly Detail'!G3,"mmmm")</f>
        <v>April</v>
      </c>
      <c r="G10" s="302" t="str">
        <f>TEXT('Monthly Detail'!H3,"mmmm")</f>
        <v>May</v>
      </c>
      <c r="H10" s="303" t="str">
        <f>TEXT('Monthly Detail'!I3,"mmmm")</f>
        <v>June</v>
      </c>
      <c r="I10" s="303" t="str">
        <f>TEXT('Monthly Detail'!J3,"mmmm")</f>
        <v>July</v>
      </c>
      <c r="J10" s="303" t="str">
        <f>TEXT('Monthly Detail'!K3,"mmmm")</f>
        <v>August</v>
      </c>
      <c r="K10" s="303" t="str">
        <f>TEXT('Monthly Detail'!L3,"mmmm")</f>
        <v>September</v>
      </c>
      <c r="L10" s="303" t="str">
        <f>TEXT('Monthly Detail'!M3,"mmmm")</f>
        <v>October</v>
      </c>
      <c r="M10" s="303" t="str">
        <f>TEXT('Monthly Detail'!N3,"mmmm")</f>
        <v>November</v>
      </c>
      <c r="N10" s="303" t="str">
        <f>TEXT('Monthly Detail'!O3,"mmmm")</f>
        <v>December</v>
      </c>
      <c r="O10" s="304"/>
      <c r="P10" s="445" t="s">
        <v>0</v>
      </c>
    </row>
    <row r="11" spans="2:16" x14ac:dyDescent="0.3">
      <c r="B11" s="210"/>
      <c r="C11" s="72">
        <v>45322</v>
      </c>
      <c r="D11" s="72">
        <v>45351</v>
      </c>
      <c r="E11" s="72">
        <v>45382</v>
      </c>
      <c r="F11" s="72">
        <v>45412</v>
      </c>
      <c r="G11" s="12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78"/>
    </row>
    <row r="12" spans="2:16" x14ac:dyDescent="0.3">
      <c r="B12" s="211" t="s">
        <v>368</v>
      </c>
      <c r="C12" s="54">
        <f>SUMIF('Monthly Detail'!$3:$3, '2024 Overview (Cash Basis)'!C$11, 'Monthly Detail'!135:135)</f>
        <v>0</v>
      </c>
      <c r="D12" s="54">
        <f>SUMIF('Monthly Detail'!$3:$3, '2024 Overview (Cash Basis)'!D$11, 'Monthly Detail'!135:135)</f>
        <v>112500</v>
      </c>
      <c r="E12" s="54">
        <f>SUMIF('Monthly Detail'!$3:$3, '2024 Overview (Cash Basis)'!E$11, 'Monthly Detail'!135:135)</f>
        <v>112500</v>
      </c>
      <c r="F12" s="54">
        <f>SUMIF('Monthly Detail'!$3:$3, '2024 Overview (Cash Basis)'!F$11, 'Monthly Detail'!135:135)</f>
        <v>14766</v>
      </c>
      <c r="G12" s="123">
        <f>SUMIF('Monthly Detail'!$3:$3, '2024 Overview (Cash Basis)'!G$11, 'Monthly Detail'!135:135)</f>
        <v>7459.32</v>
      </c>
      <c r="H12" s="54">
        <f>SUMIF('Monthly Detail'!$3:$3, '2024 Overview (Cash Basis)'!H$11, 'Monthly Detail'!135:135)</f>
        <v>10928.64</v>
      </c>
      <c r="I12" s="54">
        <f>SUMIF('Monthly Detail'!$3:$3, '2024 Overview (Cash Basis)'!I$11, 'Monthly Detail'!135:135)</f>
        <v>700</v>
      </c>
      <c r="J12" s="54">
        <f>SUMIF('Monthly Detail'!$3:$3, '2024 Overview (Cash Basis)'!J$11, 'Monthly Detail'!135:135)</f>
        <v>31131</v>
      </c>
      <c r="K12" s="54">
        <f>SUMIF('Monthly Detail'!$3:$3, '2024 Overview (Cash Basis)'!K$11, 'Monthly Detail'!135:135)</f>
        <v>49010.3</v>
      </c>
      <c r="L12" s="54">
        <f>SUMIF('Monthly Detail'!$3:$3, '2024 Overview (Cash Basis)'!L$11, 'Monthly Detail'!135:135)</f>
        <v>115381.11</v>
      </c>
      <c r="M12" s="54">
        <f>SUMIF('Monthly Detail'!$3:$3, '2024 Overview (Cash Basis)'!M$11, 'Monthly Detail'!135:135)</f>
        <v>40916.666666666664</v>
      </c>
      <c r="N12" s="54">
        <f>SUMIF('Monthly Detail'!$3:$3, '2024 Overview (Cash Basis)'!N$11, 'Monthly Detail'!135:135)</f>
        <v>98100</v>
      </c>
      <c r="O12" s="54"/>
      <c r="P12" s="446">
        <f>SUM(C12:O12)</f>
        <v>593393.03666666662</v>
      </c>
    </row>
    <row r="13" spans="2:16" x14ac:dyDescent="0.3">
      <c r="B13" s="211" t="s">
        <v>369</v>
      </c>
      <c r="C13" s="54">
        <f>SUMIF('Monthly Detail'!$3:$3, '2024 Overview (Cash Basis)'!C$11, 'Monthly Detail'!7:7)</f>
        <v>0</v>
      </c>
      <c r="D13" s="54">
        <f>SUMIF('Monthly Detail'!$3:$3, '2024 Overview (Cash Basis)'!D$11, 'Monthly Detail'!7:7)</f>
        <v>0</v>
      </c>
      <c r="E13" s="54">
        <f>SUMIF('Monthly Detail'!$3:$3, '2024 Overview (Cash Basis)'!E$11, 'Monthly Detail'!7:7)</f>
        <v>0</v>
      </c>
      <c r="F13" s="54">
        <f>SUMIF('Monthly Detail'!$3:$3, '2024 Overview (Cash Basis)'!F$11, 'Monthly Detail'!7:7)</f>
        <v>0</v>
      </c>
      <c r="G13" s="123">
        <f>SUMIF('Monthly Detail'!$3:$3, '2024 Overview (Cash Basis)'!G$11, 'Monthly Detail'!7:7)</f>
        <v>5464.32</v>
      </c>
      <c r="H13" s="54">
        <f>SUMIF('Monthly Detail'!$3:$3, '2024 Overview (Cash Basis)'!H$11, 'Monthly Detail'!7:7)</f>
        <v>10928.64</v>
      </c>
      <c r="I13" s="54">
        <f>SUMIF('Monthly Detail'!$3:$3, '2024 Overview (Cash Basis)'!I$11, 'Monthly Detail'!7:7)</f>
        <v>700</v>
      </c>
      <c r="J13" s="54">
        <f>SUMIF('Monthly Detail'!$3:$3, '2024 Overview (Cash Basis)'!J$11, 'Monthly Detail'!7:7)</f>
        <v>45897</v>
      </c>
      <c r="K13" s="54">
        <f>SUMIF('Monthly Detail'!$3:$3, '2024 Overview (Cash Basis)'!K$11, 'Monthly Detail'!7:7)</f>
        <v>49010.3</v>
      </c>
      <c r="L13" s="54">
        <f>SUMIF('Monthly Detail'!$3:$3, '2024 Overview (Cash Basis)'!L$11, 'Monthly Detail'!7:7)</f>
        <v>115381.11</v>
      </c>
      <c r="M13" s="54">
        <f>SUMIF('Monthly Detail'!$3:$3, '2024 Overview (Cash Basis)'!M$11, 'Monthly Detail'!7:7)</f>
        <v>40916.666666666664</v>
      </c>
      <c r="N13" s="54">
        <f>SUMIF('Monthly Detail'!$3:$3, '2024 Overview (Cash Basis)'!N$11, 'Monthly Detail'!7:7)</f>
        <v>8100.0000000000009</v>
      </c>
      <c r="O13" s="54"/>
      <c r="P13" s="446">
        <f>SUM(C13:O13)</f>
        <v>276398.03666666668</v>
      </c>
    </row>
    <row r="14" spans="2:16" x14ac:dyDescent="0.3">
      <c r="B14" s="212" t="s">
        <v>3</v>
      </c>
      <c r="C14" s="55">
        <f>SUM(C12:C13)</f>
        <v>0</v>
      </c>
      <c r="D14" s="55">
        <f t="shared" ref="D14:N14" si="0">SUM(D12:D13)</f>
        <v>112500</v>
      </c>
      <c r="E14" s="55">
        <f t="shared" si="0"/>
        <v>112500</v>
      </c>
      <c r="F14" s="55">
        <f t="shared" si="0"/>
        <v>14766</v>
      </c>
      <c r="G14" s="124">
        <f t="shared" si="0"/>
        <v>12923.64</v>
      </c>
      <c r="H14" s="55">
        <f t="shared" si="0"/>
        <v>21857.279999999999</v>
      </c>
      <c r="I14" s="55">
        <f t="shared" si="0"/>
        <v>1400</v>
      </c>
      <c r="J14" s="55">
        <f t="shared" si="0"/>
        <v>77028</v>
      </c>
      <c r="K14" s="55">
        <f t="shared" si="0"/>
        <v>98020.6</v>
      </c>
      <c r="L14" s="55">
        <f t="shared" si="0"/>
        <v>230762.22</v>
      </c>
      <c r="M14" s="55">
        <f t="shared" si="0"/>
        <v>81833.333333333328</v>
      </c>
      <c r="N14" s="55">
        <f t="shared" si="0"/>
        <v>106200</v>
      </c>
      <c r="O14" s="56"/>
      <c r="P14" s="447">
        <f>SUM(P12:P13)</f>
        <v>869791.07333333325</v>
      </c>
    </row>
    <row r="15" spans="2:16" ht="3.6" customHeight="1" x14ac:dyDescent="0.3">
      <c r="B15" s="213"/>
      <c r="C15" s="296"/>
      <c r="D15" s="296"/>
      <c r="E15" s="296"/>
      <c r="F15" s="296"/>
      <c r="G15" s="297"/>
      <c r="H15" s="296"/>
      <c r="I15" s="296"/>
      <c r="J15" s="296"/>
      <c r="K15" s="296"/>
      <c r="L15" s="296"/>
      <c r="M15" s="296"/>
      <c r="N15" s="296"/>
      <c r="O15" s="56"/>
      <c r="P15" s="448" t="s">
        <v>371</v>
      </c>
    </row>
    <row r="16" spans="2:16" x14ac:dyDescent="0.3">
      <c r="B16" s="211" t="s">
        <v>363</v>
      </c>
      <c r="C16" s="57">
        <f>SUMIF('Monthly Detail'!$3:$3, '2024 Overview (Cash Basis)'!C$11, 'Monthly Detail'!23:23)</f>
        <v>9331.41</v>
      </c>
      <c r="D16" s="57">
        <f>SUMIF('Monthly Detail'!$3:$3, '2024 Overview (Cash Basis)'!D$11, 'Monthly Detail'!23:23)</f>
        <v>11043.19</v>
      </c>
      <c r="E16" s="57">
        <f>SUMIF('Monthly Detail'!$3:$3, '2024 Overview (Cash Basis)'!E$11, 'Monthly Detail'!23:23)</f>
        <v>12624.47</v>
      </c>
      <c r="F16" s="57">
        <f>SUMIF('Monthly Detail'!$3:$3, '2024 Overview (Cash Basis)'!F$11, 'Monthly Detail'!23:23)</f>
        <v>2249.58</v>
      </c>
      <c r="G16" s="125">
        <f>SUMIF('Monthly Detail'!$3:$3, '2024 Overview (Cash Basis)'!G$11, 'Monthly Detail'!23:23)</f>
        <v>1056.1600000000001</v>
      </c>
      <c r="H16" s="57">
        <f>SUMIF('Monthly Detail'!$3:$3, '2024 Overview (Cash Basis)'!H$11, 'Monthly Detail'!23:23)</f>
        <v>9369.24</v>
      </c>
      <c r="I16" s="57">
        <f>SUMIF('Monthly Detail'!$3:$3, '2024 Overview (Cash Basis)'!I$11, 'Monthly Detail'!23:23)</f>
        <v>1419</v>
      </c>
      <c r="J16" s="57">
        <f>SUMIF('Monthly Detail'!$3:$3, '2024 Overview (Cash Basis)'!J$11, 'Monthly Detail'!23:23)</f>
        <v>75</v>
      </c>
      <c r="K16" s="57">
        <f>SUMIF('Monthly Detail'!$3:$3, '2024 Overview (Cash Basis)'!K$11, 'Monthly Detail'!23:23)</f>
        <v>9450.67</v>
      </c>
      <c r="L16" s="57">
        <f>SUMIF('Monthly Detail'!$3:$3, '2024 Overview (Cash Basis)'!L$11, 'Monthly Detail'!23:23)</f>
        <v>0</v>
      </c>
      <c r="M16" s="57">
        <f>SUMIF('Monthly Detail'!$3:$3, '2024 Overview (Cash Basis)'!M$11, 'Monthly Detail'!23:23)</f>
        <v>0</v>
      </c>
      <c r="N16" s="57">
        <f>SUMIF('Monthly Detail'!$3:$3, '2024 Overview (Cash Basis)'!N$11, 'Monthly Detail'!23:23)</f>
        <v>0</v>
      </c>
      <c r="P16" s="449">
        <f t="shared" ref="P16:P18" si="1">SUM(C16:O16)</f>
        <v>56618.720000000001</v>
      </c>
    </row>
    <row r="17" spans="2:19" x14ac:dyDescent="0.3">
      <c r="B17" s="211" t="s">
        <v>364</v>
      </c>
      <c r="C17" s="57">
        <f>SUMIF('Monthly Detail'!$3:$3, '2024 Overview (Cash Basis)'!C$11, 'Monthly Detail'!24:24)</f>
        <v>56252.97</v>
      </c>
      <c r="D17" s="57">
        <f>SUMIF('Monthly Detail'!$3:$3, '2024 Overview (Cash Basis)'!D$11, 'Monthly Detail'!24:24)</f>
        <v>2687.55</v>
      </c>
      <c r="E17" s="57">
        <f>SUMIF('Monthly Detail'!$3:$3, '2024 Overview (Cash Basis)'!E$11, 'Monthly Detail'!24:24)</f>
        <v>92525.62</v>
      </c>
      <c r="F17" s="57">
        <f>SUMIF('Monthly Detail'!$3:$3, '2024 Overview (Cash Basis)'!F$11, 'Monthly Detail'!24:24)</f>
        <v>22100.17</v>
      </c>
      <c r="G17" s="125">
        <f>SUMIF('Monthly Detail'!$3:$3, '2024 Overview (Cash Basis)'!G$11, 'Monthly Detail'!24:24)</f>
        <v>22336</v>
      </c>
      <c r="H17" s="57">
        <f>SUMIF('Monthly Detail'!$3:$3, '2024 Overview (Cash Basis)'!H$11, 'Monthly Detail'!24:24)</f>
        <v>14367</v>
      </c>
      <c r="I17" s="57">
        <f>SUMIF('Monthly Detail'!$3:$3, '2024 Overview (Cash Basis)'!I$11, 'Monthly Detail'!24:24)</f>
        <v>880</v>
      </c>
      <c r="J17" s="57">
        <f>SUMIF('Monthly Detail'!$3:$3, '2024 Overview (Cash Basis)'!J$11, 'Monthly Detail'!24:24)</f>
        <v>0</v>
      </c>
      <c r="K17" s="57">
        <f>SUMIF('Monthly Detail'!$3:$3, '2024 Overview (Cash Basis)'!K$11, 'Monthly Detail'!24:24)</f>
        <v>0</v>
      </c>
      <c r="L17" s="57">
        <f>SUMIF('Monthly Detail'!$3:$3, '2024 Overview (Cash Basis)'!L$11, 'Monthly Detail'!24:24)</f>
        <v>0</v>
      </c>
      <c r="M17" s="57">
        <f>SUMIF('Monthly Detail'!$3:$3, '2024 Overview (Cash Basis)'!M$11, 'Monthly Detail'!24:24)</f>
        <v>0</v>
      </c>
      <c r="N17" s="57">
        <f>SUMIF('Monthly Detail'!$3:$3, '2024 Overview (Cash Basis)'!N$11, 'Monthly Detail'!24:24)</f>
        <v>0</v>
      </c>
      <c r="P17" s="449">
        <f t="shared" si="1"/>
        <v>211149.31</v>
      </c>
    </row>
    <row r="18" spans="2:19" x14ac:dyDescent="0.3">
      <c r="B18" s="211" t="s">
        <v>365</v>
      </c>
      <c r="C18" s="57">
        <f>SUMIF('Monthly Detail'!$3:$3, '2024 Overview (Cash Basis)'!C$11, 'Monthly Detail'!25:25)</f>
        <v>0</v>
      </c>
      <c r="D18" s="57">
        <f>SUMIF('Monthly Detail'!$3:$3, '2024 Overview (Cash Basis)'!D$11, 'Monthly Detail'!25:25)</f>
        <v>0</v>
      </c>
      <c r="E18" s="57">
        <f>SUMIF('Monthly Detail'!$3:$3, '2024 Overview (Cash Basis)'!E$11, 'Monthly Detail'!25:25)</f>
        <v>0</v>
      </c>
      <c r="F18" s="57">
        <f>SUMIF('Monthly Detail'!$3:$3, '2024 Overview (Cash Basis)'!F$11, 'Monthly Detail'!25:25)</f>
        <v>0</v>
      </c>
      <c r="G18" s="125">
        <f>SUMIF('Monthly Detail'!$3:$3, '2024 Overview (Cash Basis)'!G$11, 'Monthly Detail'!25:25)</f>
        <v>735</v>
      </c>
      <c r="H18" s="57">
        <f>SUMIF('Monthly Detail'!$3:$3, '2024 Overview (Cash Basis)'!H$11, 'Monthly Detail'!25:25)</f>
        <v>11876</v>
      </c>
      <c r="I18" s="57">
        <f>SUMIF('Monthly Detail'!$3:$3, '2024 Overview (Cash Basis)'!I$11, 'Monthly Detail'!25:25)</f>
        <v>600</v>
      </c>
      <c r="J18" s="57">
        <f>SUMIF('Monthly Detail'!$3:$3, '2024 Overview (Cash Basis)'!J$11, 'Monthly Detail'!25:25)</f>
        <v>39200</v>
      </c>
      <c r="K18" s="57">
        <f>SUMIF('Monthly Detail'!$3:$3, '2024 Overview (Cash Basis)'!K$11, 'Monthly Detail'!25:25)</f>
        <v>26774</v>
      </c>
      <c r="L18" s="57">
        <f>SUMIF('Monthly Detail'!$3:$3, '2024 Overview (Cash Basis)'!L$11, 'Monthly Detail'!25:25)</f>
        <v>50514.349049999997</v>
      </c>
      <c r="M18" s="57">
        <f>SUMIF('Monthly Detail'!$3:$3, '2024 Overview (Cash Basis)'!M$11, 'Monthly Detail'!25:25)</f>
        <v>19422.749999999996</v>
      </c>
      <c r="N18" s="57">
        <f>SUMIF('Monthly Detail'!$3:$3, '2024 Overview (Cash Basis)'!N$11, 'Monthly Detail'!25:25)</f>
        <v>8550</v>
      </c>
      <c r="P18" s="449">
        <f t="shared" si="1"/>
        <v>157672.09904999999</v>
      </c>
    </row>
    <row r="19" spans="2:19" ht="15.6" x14ac:dyDescent="0.3">
      <c r="B19" s="214" t="s">
        <v>149</v>
      </c>
      <c r="C19" s="69">
        <f t="shared" ref="C19:N19" si="2">C14-SUM(C16:C18)</f>
        <v>-65584.38</v>
      </c>
      <c r="D19" s="69">
        <f t="shared" si="2"/>
        <v>98769.26</v>
      </c>
      <c r="E19" s="69">
        <f t="shared" si="2"/>
        <v>7349.9100000000035</v>
      </c>
      <c r="F19" s="69">
        <f t="shared" si="2"/>
        <v>-9583.75</v>
      </c>
      <c r="G19" s="126">
        <f t="shared" si="2"/>
        <v>-11203.52</v>
      </c>
      <c r="H19" s="69">
        <f t="shared" si="2"/>
        <v>-13754.96</v>
      </c>
      <c r="I19" s="69">
        <f t="shared" si="2"/>
        <v>-1499</v>
      </c>
      <c r="J19" s="69">
        <f t="shared" si="2"/>
        <v>37753</v>
      </c>
      <c r="K19" s="69">
        <f t="shared" si="2"/>
        <v>61795.930000000008</v>
      </c>
      <c r="L19" s="69">
        <f t="shared" si="2"/>
        <v>180247.87095000001</v>
      </c>
      <c r="M19" s="69">
        <f t="shared" si="2"/>
        <v>62410.583333333328</v>
      </c>
      <c r="N19" s="69">
        <f t="shared" si="2"/>
        <v>97650</v>
      </c>
      <c r="O19" s="310"/>
      <c r="P19" s="450">
        <f>P14-SUM(P16:P18)</f>
        <v>444350.94428333326</v>
      </c>
    </row>
    <row r="20" spans="2:19" x14ac:dyDescent="0.3">
      <c r="B20" s="215" t="s">
        <v>378</v>
      </c>
      <c r="C20" s="71">
        <f>+IFERROR(C12-SUM(C16:C17)/C12, 0)</f>
        <v>0</v>
      </c>
      <c r="D20" s="71">
        <f t="shared" ref="D20:N20" si="3">+IFERROR((D12-SUM(D16:D17))/D12, 0)</f>
        <v>0.87794897777777769</v>
      </c>
      <c r="E20" s="71">
        <f t="shared" si="3"/>
        <v>6.5332533333333359E-2</v>
      </c>
      <c r="F20" s="71">
        <f t="shared" si="3"/>
        <v>-0.6490417174590275</v>
      </c>
      <c r="G20" s="127">
        <f t="shared" si="3"/>
        <v>-2.1359641361410961</v>
      </c>
      <c r="H20" s="71">
        <f t="shared" si="3"/>
        <v>-1.1719299016163036</v>
      </c>
      <c r="I20" s="71">
        <f t="shared" si="3"/>
        <v>-2.2842857142857143</v>
      </c>
      <c r="J20" s="71">
        <f t="shared" si="3"/>
        <v>0.99759082586489356</v>
      </c>
      <c r="K20" s="71">
        <f t="shared" si="3"/>
        <v>0.80716971738593724</v>
      </c>
      <c r="L20" s="71">
        <f t="shared" si="3"/>
        <v>1</v>
      </c>
      <c r="M20" s="71">
        <f t="shared" si="3"/>
        <v>1</v>
      </c>
      <c r="N20" s="71">
        <f t="shared" si="3"/>
        <v>1</v>
      </c>
      <c r="O20" s="7"/>
      <c r="P20" s="451">
        <f>((P12-SUM(P16:P17))/P12)</f>
        <v>0.54875097371522341</v>
      </c>
    </row>
    <row r="21" spans="2:19" x14ac:dyDescent="0.3">
      <c r="B21" s="215" t="s">
        <v>379</v>
      </c>
      <c r="C21" s="71">
        <f t="shared" ref="C21:N21" si="4">+IFERROR((C13-C18)/C13, 0)</f>
        <v>0</v>
      </c>
      <c r="D21" s="71">
        <f t="shared" si="4"/>
        <v>0</v>
      </c>
      <c r="E21" s="71">
        <f t="shared" si="4"/>
        <v>0</v>
      </c>
      <c r="F21" s="71">
        <f t="shared" si="4"/>
        <v>0</v>
      </c>
      <c r="G21" s="127">
        <f t="shared" si="4"/>
        <v>0.86549104005621924</v>
      </c>
      <c r="H21" s="71">
        <f t="shared" si="4"/>
        <v>-8.6685992035605591E-2</v>
      </c>
      <c r="I21" s="71">
        <f t="shared" si="4"/>
        <v>0.14285714285714285</v>
      </c>
      <c r="J21" s="71">
        <f t="shared" si="4"/>
        <v>0.14591367627513782</v>
      </c>
      <c r="K21" s="71">
        <f t="shared" si="4"/>
        <v>0.45370666982246594</v>
      </c>
      <c r="L21" s="71">
        <f t="shared" si="4"/>
        <v>0.5621956744045884</v>
      </c>
      <c r="M21" s="71">
        <f t="shared" si="4"/>
        <v>0.52530957230142572</v>
      </c>
      <c r="N21" s="71">
        <f t="shared" si="4"/>
        <v>-5.5555555555555435E-2</v>
      </c>
      <c r="O21" s="7"/>
      <c r="P21" s="451">
        <f>((P13-P18))/P13</f>
        <v>0.4295469644013753</v>
      </c>
    </row>
    <row r="22" spans="2:19" x14ac:dyDescent="0.3">
      <c r="B22" s="210"/>
      <c r="G22" s="92"/>
      <c r="P22" s="78"/>
    </row>
    <row r="23" spans="2:19" x14ac:dyDescent="0.3">
      <c r="B23" s="210" t="s">
        <v>387</v>
      </c>
      <c r="C23" s="54">
        <f>SUMIF('Monthly Detail'!$3:$3, '2024 Overview (Cash Basis)'!C$11, 'Monthly Detail'!$41:$41)</f>
        <v>0</v>
      </c>
      <c r="D23" s="54">
        <f>SUMIF('Monthly Detail'!$3:$3, '2024 Overview (Cash Basis)'!D$11, 'Monthly Detail'!$41:$41)</f>
        <v>2489.27</v>
      </c>
      <c r="E23" s="54">
        <f>SUMIF('Monthly Detail'!$3:$3, '2024 Overview (Cash Basis)'!E$11, 'Monthly Detail'!$41:$41)</f>
        <v>0</v>
      </c>
      <c r="F23" s="54">
        <f>SUMIF('Monthly Detail'!$3:$3, '2024 Overview (Cash Basis)'!F$11, 'Monthly Detail'!$41:$41)</f>
        <v>0</v>
      </c>
      <c r="G23" s="123">
        <f>SUMIF('Monthly Detail'!$3:$3, '2024 Overview (Cash Basis)'!G$11, 'Monthly Detail'!$41:$41)</f>
        <v>108.38</v>
      </c>
      <c r="H23" s="54">
        <f>SUMIF('Monthly Detail'!$3:$3, '2024 Overview (Cash Basis)'!H$11, 'Monthly Detail'!$41:$41)</f>
        <v>600</v>
      </c>
      <c r="I23" s="54">
        <f>SUMIF('Monthly Detail'!$3:$3, '2024 Overview (Cash Basis)'!I$11, 'Monthly Detail'!$41:$41)</f>
        <v>0</v>
      </c>
      <c r="J23" s="54">
        <f>SUMIF('Monthly Detail'!$3:$3, '2024 Overview (Cash Basis)'!J$11, 'Monthly Detail'!$41:$41)</f>
        <v>1799</v>
      </c>
      <c r="K23" s="54">
        <f>SUMIF('Monthly Detail'!$3:$3, '2024 Overview (Cash Basis)'!K$11, 'Monthly Detail'!$41:$41)</f>
        <v>35</v>
      </c>
      <c r="L23" s="54">
        <f>SUMIF('Monthly Detail'!$3:$3, '2024 Overview (Cash Basis)'!L$11, 'Monthly Detail'!$41:$41)</f>
        <v>600</v>
      </c>
      <c r="M23" s="54">
        <f>SUMIF('Monthly Detail'!$3:$3, '2024 Overview (Cash Basis)'!M$11, 'Monthly Detail'!$41:$41)</f>
        <v>600</v>
      </c>
      <c r="N23" s="54">
        <f>SUMIF('Monthly Detail'!$3:$3, '2024 Overview (Cash Basis)'!N$11, 'Monthly Detail'!$41:$41)</f>
        <v>600</v>
      </c>
      <c r="P23" s="446">
        <f>SUM(C23:O23)</f>
        <v>6831.65</v>
      </c>
    </row>
    <row r="24" spans="2:19" x14ac:dyDescent="0.3">
      <c r="B24" s="210" t="s">
        <v>186</v>
      </c>
      <c r="C24" s="54">
        <f>SUMIF('Monthly Detail'!$3:$3, '2024 Overview (Cash Basis)'!C$11, 'Monthly Detail'!$75:$75)</f>
        <v>1735.88</v>
      </c>
      <c r="D24" s="54">
        <f>SUMIF('Monthly Detail'!$3:$3, '2024 Overview (Cash Basis)'!D$11, 'Monthly Detail'!$75:$75)</f>
        <v>4033.27</v>
      </c>
      <c r="E24" s="54">
        <f>SUMIF('Monthly Detail'!$3:$3, '2024 Overview (Cash Basis)'!E$11, 'Monthly Detail'!$75:$75)</f>
        <v>1614.19</v>
      </c>
      <c r="F24" s="54">
        <f>SUMIF('Monthly Detail'!$3:$3, '2024 Overview (Cash Basis)'!F$11, 'Monthly Detail'!$75:$75)</f>
        <v>4507.3599999999997</v>
      </c>
      <c r="G24" s="123">
        <f>SUMIF('Monthly Detail'!$3:$3, '2024 Overview (Cash Basis)'!G$11, 'Monthly Detail'!$75:$75)</f>
        <v>5191.57</v>
      </c>
      <c r="H24" s="54">
        <f>SUMIF('Monthly Detail'!$3:$3, '2024 Overview (Cash Basis)'!H$11, 'Monthly Detail'!$75:$75)</f>
        <v>5215.9499999999989</v>
      </c>
      <c r="I24" s="54">
        <f>SUMIF('Monthly Detail'!$3:$3, '2024 Overview (Cash Basis)'!I$11, 'Monthly Detail'!$75:$75)</f>
        <v>3100.88</v>
      </c>
      <c r="J24" s="54">
        <f>SUMIF('Monthly Detail'!$3:$3, '2024 Overview (Cash Basis)'!J$11, 'Monthly Detail'!$75:$75)</f>
        <v>2942.8500000000004</v>
      </c>
      <c r="K24" s="54">
        <f>SUMIF('Monthly Detail'!$3:$3, '2024 Overview (Cash Basis)'!K$11, 'Monthly Detail'!$75:$75)</f>
        <v>2183.8900000000003</v>
      </c>
      <c r="L24" s="54">
        <f>SUMIF('Monthly Detail'!$3:$3, '2024 Overview (Cash Basis)'!L$11, 'Monthly Detail'!$75:$75)</f>
        <v>3538.86</v>
      </c>
      <c r="M24" s="54">
        <f>SUMIF('Monthly Detail'!$3:$3, '2024 Overview (Cash Basis)'!M$11, 'Monthly Detail'!$75:$75)</f>
        <v>3538.86</v>
      </c>
      <c r="N24" s="54">
        <f>SUMIF('Monthly Detail'!$3:$3, '2024 Overview (Cash Basis)'!N$11, 'Monthly Detail'!$75:$75)</f>
        <v>3538.86</v>
      </c>
      <c r="P24" s="446">
        <f>SUM(C24:O24)</f>
        <v>41142.420000000006</v>
      </c>
      <c r="S24" s="1"/>
    </row>
    <row r="25" spans="2:19" x14ac:dyDescent="0.3">
      <c r="B25" s="216" t="s">
        <v>151</v>
      </c>
      <c r="C25" s="60">
        <f t="shared" ref="C25:N25" si="5">SUM(C24:C24)</f>
        <v>1735.88</v>
      </c>
      <c r="D25" s="60">
        <f t="shared" si="5"/>
        <v>4033.27</v>
      </c>
      <c r="E25" s="60">
        <f t="shared" si="5"/>
        <v>1614.19</v>
      </c>
      <c r="F25" s="60">
        <f t="shared" si="5"/>
        <v>4507.3599999999997</v>
      </c>
      <c r="G25" s="128">
        <f t="shared" si="5"/>
        <v>5191.57</v>
      </c>
      <c r="H25" s="60">
        <f t="shared" si="5"/>
        <v>5215.9499999999989</v>
      </c>
      <c r="I25" s="60">
        <f t="shared" si="5"/>
        <v>3100.88</v>
      </c>
      <c r="J25" s="60">
        <f t="shared" si="5"/>
        <v>2942.8500000000004</v>
      </c>
      <c r="K25" s="60">
        <f t="shared" si="5"/>
        <v>2183.8900000000003</v>
      </c>
      <c r="L25" s="60">
        <f t="shared" si="5"/>
        <v>3538.86</v>
      </c>
      <c r="M25" s="60">
        <f t="shared" si="5"/>
        <v>3538.86</v>
      </c>
      <c r="N25" s="60">
        <f t="shared" si="5"/>
        <v>3538.86</v>
      </c>
      <c r="O25" s="312"/>
      <c r="P25" s="452">
        <f>SUM(P23:P24)</f>
        <v>47974.070000000007</v>
      </c>
    </row>
    <row r="26" spans="2:19" x14ac:dyDescent="0.3">
      <c r="B26" s="210"/>
      <c r="G26" s="92"/>
      <c r="P26" s="78"/>
    </row>
    <row r="27" spans="2:19" ht="15.6" x14ac:dyDescent="0.3">
      <c r="B27" s="214" t="s">
        <v>152</v>
      </c>
      <c r="C27" s="69">
        <f t="shared" ref="C27:N27" si="6">C19-C25</f>
        <v>-67320.260000000009</v>
      </c>
      <c r="D27" s="69">
        <f t="shared" si="6"/>
        <v>94735.989999999991</v>
      </c>
      <c r="E27" s="69">
        <f t="shared" si="6"/>
        <v>5735.720000000003</v>
      </c>
      <c r="F27" s="69">
        <f t="shared" si="6"/>
        <v>-14091.11</v>
      </c>
      <c r="G27" s="126">
        <f t="shared" si="6"/>
        <v>-16395.09</v>
      </c>
      <c r="H27" s="69">
        <f t="shared" si="6"/>
        <v>-18970.909999999996</v>
      </c>
      <c r="I27" s="69">
        <f t="shared" si="6"/>
        <v>-4599.88</v>
      </c>
      <c r="J27" s="69">
        <f t="shared" si="6"/>
        <v>34810.15</v>
      </c>
      <c r="K27" s="69">
        <f t="shared" si="6"/>
        <v>59612.040000000008</v>
      </c>
      <c r="L27" s="69">
        <f t="shared" si="6"/>
        <v>176709.01095000003</v>
      </c>
      <c r="M27" s="69">
        <f t="shared" si="6"/>
        <v>58871.723333333328</v>
      </c>
      <c r="N27" s="69">
        <f t="shared" si="6"/>
        <v>94111.14</v>
      </c>
      <c r="O27" s="310"/>
      <c r="P27" s="450">
        <f>P19-P25</f>
        <v>396376.87428333325</v>
      </c>
    </row>
    <row r="28" spans="2:19" x14ac:dyDescent="0.3">
      <c r="B28" s="215" t="s">
        <v>153</v>
      </c>
      <c r="C28" s="71">
        <f t="shared" ref="C28:N28" si="7">+IFERROR(C27/C14, 0)</f>
        <v>0</v>
      </c>
      <c r="D28" s="71">
        <f t="shared" si="7"/>
        <v>0.84209768888888881</v>
      </c>
      <c r="E28" s="71">
        <f t="shared" si="7"/>
        <v>5.0984177777777806E-2</v>
      </c>
      <c r="F28" s="71">
        <f t="shared" si="7"/>
        <v>-0.95429432480021681</v>
      </c>
      <c r="G28" s="127">
        <f t="shared" si="7"/>
        <v>-1.2686124033167128</v>
      </c>
      <c r="H28" s="71">
        <f t="shared" si="7"/>
        <v>-0.86794468479152009</v>
      </c>
      <c r="I28" s="71">
        <f t="shared" si="7"/>
        <v>-3.2856285714285716</v>
      </c>
      <c r="J28" s="71">
        <f t="shared" si="7"/>
        <v>0.45191553720724931</v>
      </c>
      <c r="K28" s="71">
        <f t="shared" si="7"/>
        <v>0.60815828509517389</v>
      </c>
      <c r="L28" s="71">
        <f t="shared" si="7"/>
        <v>0.76576231130901773</v>
      </c>
      <c r="M28" s="71">
        <f t="shared" si="7"/>
        <v>0.71941006109979633</v>
      </c>
      <c r="N28" s="71">
        <f t="shared" si="7"/>
        <v>0.8861689265536723</v>
      </c>
      <c r="O28" s="7"/>
      <c r="P28" s="451">
        <f>P27/P14</f>
        <v>0.45571504058357731</v>
      </c>
    </row>
    <row r="29" spans="2:19" x14ac:dyDescent="0.3">
      <c r="B29" s="217"/>
      <c r="C29" s="63"/>
      <c r="D29" s="63"/>
      <c r="E29" s="63"/>
      <c r="F29" s="63"/>
      <c r="G29" s="129"/>
      <c r="H29" s="63"/>
      <c r="I29" s="63"/>
      <c r="J29" s="63"/>
      <c r="K29" s="63"/>
      <c r="L29" s="63"/>
      <c r="M29" s="63"/>
      <c r="N29" s="63"/>
      <c r="P29" s="453"/>
    </row>
    <row r="30" spans="2:19" x14ac:dyDescent="0.3">
      <c r="B30" s="210" t="s">
        <v>154</v>
      </c>
      <c r="C30" s="108">
        <f>SUMIF('Monthly Detail'!$3:$3, '2024 Overview (Cash Basis)'!C$11, 'Monthly Detail'!88:88)</f>
        <v>0</v>
      </c>
      <c r="D30" s="108">
        <f>SUMIF('Monthly Detail'!$3:$3, '2024 Overview (Cash Basis)'!D$11, 'Monthly Detail'!88:88)</f>
        <v>0</v>
      </c>
      <c r="E30" s="108">
        <f>SUMIF('Monthly Detail'!$3:$3, '2024 Overview (Cash Basis)'!E$11, 'Monthly Detail'!88:88)</f>
        <v>0</v>
      </c>
      <c r="F30" s="108">
        <f>SUMIF('Monthly Detail'!$3:$3, '2024 Overview (Cash Basis)'!F$11, 'Monthly Detail'!88:88)</f>
        <v>0</v>
      </c>
      <c r="G30" s="130">
        <f>SUMIF('Monthly Detail'!$3:$3, '2024 Overview (Cash Basis)'!G$11, 'Monthly Detail'!88:88)</f>
        <v>0</v>
      </c>
      <c r="H30" s="108">
        <f>SUMIF('Monthly Detail'!$3:$3, '2024 Overview (Cash Basis)'!H$11, 'Monthly Detail'!88:88)</f>
        <v>0</v>
      </c>
      <c r="I30" s="108">
        <f>SUMIF('Monthly Detail'!$3:$3, '2024 Overview (Cash Basis)'!I$11, 'Monthly Detail'!88:88)</f>
        <v>300</v>
      </c>
      <c r="J30" s="108">
        <f>SUMIF('Monthly Detail'!$3:$3, '2024 Overview (Cash Basis)'!J$11, 'Monthly Detail'!88:88)</f>
        <v>0</v>
      </c>
      <c r="K30" s="108">
        <f>SUMIF('Monthly Detail'!$3:$3, '2024 Overview (Cash Basis)'!K$11, 'Monthly Detail'!88:88)</f>
        <v>300</v>
      </c>
      <c r="L30" s="108">
        <f>SUMIF('Monthly Detail'!$3:$3, '2024 Overview (Cash Basis)'!L$11, 'Monthly Detail'!88:88)</f>
        <v>0</v>
      </c>
      <c r="M30" s="108">
        <f>SUMIF('Monthly Detail'!$3:$3, '2024 Overview (Cash Basis)'!M$11, 'Monthly Detail'!88:88)</f>
        <v>0</v>
      </c>
      <c r="N30" s="108">
        <f>SUMIF('Monthly Detail'!$3:$3, '2024 Overview (Cash Basis)'!N$11, 'Monthly Detail'!88:88)</f>
        <v>0</v>
      </c>
      <c r="O30" s="108"/>
      <c r="P30" s="454">
        <f>SUM(C30:O30)</f>
        <v>600</v>
      </c>
    </row>
    <row r="31" spans="2:19" ht="15.6" x14ac:dyDescent="0.3">
      <c r="B31" s="214" t="s">
        <v>12</v>
      </c>
      <c r="C31" s="69">
        <f t="shared" ref="C31:N31" si="8">+C27+C30</f>
        <v>-67320.260000000009</v>
      </c>
      <c r="D31" s="69">
        <f t="shared" si="8"/>
        <v>94735.989999999991</v>
      </c>
      <c r="E31" s="69">
        <f t="shared" si="8"/>
        <v>5735.720000000003</v>
      </c>
      <c r="F31" s="69">
        <f t="shared" si="8"/>
        <v>-14091.11</v>
      </c>
      <c r="G31" s="126">
        <f t="shared" si="8"/>
        <v>-16395.09</v>
      </c>
      <c r="H31" s="69">
        <f t="shared" si="8"/>
        <v>-18970.909999999996</v>
      </c>
      <c r="I31" s="69">
        <f t="shared" si="8"/>
        <v>-4299.88</v>
      </c>
      <c r="J31" s="69">
        <f t="shared" si="8"/>
        <v>34810.15</v>
      </c>
      <c r="K31" s="69">
        <f t="shared" si="8"/>
        <v>59912.040000000008</v>
      </c>
      <c r="L31" s="69">
        <f t="shared" si="8"/>
        <v>176709.01095000003</v>
      </c>
      <c r="M31" s="69">
        <f t="shared" si="8"/>
        <v>58871.723333333328</v>
      </c>
      <c r="N31" s="69">
        <f t="shared" si="8"/>
        <v>94111.14</v>
      </c>
      <c r="O31" s="310"/>
      <c r="P31" s="450">
        <f>P27+SUM(P30:P30)</f>
        <v>396976.87428333325</v>
      </c>
    </row>
    <row r="32" spans="2:19" x14ac:dyDescent="0.3">
      <c r="B32" s="215" t="s">
        <v>370</v>
      </c>
      <c r="C32" s="71">
        <f t="shared" ref="C32:N32" si="9">+IFERROR(C31/C14, 0)</f>
        <v>0</v>
      </c>
      <c r="D32" s="71">
        <f t="shared" si="9"/>
        <v>0.84209768888888881</v>
      </c>
      <c r="E32" s="71">
        <f t="shared" si="9"/>
        <v>5.0984177777777806E-2</v>
      </c>
      <c r="F32" s="71">
        <f t="shared" si="9"/>
        <v>-0.95429432480021681</v>
      </c>
      <c r="G32" s="127">
        <f t="shared" si="9"/>
        <v>-1.2686124033167128</v>
      </c>
      <c r="H32" s="71">
        <f t="shared" si="9"/>
        <v>-0.86794468479152009</v>
      </c>
      <c r="I32" s="71">
        <f t="shared" si="9"/>
        <v>-3.0713428571428572</v>
      </c>
      <c r="J32" s="71">
        <f t="shared" si="9"/>
        <v>0.45191553720724931</v>
      </c>
      <c r="K32" s="71">
        <f t="shared" si="9"/>
        <v>0.61121886623832133</v>
      </c>
      <c r="L32" s="71">
        <f t="shared" si="9"/>
        <v>0.76576231130901773</v>
      </c>
      <c r="M32" s="71">
        <f t="shared" si="9"/>
        <v>0.71941006109979633</v>
      </c>
      <c r="N32" s="71">
        <f t="shared" si="9"/>
        <v>0.8861689265536723</v>
      </c>
      <c r="O32" s="7"/>
      <c r="P32" s="451">
        <f>P31/P14</f>
        <v>0.45640486141342396</v>
      </c>
    </row>
    <row r="33" spans="2:16" ht="15.6" x14ac:dyDescent="0.3">
      <c r="B33" s="215" t="s">
        <v>238</v>
      </c>
      <c r="C33" s="245">
        <f>+'Monthly Detail'!AB149-'Monthly Detail'!AA149</f>
        <v>0</v>
      </c>
      <c r="D33" s="245">
        <f>+'Monthly Detail'!AC149-'Monthly Detail'!AB149</f>
        <v>-20000</v>
      </c>
      <c r="E33" s="245">
        <f>+'Monthly Detail'!AD149-'Monthly Detail'!AC149</f>
        <v>0</v>
      </c>
      <c r="F33" s="245">
        <f>+'Monthly Detail'!AE149-'Monthly Detail'!AD149</f>
        <v>-50000</v>
      </c>
      <c r="G33" s="244">
        <f>+'Monthly Detail'!AF149-'Monthly Detail'!AE149</f>
        <v>0</v>
      </c>
      <c r="H33" s="245">
        <f>+'Monthly Detail'!AG149-'Monthly Detail'!AF149</f>
        <v>0</v>
      </c>
      <c r="I33" s="245">
        <f>+'Monthly Detail'!AH149-'Monthly Detail'!AG149</f>
        <v>0</v>
      </c>
      <c r="J33" s="245">
        <f>+'Monthly Detail'!AI149-'Monthly Detail'!AH149</f>
        <v>0</v>
      </c>
      <c r="K33" s="245">
        <f>+'Monthly Detail'!AJ149-'Monthly Detail'!AI149</f>
        <v>0</v>
      </c>
      <c r="L33" s="245">
        <f>+'Monthly Detail'!AK149-'Monthly Detail'!AJ149</f>
        <v>0</v>
      </c>
      <c r="M33" s="245">
        <f>+'Monthly Detail'!AL149-'Monthly Detail'!AK149</f>
        <v>0</v>
      </c>
      <c r="N33" s="246">
        <f>-P31*0.2</f>
        <v>-79395.374856666662</v>
      </c>
      <c r="O33" s="7"/>
      <c r="P33" s="455">
        <f>+SUM(C33:N33)</f>
        <v>-149395.37485666666</v>
      </c>
    </row>
    <row r="34" spans="2:16" ht="15" thickBot="1" x14ac:dyDescent="0.35">
      <c r="B34" s="210"/>
      <c r="G34" s="92"/>
      <c r="N34" t="s">
        <v>306</v>
      </c>
      <c r="P34" s="78"/>
    </row>
    <row r="35" spans="2:16" x14ac:dyDescent="0.3">
      <c r="B35" s="64" t="s">
        <v>156</v>
      </c>
      <c r="C35" s="65">
        <f>SUMIF('Monthly Detail'!$3:$3, '2024 Overview (Cash Basis)'!C$11, 'Monthly Detail'!179:179)</f>
        <v>95197.939999999973</v>
      </c>
      <c r="D35" s="134">
        <f>SUMIF('Monthly Detail'!$3:$3, '2024 Overview (Cash Basis)'!D$11, 'Monthly Detail'!179:179)</f>
        <v>146721.93</v>
      </c>
      <c r="E35" s="65">
        <f>SUMIF('Monthly Detail'!$3:$3, '2024 Overview (Cash Basis)'!E$11, 'Monthly Detail'!179:179)</f>
        <v>152555.54</v>
      </c>
      <c r="F35" s="134">
        <f>SUMIF('Monthly Detail'!$3:$3, '2024 Overview (Cash Basis)'!F$11, 'Monthly Detail'!179:179)</f>
        <v>82418.3</v>
      </c>
      <c r="G35" s="321">
        <f>SUMIF('Monthly Detail'!$3:$3, '2024 Overview (Cash Basis)'!G$11, 'Monthly Detail'!179:179)</f>
        <v>53728.640000000014</v>
      </c>
      <c r="H35" s="134">
        <f>SUMIF('Monthly Detail'!$3:$3, '2024 Overview (Cash Basis)'!H$11, 'Monthly Detail'!179:179)</f>
        <v>44539.60000000002</v>
      </c>
      <c r="I35" s="65">
        <f>SUMIF('Monthly Detail'!$3:$3, '2024 Overview (Cash Basis)'!I$11, 'Monthly Detail'!179:179)</f>
        <v>27299.970000000019</v>
      </c>
      <c r="J35" s="134">
        <f>SUMIF('Monthly Detail'!$3:$3, '2024 Overview (Cash Basis)'!J$11, 'Monthly Detail'!179:179)</f>
        <v>20509.540000000015</v>
      </c>
      <c r="K35" s="65">
        <f>SUMIF('Monthly Detail'!$3:$3, '2024 Overview (Cash Basis)'!K$11, 'Monthly Detail'!179:179)</f>
        <v>33227.020000000019</v>
      </c>
      <c r="L35" s="65">
        <f>SUMIF('Monthly Detail'!$3:$3, '2024 Overview (Cash Basis)'!L$11, 'Monthly Detail'!179:179)</f>
        <v>169214.67718884727</v>
      </c>
      <c r="M35" s="65">
        <f>SUMIF('Monthly Detail'!$3:$3, '2024 Overview (Cash Basis)'!M$11, 'Monthly Detail'!179:179)</f>
        <v>190769.46533662349</v>
      </c>
      <c r="N35" s="65">
        <f>SUMIF('Monthly Detail'!$3:$3, '2024 Overview (Cash Basis)'!N$11, 'Monthly Detail'!179:179)</f>
        <v>352788.93552211684</v>
      </c>
      <c r="P35" s="78"/>
    </row>
    <row r="36" spans="2:16" x14ac:dyDescent="0.3">
      <c r="B36" s="456" t="s">
        <v>157</v>
      </c>
      <c r="C36" s="318">
        <f>SUMIF('Monthly Detail'!$3:$3, '2024 Overview (Cash Basis)'!C$11, 'Monthly Detail'!176:176)</f>
        <v>-99451.290000000008</v>
      </c>
      <c r="D36" s="317">
        <f>SUMIF('Monthly Detail'!$3:$3, '2024 Overview (Cash Basis)'!D$11, 'Monthly Detail'!176:176)</f>
        <v>51523.990000000005</v>
      </c>
      <c r="E36" s="318">
        <f>SUMIF('Monthly Detail'!$3:$3, '2024 Overview (Cash Basis)'!E$11, 'Monthly Detail'!176:176)</f>
        <v>5833.6100000000024</v>
      </c>
      <c r="F36" s="317">
        <f>SUMIF('Monthly Detail'!$3:$3, '2024 Overview (Cash Basis)'!F$11, 'Monthly Detail'!176:176)</f>
        <v>-70137.240000000005</v>
      </c>
      <c r="G36" s="322">
        <f>SUMIF('Monthly Detail'!$3:$3, '2024 Overview (Cash Basis)'!G$11, 'Monthly Detail'!176:176)</f>
        <v>-28689.659999999989</v>
      </c>
      <c r="H36" s="317">
        <f>SUMIF('Monthly Detail'!$3:$3, '2024 Overview (Cash Basis)'!H$11, 'Monthly Detail'!176:176)</f>
        <v>-9189.0399999999936</v>
      </c>
      <c r="I36" s="318">
        <f>SUMIF('Monthly Detail'!$3:$3, '2024 Overview (Cash Basis)'!I$11, 'Monthly Detail'!176:176)</f>
        <v>-17239.63</v>
      </c>
      <c r="J36" s="317">
        <f>SUMIF('Monthly Detail'!$3:$3, '2024 Overview (Cash Basis)'!J$11, 'Monthly Detail'!176:176)</f>
        <v>-6790.4300000000021</v>
      </c>
      <c r="K36" s="318">
        <f>SUMIF('Monthly Detail'!$3:$3, '2024 Overview (Cash Basis)'!K$11, 'Monthly Detail'!176:176)</f>
        <v>12717.480000000007</v>
      </c>
      <c r="L36" s="318">
        <f>SUMIF('Monthly Detail'!$3:$3, '2024 Overview (Cash Basis)'!L$11, 'Monthly Detail'!176:176)</f>
        <v>135987.65718884725</v>
      </c>
      <c r="M36" s="318">
        <f>SUMIF('Monthly Detail'!$3:$3, '2024 Overview (Cash Basis)'!M$11, 'Monthly Detail'!176:176)</f>
        <v>21554.788147776213</v>
      </c>
      <c r="N36" s="318">
        <f>SUMIF('Monthly Detail'!$3:$3, '2024 Overview (Cash Basis)'!N$11, 'Monthly Detail'!176:176)</f>
        <v>162019.47018549335</v>
      </c>
      <c r="O36" s="283"/>
      <c r="P36" s="457"/>
    </row>
    <row r="37" spans="2:16" x14ac:dyDescent="0.3">
      <c r="B37" s="77"/>
      <c r="E37" s="9"/>
      <c r="P37" s="78"/>
    </row>
    <row r="38" spans="2:16" x14ac:dyDescent="0.3">
      <c r="B38" s="77"/>
      <c r="P38" s="78"/>
    </row>
    <row r="39" spans="2:16" x14ac:dyDescent="0.3">
      <c r="B39" s="77"/>
      <c r="P39" s="78"/>
    </row>
    <row r="40" spans="2:16" x14ac:dyDescent="0.3">
      <c r="B40" s="77"/>
      <c r="P40" s="78"/>
    </row>
    <row r="41" spans="2:16" x14ac:dyDescent="0.3">
      <c r="B41" s="77"/>
      <c r="P41" s="78"/>
    </row>
    <row r="42" spans="2:16" x14ac:dyDescent="0.3">
      <c r="B42" s="77"/>
      <c r="P42" s="78"/>
    </row>
    <row r="43" spans="2:16" x14ac:dyDescent="0.3">
      <c r="B43" s="77"/>
      <c r="P43" s="78"/>
    </row>
    <row r="44" spans="2:16" x14ac:dyDescent="0.3">
      <c r="B44" s="77"/>
      <c r="P44" s="78"/>
    </row>
    <row r="45" spans="2:16" x14ac:dyDescent="0.3">
      <c r="B45" s="77"/>
      <c r="P45" s="78"/>
    </row>
    <row r="46" spans="2:16" x14ac:dyDescent="0.3">
      <c r="B46" s="77"/>
      <c r="P46" s="78"/>
    </row>
    <row r="47" spans="2:16" x14ac:dyDescent="0.3">
      <c r="B47" s="77"/>
      <c r="P47" s="78"/>
    </row>
    <row r="48" spans="2:16" x14ac:dyDescent="0.3">
      <c r="B48" s="77"/>
      <c r="P48" s="78"/>
    </row>
    <row r="49" spans="2:16" x14ac:dyDescent="0.3">
      <c r="B49" s="77"/>
      <c r="P49" s="78"/>
    </row>
    <row r="50" spans="2:16" x14ac:dyDescent="0.3">
      <c r="B50" s="77"/>
      <c r="P50" s="78"/>
    </row>
    <row r="51" spans="2:16" x14ac:dyDescent="0.3">
      <c r="B51" s="77"/>
      <c r="P51" s="78"/>
    </row>
    <row r="52" spans="2:16" x14ac:dyDescent="0.3">
      <c r="B52" s="77"/>
      <c r="P52" s="78"/>
    </row>
    <row r="53" spans="2:16" x14ac:dyDescent="0.3">
      <c r="B53" s="77"/>
      <c r="P53" s="78"/>
    </row>
    <row r="54" spans="2:16" ht="15" thickBot="1" x14ac:dyDescent="0.35">
      <c r="B54" s="86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</row>
  </sheetData>
  <mergeCells count="1">
    <mergeCell ref="B8:P8"/>
  </mergeCells>
  <pageMargins left="0.25" right="0.25" top="0.75" bottom="0.75" header="0.3" footer="0.3"/>
  <pageSetup scale="5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8:S40"/>
  <sheetViews>
    <sheetView showGridLines="0" workbookViewId="0">
      <selection activeCell="B13" sqref="B13"/>
    </sheetView>
  </sheetViews>
  <sheetFormatPr defaultRowHeight="14.4" x14ac:dyDescent="0.3"/>
  <cols>
    <col min="2" max="2" width="34" bestFit="1" customWidth="1"/>
    <col min="3" max="3" width="12.33203125" bestFit="1" customWidth="1"/>
    <col min="4" max="4" width="11.44140625" bestFit="1" customWidth="1"/>
    <col min="5" max="14" width="12.44140625" bestFit="1" customWidth="1"/>
    <col min="15" max="15" width="2.6640625" customWidth="1"/>
    <col min="16" max="16" width="12.33203125" bestFit="1" customWidth="1"/>
  </cols>
  <sheetData>
    <row r="8" spans="2:16" ht="23.4" x14ac:dyDescent="0.45">
      <c r="B8" s="682" t="s">
        <v>227</v>
      </c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2"/>
    </row>
    <row r="10" spans="2:16" ht="15.6" x14ac:dyDescent="0.3">
      <c r="B10" s="301"/>
      <c r="C10" s="303" t="str">
        <f>TEXT('Monthly Detail'!D3,"mmmm")</f>
        <v>January</v>
      </c>
      <c r="D10" s="303" t="str">
        <f>TEXT('Monthly Detail'!E3,"mmmm")</f>
        <v>February</v>
      </c>
      <c r="E10" s="303" t="str">
        <f>TEXT('Monthly Detail'!F3,"mmmm")</f>
        <v>March</v>
      </c>
      <c r="F10" s="302" t="str">
        <f>TEXT('Monthly Detail'!G3,"mmmm")</f>
        <v>April</v>
      </c>
      <c r="G10" s="303" t="str">
        <f>TEXT('Monthly Detail'!H3,"mmmm")</f>
        <v>May</v>
      </c>
      <c r="H10" s="303" t="str">
        <f>TEXT('Monthly Detail'!I3,"mmmm")</f>
        <v>June</v>
      </c>
      <c r="I10" s="303" t="str">
        <f>TEXT('Monthly Detail'!J3,"mmmm")</f>
        <v>July</v>
      </c>
      <c r="J10" s="303" t="str">
        <f>TEXT('Monthly Detail'!K3,"mmmm")</f>
        <v>August</v>
      </c>
      <c r="K10" s="303" t="str">
        <f>TEXT('Monthly Detail'!L3,"mmmm")</f>
        <v>September</v>
      </c>
      <c r="L10" s="303" t="str">
        <f>TEXT('Monthly Detail'!M3,"mmmm")</f>
        <v>October</v>
      </c>
      <c r="M10" s="303" t="str">
        <f>TEXT('Monthly Detail'!N3,"mmmm")</f>
        <v>November</v>
      </c>
      <c r="N10" s="303" t="str">
        <f>TEXT('Monthly Detail'!O3,"mmmm")</f>
        <v>December</v>
      </c>
      <c r="O10" s="304"/>
      <c r="P10" s="305" t="s">
        <v>0</v>
      </c>
    </row>
    <row r="11" spans="2:16" x14ac:dyDescent="0.3">
      <c r="B11" s="256"/>
      <c r="C11" s="72">
        <v>45322</v>
      </c>
      <c r="D11" s="72">
        <v>45351</v>
      </c>
      <c r="E11" s="72">
        <v>45382</v>
      </c>
      <c r="F11" s="12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  <c r="P11" s="162"/>
    </row>
    <row r="12" spans="2:16" x14ac:dyDescent="0.3">
      <c r="B12" s="251" t="s">
        <v>246</v>
      </c>
      <c r="C12" s="54">
        <f>SUMIF('Monthly Detail'!$3:$3, '2024 Overview (Rolling)'!C$11, 'Monthly Detail'!8:8)</f>
        <v>0</v>
      </c>
      <c r="D12" s="54">
        <f>SUMIF('Monthly Detail'!$3:$3, '2024 Overview (Rolling)'!D$11, 'Monthly Detail'!8:8)</f>
        <v>112500</v>
      </c>
      <c r="E12" s="54">
        <f>SUMIF('Monthly Detail'!$3:$3, '2024 Overview (Rolling)'!E$11, 'Monthly Detail'!8:8)</f>
        <v>112500</v>
      </c>
      <c r="F12" s="123">
        <f>SUMIF('Monthly Detail'!$3:$3, '2024 Overview (Rolling)'!F$11, 'Monthly Detail'!8:8)</f>
        <v>0</v>
      </c>
      <c r="G12" s="54">
        <f>SUMIF('Monthly Detail'!$3:$3, '2024 Overview (Rolling)'!G$11, 'Monthly Detail'!8:8)</f>
        <v>82459.320000000007</v>
      </c>
      <c r="H12" s="54">
        <f>SUMIF('Monthly Detail'!$3:$3, '2024 Overview (Rolling)'!H$11, 'Monthly Detail'!8:8)</f>
        <v>10928.64</v>
      </c>
      <c r="I12" s="54">
        <f>SUMIF('Monthly Detail'!$3:$3, '2024 Overview (Rolling)'!I$11, 'Monthly Detail'!8:8)</f>
        <v>700</v>
      </c>
      <c r="J12" s="54">
        <f>SUMIF('Monthly Detail'!$3:$3, '2024 Overview (Rolling)'!J$11, 'Monthly Detail'!8:8)</f>
        <v>45897</v>
      </c>
      <c r="K12" s="54">
        <f>SUMIF('Monthly Detail'!$3:$3, '2024 Overview (Rolling)'!K$11, 'Monthly Detail'!8:8)</f>
        <v>49010.3</v>
      </c>
      <c r="L12" s="54">
        <f>SUMIF('Monthly Detail'!$3:$3, '2024 Overview (Rolling)'!L$11, 'Monthly Detail'!8:8)</f>
        <v>115381.11</v>
      </c>
      <c r="M12" s="54">
        <f>SUMIF('Monthly Detail'!$3:$3, '2024 Overview (Rolling)'!M$11, 'Monthly Detail'!8:8)</f>
        <v>40916.666666666664</v>
      </c>
      <c r="N12" s="54">
        <f>SUMIF('Monthly Detail'!$3:$3, '2024 Overview (Rolling)'!N$11, 'Monthly Detail'!8:8)</f>
        <v>98100</v>
      </c>
      <c r="O12" s="54"/>
      <c r="P12" s="306">
        <f>SUM(C12:O12)</f>
        <v>668393.03666666662</v>
      </c>
    </row>
    <row r="13" spans="2:16" x14ac:dyDescent="0.3">
      <c r="B13" s="251" t="s">
        <v>300</v>
      </c>
      <c r="C13" s="54">
        <f>+'Monthly Detail'!AB135</f>
        <v>0</v>
      </c>
      <c r="D13" s="54">
        <f>+'Monthly Detail'!AC135</f>
        <v>112500</v>
      </c>
      <c r="E13" s="54">
        <f>+'Monthly Detail'!AD135</f>
        <v>112500</v>
      </c>
      <c r="F13" s="123">
        <f>+'Monthly Detail'!AE135</f>
        <v>14766</v>
      </c>
      <c r="G13" s="54">
        <f>+'Monthly Detail'!AF135</f>
        <v>7459.32</v>
      </c>
      <c r="H13" s="54">
        <f>+'Monthly Detail'!AG135</f>
        <v>10928.64</v>
      </c>
      <c r="I13" s="54">
        <f>+'Monthly Detail'!AH135</f>
        <v>700</v>
      </c>
      <c r="J13" s="54">
        <f>+'Monthly Detail'!AI135</f>
        <v>31131</v>
      </c>
      <c r="K13" s="54">
        <f>+'Monthly Detail'!AJ135</f>
        <v>49010.3</v>
      </c>
      <c r="L13" s="54">
        <f>+'Monthly Detail'!AK135</f>
        <v>115381.11</v>
      </c>
      <c r="M13" s="54">
        <f>+'Monthly Detail'!AL135</f>
        <v>40916.666666666664</v>
      </c>
      <c r="N13" s="54">
        <f>+'Monthly Detail'!AM135</f>
        <v>98100</v>
      </c>
      <c r="O13" s="54"/>
      <c r="P13" s="306">
        <f>SUM(C13:O13)</f>
        <v>593393.03666666662</v>
      </c>
    </row>
    <row r="14" spans="2:16" x14ac:dyDescent="0.3">
      <c r="B14" s="253" t="s">
        <v>301</v>
      </c>
      <c r="C14" s="55">
        <f>+C12</f>
        <v>0</v>
      </c>
      <c r="D14" s="55">
        <f t="shared" ref="D14:N14" si="0">+D12</f>
        <v>112500</v>
      </c>
      <c r="E14" s="55">
        <f t="shared" si="0"/>
        <v>112500</v>
      </c>
      <c r="F14" s="124">
        <f t="shared" si="0"/>
        <v>0</v>
      </c>
      <c r="G14" s="55">
        <f t="shared" si="0"/>
        <v>82459.320000000007</v>
      </c>
      <c r="H14" s="55">
        <f t="shared" si="0"/>
        <v>10928.64</v>
      </c>
      <c r="I14" s="55">
        <f t="shared" si="0"/>
        <v>700</v>
      </c>
      <c r="J14" s="55">
        <f t="shared" si="0"/>
        <v>45897</v>
      </c>
      <c r="K14" s="55">
        <f t="shared" si="0"/>
        <v>49010.3</v>
      </c>
      <c r="L14" s="55">
        <f t="shared" si="0"/>
        <v>115381.11</v>
      </c>
      <c r="M14" s="55">
        <f t="shared" si="0"/>
        <v>40916.666666666664</v>
      </c>
      <c r="N14" s="55">
        <f t="shared" si="0"/>
        <v>98100</v>
      </c>
      <c r="O14" s="56"/>
      <c r="P14" s="307">
        <f>SUM(P12:P12)</f>
        <v>668393.03666666662</v>
      </c>
    </row>
    <row r="15" spans="2:16" x14ac:dyDescent="0.3">
      <c r="B15" s="308" t="s">
        <v>3</v>
      </c>
      <c r="C15" s="296">
        <f>+C13</f>
        <v>0</v>
      </c>
      <c r="D15" s="296">
        <f>+D13</f>
        <v>112500</v>
      </c>
      <c r="E15" s="296">
        <f t="shared" ref="E15:N15" si="1">+E13</f>
        <v>112500</v>
      </c>
      <c r="F15" s="297">
        <f t="shared" si="1"/>
        <v>14766</v>
      </c>
      <c r="G15" s="296">
        <f t="shared" si="1"/>
        <v>7459.32</v>
      </c>
      <c r="H15" s="296">
        <f t="shared" si="1"/>
        <v>10928.64</v>
      </c>
      <c r="I15" s="296">
        <f t="shared" si="1"/>
        <v>700</v>
      </c>
      <c r="J15" s="296">
        <f t="shared" si="1"/>
        <v>31131</v>
      </c>
      <c r="K15" s="296">
        <f t="shared" si="1"/>
        <v>49010.3</v>
      </c>
      <c r="L15" s="296">
        <f t="shared" si="1"/>
        <v>115381.11</v>
      </c>
      <c r="M15" s="296">
        <f t="shared" si="1"/>
        <v>40916.666666666664</v>
      </c>
      <c r="N15" s="296">
        <f t="shared" si="1"/>
        <v>98100</v>
      </c>
      <c r="O15" s="56"/>
      <c r="P15" s="309">
        <f>SUM(P13:P13)</f>
        <v>593393.03666666662</v>
      </c>
    </row>
    <row r="16" spans="2:16" ht="3.6" customHeight="1" x14ac:dyDescent="0.3">
      <c r="B16" s="308"/>
      <c r="C16" s="296"/>
      <c r="D16" s="296"/>
      <c r="E16" s="296"/>
      <c r="F16" s="297"/>
      <c r="G16" s="296"/>
      <c r="H16" s="296"/>
      <c r="I16" s="296"/>
      <c r="J16" s="296"/>
      <c r="K16" s="296"/>
      <c r="L16" s="296"/>
      <c r="M16" s="296"/>
      <c r="N16" s="296"/>
      <c r="O16" s="56"/>
      <c r="P16" s="309"/>
    </row>
    <row r="17" spans="2:19" x14ac:dyDescent="0.3">
      <c r="B17" s="251" t="s">
        <v>251</v>
      </c>
      <c r="C17" s="57">
        <f>SUMIF('Monthly Detail'!$3:$3, '2024 Overview (Rolling)'!C$11, 'Monthly Detail'!27:27)</f>
        <v>65584.38</v>
      </c>
      <c r="D17" s="57">
        <f>SUMIF('Monthly Detail'!$3:$3, '2024 Overview (Rolling)'!D$11, 'Monthly Detail'!27:27)</f>
        <v>13730.740000000002</v>
      </c>
      <c r="E17" s="57">
        <f>SUMIF('Monthly Detail'!$3:$3, '2024 Overview (Rolling)'!E$11, 'Monthly Detail'!27:27)</f>
        <v>105150.09</v>
      </c>
      <c r="F17" s="125">
        <f>SUMIF('Monthly Detail'!$3:$3, '2024 Overview (Rolling)'!F$11, 'Monthly Detail'!27:27)</f>
        <v>24349.75</v>
      </c>
      <c r="G17" s="57">
        <f>SUMIF('Monthly Detail'!$3:$3, '2024 Overview (Rolling)'!G$11, 'Monthly Detail'!27:27)</f>
        <v>24127.16</v>
      </c>
      <c r="H17" s="57">
        <f>SUMIF('Monthly Detail'!$3:$3, '2024 Overview (Rolling)'!H$11, 'Monthly Detail'!27:27)</f>
        <v>35612.239999999998</v>
      </c>
      <c r="I17" s="57">
        <f>SUMIF('Monthly Detail'!$3:$3, '2024 Overview (Rolling)'!I$11, 'Monthly Detail'!27:27)</f>
        <v>2899</v>
      </c>
      <c r="J17" s="57">
        <f>SUMIF('Monthly Detail'!$3:$3, '2024 Overview (Rolling)'!J$11, 'Monthly Detail'!27:27)</f>
        <v>39275</v>
      </c>
      <c r="K17" s="57">
        <f>SUMIF('Monthly Detail'!$3:$3, '2024 Overview (Rolling)'!K$11, 'Monthly Detail'!27:27)</f>
        <v>36224.67</v>
      </c>
      <c r="L17" s="57">
        <f>SUMIF('Monthly Detail'!$3:$3, '2024 Overview (Rolling)'!L$11, 'Monthly Detail'!27:27)</f>
        <v>50514.349049999997</v>
      </c>
      <c r="M17" s="57">
        <f>SUMIF('Monthly Detail'!$3:$3, '2024 Overview (Rolling)'!M$11, 'Monthly Detail'!27:27)</f>
        <v>19422.749999999996</v>
      </c>
      <c r="N17" s="57">
        <f>SUMIF('Monthly Detail'!$3:$3, '2024 Overview (Rolling)'!N$11, 'Monthly Detail'!27:27)</f>
        <v>8550</v>
      </c>
      <c r="P17" s="261">
        <f>SUM(C17:O17)</f>
        <v>425440.12905000005</v>
      </c>
    </row>
    <row r="18" spans="2:19" ht="15.6" x14ac:dyDescent="0.3">
      <c r="B18" s="257" t="s">
        <v>249</v>
      </c>
      <c r="C18" s="69">
        <f t="shared" ref="C18:N18" si="2">C14-C17</f>
        <v>-65584.38</v>
      </c>
      <c r="D18" s="69">
        <f t="shared" si="2"/>
        <v>98769.26</v>
      </c>
      <c r="E18" s="69">
        <f t="shared" si="2"/>
        <v>7349.9100000000035</v>
      </c>
      <c r="F18" s="126">
        <f t="shared" si="2"/>
        <v>-24349.75</v>
      </c>
      <c r="G18" s="69">
        <f t="shared" si="2"/>
        <v>58332.160000000003</v>
      </c>
      <c r="H18" s="69">
        <f t="shared" si="2"/>
        <v>-24683.599999999999</v>
      </c>
      <c r="I18" s="69">
        <f t="shared" si="2"/>
        <v>-2199</v>
      </c>
      <c r="J18" s="69">
        <f t="shared" si="2"/>
        <v>6622</v>
      </c>
      <c r="K18" s="69">
        <f t="shared" si="2"/>
        <v>12785.630000000005</v>
      </c>
      <c r="L18" s="69">
        <f t="shared" si="2"/>
        <v>64866.760950000004</v>
      </c>
      <c r="M18" s="69">
        <f t="shared" si="2"/>
        <v>21493.916666666668</v>
      </c>
      <c r="N18" s="69">
        <f t="shared" si="2"/>
        <v>89550</v>
      </c>
      <c r="O18" s="310"/>
      <c r="P18" s="258">
        <f>P14-P17</f>
        <v>242952.90761666658</v>
      </c>
    </row>
    <row r="19" spans="2:19" ht="15.6" x14ac:dyDescent="0.3">
      <c r="B19" s="257" t="s">
        <v>250</v>
      </c>
      <c r="C19" s="245">
        <f t="shared" ref="C19:N19" si="3">C15-C17</f>
        <v>-65584.38</v>
      </c>
      <c r="D19" s="245">
        <f t="shared" si="3"/>
        <v>98769.26</v>
      </c>
      <c r="E19" s="245">
        <f t="shared" si="3"/>
        <v>7349.9100000000035</v>
      </c>
      <c r="F19" s="244">
        <f t="shared" si="3"/>
        <v>-9583.75</v>
      </c>
      <c r="G19" s="245">
        <f t="shared" si="3"/>
        <v>-16667.84</v>
      </c>
      <c r="H19" s="245">
        <f t="shared" si="3"/>
        <v>-24683.599999999999</v>
      </c>
      <c r="I19" s="245">
        <f t="shared" si="3"/>
        <v>-2199</v>
      </c>
      <c r="J19" s="245">
        <f t="shared" si="3"/>
        <v>-8144</v>
      </c>
      <c r="K19" s="245">
        <f t="shared" si="3"/>
        <v>12785.630000000005</v>
      </c>
      <c r="L19" s="245">
        <f t="shared" si="3"/>
        <v>64866.760950000004</v>
      </c>
      <c r="M19" s="245">
        <f t="shared" si="3"/>
        <v>21493.916666666668</v>
      </c>
      <c r="N19" s="245">
        <f t="shared" si="3"/>
        <v>89550</v>
      </c>
      <c r="O19" s="310"/>
      <c r="P19" s="264">
        <f>P15-P17</f>
        <v>167952.90761666658</v>
      </c>
    </row>
    <row r="20" spans="2:19" x14ac:dyDescent="0.3">
      <c r="B20" s="259" t="s">
        <v>248</v>
      </c>
      <c r="C20" s="71">
        <f t="shared" ref="C20:N20" si="4">+IFERROR(C18/C14, 0)</f>
        <v>0</v>
      </c>
      <c r="D20" s="71">
        <f t="shared" si="4"/>
        <v>0.87794897777777769</v>
      </c>
      <c r="E20" s="71">
        <f t="shared" si="4"/>
        <v>6.5332533333333359E-2</v>
      </c>
      <c r="F20" s="127">
        <f t="shared" si="4"/>
        <v>0</v>
      </c>
      <c r="G20" s="71">
        <f t="shared" si="4"/>
        <v>0.70740529997094326</v>
      </c>
      <c r="H20" s="71">
        <f t="shared" si="4"/>
        <v>-2.2586158936519092</v>
      </c>
      <c r="I20" s="71">
        <f t="shared" si="4"/>
        <v>-3.1414285714285715</v>
      </c>
      <c r="J20" s="71">
        <f t="shared" si="4"/>
        <v>0.14427958254352136</v>
      </c>
      <c r="K20" s="71">
        <f t="shared" si="4"/>
        <v>0.26087638720840323</v>
      </c>
      <c r="L20" s="71">
        <f t="shared" si="4"/>
        <v>0.5621956744045884</v>
      </c>
      <c r="M20" s="71">
        <f t="shared" si="4"/>
        <v>0.52530957230142572</v>
      </c>
      <c r="N20" s="71">
        <f t="shared" si="4"/>
        <v>0.91284403669724767</v>
      </c>
      <c r="O20" s="7"/>
      <c r="P20" s="260">
        <f>P18/P14</f>
        <v>0.36348808902662055</v>
      </c>
    </row>
    <row r="21" spans="2:19" x14ac:dyDescent="0.3">
      <c r="B21" s="259" t="s">
        <v>247</v>
      </c>
      <c r="C21" s="71">
        <f t="shared" ref="C21:N21" si="5">+IFERROR(C19/C15, 0)</f>
        <v>0</v>
      </c>
      <c r="D21" s="71">
        <f t="shared" si="5"/>
        <v>0.87794897777777769</v>
      </c>
      <c r="E21" s="71">
        <f t="shared" si="5"/>
        <v>6.5332533333333359E-2</v>
      </c>
      <c r="F21" s="127">
        <f t="shared" si="5"/>
        <v>-0.6490417174590275</v>
      </c>
      <c r="G21" s="71">
        <f t="shared" si="5"/>
        <v>-2.2344985870025686</v>
      </c>
      <c r="H21" s="71">
        <f t="shared" si="5"/>
        <v>-2.2586158936519092</v>
      </c>
      <c r="I21" s="71">
        <f t="shared" si="5"/>
        <v>-3.1414285714285715</v>
      </c>
      <c r="J21" s="71">
        <f t="shared" si="5"/>
        <v>-0.26160418875076291</v>
      </c>
      <c r="K21" s="71">
        <f t="shared" si="5"/>
        <v>0.26087638720840323</v>
      </c>
      <c r="L21" s="71">
        <f t="shared" si="5"/>
        <v>0.5621956744045884</v>
      </c>
      <c r="M21" s="71">
        <f t="shared" si="5"/>
        <v>0.52530957230142572</v>
      </c>
      <c r="N21" s="71">
        <f t="shared" si="5"/>
        <v>0.91284403669724767</v>
      </c>
      <c r="O21" s="7"/>
      <c r="P21" s="260">
        <f>P19/P15</f>
        <v>0.28303821790718564</v>
      </c>
    </row>
    <row r="22" spans="2:19" x14ac:dyDescent="0.3">
      <c r="B22" s="256"/>
      <c r="F22" s="92"/>
      <c r="P22" s="162"/>
    </row>
    <row r="23" spans="2:19" x14ac:dyDescent="0.3">
      <c r="B23" s="256" t="s">
        <v>186</v>
      </c>
      <c r="C23" s="54">
        <f>SUMIF('Monthly Detail'!$3:$3, '2024 Overview (Rolling)'!C$11, 'Monthly Detail'!$76:$76)</f>
        <v>1735.88</v>
      </c>
      <c r="D23" s="54">
        <f>SUMIF('Monthly Detail'!$3:$3, '2024 Overview (Rolling)'!D$11, 'Monthly Detail'!$76:$76)</f>
        <v>6522.54</v>
      </c>
      <c r="E23" s="54">
        <f>SUMIF('Monthly Detail'!$3:$3, '2024 Overview (Rolling)'!E$11, 'Monthly Detail'!$76:$76)</f>
        <v>1614.19</v>
      </c>
      <c r="F23" s="123">
        <f>SUMIF('Monthly Detail'!$3:$3, '2024 Overview (Rolling)'!F$11, 'Monthly Detail'!$76:$76)</f>
        <v>4507.3599999999997</v>
      </c>
      <c r="G23" s="54">
        <f>SUMIF('Monthly Detail'!$3:$3, '2024 Overview (Rolling)'!G$11, 'Monthly Detail'!$76:$76)</f>
        <v>5299.95</v>
      </c>
      <c r="H23" s="54">
        <f>SUMIF('Monthly Detail'!$3:$3, '2024 Overview (Rolling)'!H$11, 'Monthly Detail'!$76:$76)</f>
        <v>5815.9499999999989</v>
      </c>
      <c r="I23" s="54">
        <f>SUMIF('Monthly Detail'!$3:$3, '2024 Overview (Rolling)'!I$11, 'Monthly Detail'!$76:$76)</f>
        <v>3100.88</v>
      </c>
      <c r="J23" s="54">
        <f>SUMIF('Monthly Detail'!$3:$3, '2024 Overview (Rolling)'!J$11, 'Monthly Detail'!$76:$76)</f>
        <v>4741.8500000000004</v>
      </c>
      <c r="K23" s="54">
        <f>SUMIF('Monthly Detail'!$3:$3, '2024 Overview (Rolling)'!K$11, 'Monthly Detail'!$76:$76)</f>
        <v>2218.8900000000003</v>
      </c>
      <c r="L23" s="54">
        <f>SUMIF('Monthly Detail'!$3:$3, '2024 Overview (Rolling)'!L$11, 'Monthly Detail'!$76:$76)</f>
        <v>4138.8600000000006</v>
      </c>
      <c r="M23" s="54">
        <f>SUMIF('Monthly Detail'!$3:$3, '2024 Overview (Rolling)'!M$11, 'Monthly Detail'!$76:$76)</f>
        <v>4138.8600000000006</v>
      </c>
      <c r="N23" s="54">
        <f>SUMIF('Monthly Detail'!$3:$3, '2024 Overview (Rolling)'!N$11, 'Monthly Detail'!$76:$76)</f>
        <v>4138.8600000000006</v>
      </c>
      <c r="P23" s="306">
        <f>SUM(C23:O23)</f>
        <v>47974.070000000007</v>
      </c>
      <c r="S23" s="1"/>
    </row>
    <row r="24" spans="2:19" x14ac:dyDescent="0.3">
      <c r="B24" s="311" t="s">
        <v>151</v>
      </c>
      <c r="C24" s="60">
        <f t="shared" ref="C24:N24" si="6">SUM(C23:C23)</f>
        <v>1735.88</v>
      </c>
      <c r="D24" s="60">
        <f t="shared" si="6"/>
        <v>6522.54</v>
      </c>
      <c r="E24" s="60">
        <f t="shared" si="6"/>
        <v>1614.19</v>
      </c>
      <c r="F24" s="128">
        <f t="shared" si="6"/>
        <v>4507.3599999999997</v>
      </c>
      <c r="G24" s="60">
        <f t="shared" si="6"/>
        <v>5299.95</v>
      </c>
      <c r="H24" s="60">
        <f t="shared" si="6"/>
        <v>5815.9499999999989</v>
      </c>
      <c r="I24" s="60">
        <f t="shared" si="6"/>
        <v>3100.88</v>
      </c>
      <c r="J24" s="60">
        <f t="shared" si="6"/>
        <v>4741.8500000000004</v>
      </c>
      <c r="K24" s="60">
        <f t="shared" si="6"/>
        <v>2218.8900000000003</v>
      </c>
      <c r="L24" s="60">
        <f t="shared" si="6"/>
        <v>4138.8600000000006</v>
      </c>
      <c r="M24" s="60">
        <f t="shared" si="6"/>
        <v>4138.8600000000006</v>
      </c>
      <c r="N24" s="60">
        <f t="shared" si="6"/>
        <v>4138.8600000000006</v>
      </c>
      <c r="O24" s="312"/>
      <c r="P24" s="313">
        <f>SUM(P23:P23)</f>
        <v>47974.070000000007</v>
      </c>
    </row>
    <row r="25" spans="2:19" x14ac:dyDescent="0.3">
      <c r="B25" s="256"/>
      <c r="F25" s="92"/>
      <c r="P25" s="162"/>
    </row>
    <row r="26" spans="2:19" ht="15.6" x14ac:dyDescent="0.3">
      <c r="B26" s="257" t="s">
        <v>292</v>
      </c>
      <c r="C26" s="69">
        <f t="shared" ref="C26" si="7">C18-C24</f>
        <v>-67320.260000000009</v>
      </c>
      <c r="D26" s="69">
        <f t="shared" ref="D26:N26" si="8">D18-D24</f>
        <v>92246.720000000001</v>
      </c>
      <c r="E26" s="69">
        <f t="shared" si="8"/>
        <v>5735.720000000003</v>
      </c>
      <c r="F26" s="126">
        <f t="shared" si="8"/>
        <v>-28857.11</v>
      </c>
      <c r="G26" s="69">
        <f t="shared" si="8"/>
        <v>53032.210000000006</v>
      </c>
      <c r="H26" s="69">
        <f t="shared" si="8"/>
        <v>-30499.549999999996</v>
      </c>
      <c r="I26" s="69">
        <f t="shared" si="8"/>
        <v>-5299.88</v>
      </c>
      <c r="J26" s="69">
        <f t="shared" si="8"/>
        <v>1880.1499999999996</v>
      </c>
      <c r="K26" s="69">
        <f t="shared" si="8"/>
        <v>10566.740000000005</v>
      </c>
      <c r="L26" s="69">
        <f t="shared" si="8"/>
        <v>60727.900950000003</v>
      </c>
      <c r="M26" s="69">
        <f t="shared" si="8"/>
        <v>17355.056666666667</v>
      </c>
      <c r="N26" s="69">
        <f t="shared" si="8"/>
        <v>85411.14</v>
      </c>
      <c r="O26" s="310"/>
      <c r="P26" s="258">
        <f>P18-P24</f>
        <v>194978.83761666657</v>
      </c>
    </row>
    <row r="27" spans="2:19" ht="15.6" x14ac:dyDescent="0.3">
      <c r="B27" s="282" t="s">
        <v>291</v>
      </c>
      <c r="C27" s="245">
        <f>C19-C24</f>
        <v>-67320.260000000009</v>
      </c>
      <c r="D27" s="245">
        <f t="shared" ref="D27:N27" si="9">D19-D24</f>
        <v>92246.720000000001</v>
      </c>
      <c r="E27" s="245">
        <f t="shared" si="9"/>
        <v>5735.720000000003</v>
      </c>
      <c r="F27" s="244">
        <f t="shared" si="9"/>
        <v>-14091.11</v>
      </c>
      <c r="G27" s="245">
        <f t="shared" si="9"/>
        <v>-21967.79</v>
      </c>
      <c r="H27" s="245">
        <f t="shared" si="9"/>
        <v>-30499.549999999996</v>
      </c>
      <c r="I27" s="245">
        <f t="shared" si="9"/>
        <v>-5299.88</v>
      </c>
      <c r="J27" s="245">
        <f t="shared" si="9"/>
        <v>-12885.85</v>
      </c>
      <c r="K27" s="245">
        <f t="shared" si="9"/>
        <v>10566.740000000005</v>
      </c>
      <c r="L27" s="245">
        <f t="shared" si="9"/>
        <v>60727.900950000003</v>
      </c>
      <c r="M27" s="245">
        <f t="shared" si="9"/>
        <v>17355.056666666667</v>
      </c>
      <c r="N27" s="245">
        <f t="shared" si="9"/>
        <v>85411.14</v>
      </c>
      <c r="O27" s="310"/>
      <c r="P27" s="264">
        <f>P19-P24</f>
        <v>119978.83761666657</v>
      </c>
    </row>
    <row r="28" spans="2:19" x14ac:dyDescent="0.3">
      <c r="B28" s="259" t="s">
        <v>303</v>
      </c>
      <c r="C28" s="71">
        <f t="shared" ref="C28:N28" si="10">+IFERROR(C26/C14, 0)</f>
        <v>0</v>
      </c>
      <c r="D28" s="71">
        <f t="shared" si="10"/>
        <v>0.81997084444444446</v>
      </c>
      <c r="E28" s="71">
        <f t="shared" si="10"/>
        <v>5.0984177777777806E-2</v>
      </c>
      <c r="F28" s="127">
        <f t="shared" si="10"/>
        <v>0</v>
      </c>
      <c r="G28" s="71">
        <f t="shared" si="10"/>
        <v>0.64313178910522184</v>
      </c>
      <c r="H28" s="71">
        <f t="shared" si="10"/>
        <v>-2.7907909858866242</v>
      </c>
      <c r="I28" s="71">
        <f t="shared" si="10"/>
        <v>-7.5712571428571431</v>
      </c>
      <c r="J28" s="71">
        <f t="shared" si="10"/>
        <v>4.0964551059982125E-2</v>
      </c>
      <c r="K28" s="71">
        <f t="shared" si="10"/>
        <v>0.21560243459028008</v>
      </c>
      <c r="L28" s="71">
        <f t="shared" si="10"/>
        <v>0.5263244646372357</v>
      </c>
      <c r="M28" s="71">
        <f t="shared" si="10"/>
        <v>0.42415617107942977</v>
      </c>
      <c r="N28" s="71">
        <f t="shared" si="10"/>
        <v>0.87065382262996938</v>
      </c>
      <c r="O28" s="7"/>
      <c r="P28" s="260">
        <f>P26/P14</f>
        <v>0.29171284995583252</v>
      </c>
    </row>
    <row r="29" spans="2:19" x14ac:dyDescent="0.3">
      <c r="B29" s="259" t="s">
        <v>302</v>
      </c>
      <c r="C29" s="71">
        <f t="shared" ref="C29:N29" si="11">+IFERROR(C27/C15, 0)</f>
        <v>0</v>
      </c>
      <c r="D29" s="71">
        <f t="shared" si="11"/>
        <v>0.81997084444444446</v>
      </c>
      <c r="E29" s="71">
        <f t="shared" si="11"/>
        <v>5.0984177777777806E-2</v>
      </c>
      <c r="F29" s="127">
        <f t="shared" si="11"/>
        <v>-0.95429432480021681</v>
      </c>
      <c r="G29" s="71">
        <f t="shared" si="11"/>
        <v>-2.9450124140002041</v>
      </c>
      <c r="H29" s="71">
        <f t="shared" si="11"/>
        <v>-2.7907909858866242</v>
      </c>
      <c r="I29" s="71">
        <f t="shared" si="11"/>
        <v>-7.5712571428571431</v>
      </c>
      <c r="J29" s="71">
        <f t="shared" si="11"/>
        <v>-0.41392342038482544</v>
      </c>
      <c r="K29" s="71">
        <f t="shared" si="11"/>
        <v>0.21560243459028008</v>
      </c>
      <c r="L29" s="71">
        <f t="shared" si="11"/>
        <v>0.5263244646372357</v>
      </c>
      <c r="M29" s="71">
        <f t="shared" si="11"/>
        <v>0.42415617107942977</v>
      </c>
      <c r="N29" s="71">
        <f t="shared" si="11"/>
        <v>0.87065382262996938</v>
      </c>
      <c r="O29" s="7"/>
      <c r="P29" s="260">
        <f>P27/P15</f>
        <v>0.20219117886963617</v>
      </c>
    </row>
    <row r="30" spans="2:19" x14ac:dyDescent="0.3">
      <c r="B30" s="262"/>
      <c r="C30" s="63"/>
      <c r="D30" s="63"/>
      <c r="E30" s="63"/>
      <c r="F30" s="129"/>
      <c r="G30" s="63"/>
      <c r="H30" s="63"/>
      <c r="I30" s="63"/>
      <c r="J30" s="63"/>
      <c r="K30" s="63"/>
      <c r="L30" s="63"/>
      <c r="M30" s="63"/>
      <c r="N30" s="63"/>
      <c r="P30" s="263"/>
    </row>
    <row r="31" spans="2:19" x14ac:dyDescent="0.3">
      <c r="B31" s="256" t="s">
        <v>154</v>
      </c>
      <c r="C31" s="108">
        <f>SUMIF('Monthly Detail'!$3:$3, '2024 Overview (Rolling)'!C$11, 'Monthly Detail'!84:84)</f>
        <v>0</v>
      </c>
      <c r="D31" s="108">
        <f>SUMIF('Monthly Detail'!$3:$3, '2024 Overview (Rolling)'!D$11, 'Monthly Detail'!84:84)</f>
        <v>0</v>
      </c>
      <c r="E31" s="108">
        <f>SUMIF('Monthly Detail'!$3:$3, '2024 Overview (Rolling)'!E$11, 'Monthly Detail'!84:84)</f>
        <v>0</v>
      </c>
      <c r="F31" s="130">
        <f>SUMIF('Monthly Detail'!$3:$3, '2024 Overview (Rolling)'!F$11, 'Monthly Detail'!84:84)</f>
        <v>0</v>
      </c>
      <c r="G31" s="108">
        <f>SUMIF('Monthly Detail'!$3:$3, '2024 Overview (Rolling)'!G$11, 'Monthly Detail'!84:84)</f>
        <v>0</v>
      </c>
      <c r="H31" s="108">
        <f>SUMIF('Monthly Detail'!$3:$3, '2024 Overview (Rolling)'!H$11, 'Monthly Detail'!84:84)</f>
        <v>0</v>
      </c>
      <c r="I31" s="108">
        <f>SUMIF('Monthly Detail'!$3:$3, '2024 Overview (Rolling)'!I$11, 'Monthly Detail'!84:84)</f>
        <v>300</v>
      </c>
      <c r="J31" s="108">
        <f>SUMIF('Monthly Detail'!$3:$3, '2024 Overview (Rolling)'!J$11, 'Monthly Detail'!84:84)</f>
        <v>0</v>
      </c>
      <c r="K31" s="108">
        <f>SUMIF('Monthly Detail'!$3:$3, '2024 Overview (Rolling)'!K$11, 'Monthly Detail'!84:84)</f>
        <v>300</v>
      </c>
      <c r="L31" s="108">
        <f>SUMIF('Monthly Detail'!$3:$3, '2024 Overview (Rolling)'!L$11, 'Monthly Detail'!84:84)</f>
        <v>0</v>
      </c>
      <c r="M31" s="108">
        <f>SUMIF('Monthly Detail'!$3:$3, '2024 Overview (Rolling)'!M$11, 'Monthly Detail'!84:84)</f>
        <v>0</v>
      </c>
      <c r="N31" s="108">
        <f>SUMIF('Monthly Detail'!$3:$3, '2024 Overview (Rolling)'!N$11, 'Monthly Detail'!84:84)</f>
        <v>0</v>
      </c>
      <c r="O31" s="108"/>
      <c r="P31" s="163">
        <f>SUM(C31:O31)</f>
        <v>600</v>
      </c>
    </row>
    <row r="32" spans="2:19" ht="15.6" x14ac:dyDescent="0.3">
      <c r="B32" s="257" t="s">
        <v>297</v>
      </c>
      <c r="C32" s="69">
        <f>+C26+C31</f>
        <v>-67320.260000000009</v>
      </c>
      <c r="D32" s="69">
        <f t="shared" ref="D32:N32" si="12">+D26+D31</f>
        <v>92246.720000000001</v>
      </c>
      <c r="E32" s="69">
        <f t="shared" si="12"/>
        <v>5735.720000000003</v>
      </c>
      <c r="F32" s="126">
        <f t="shared" si="12"/>
        <v>-28857.11</v>
      </c>
      <c r="G32" s="69">
        <f t="shared" si="12"/>
        <v>53032.210000000006</v>
      </c>
      <c r="H32" s="69">
        <f t="shared" si="12"/>
        <v>-30499.549999999996</v>
      </c>
      <c r="I32" s="69">
        <f t="shared" si="12"/>
        <v>-4999.88</v>
      </c>
      <c r="J32" s="69">
        <f t="shared" si="12"/>
        <v>1880.1499999999996</v>
      </c>
      <c r="K32" s="69">
        <f t="shared" si="12"/>
        <v>10866.740000000005</v>
      </c>
      <c r="L32" s="69">
        <f t="shared" si="12"/>
        <v>60727.900950000003</v>
      </c>
      <c r="M32" s="69">
        <f t="shared" si="12"/>
        <v>17355.056666666667</v>
      </c>
      <c r="N32" s="69">
        <f t="shared" si="12"/>
        <v>85411.14</v>
      </c>
      <c r="O32" s="310"/>
      <c r="P32" s="258">
        <f>P26+SUM(P31:P31)</f>
        <v>195578.83761666657</v>
      </c>
    </row>
    <row r="33" spans="2:17" ht="15.6" x14ac:dyDescent="0.3">
      <c r="B33" s="282" t="s">
        <v>296</v>
      </c>
      <c r="C33" s="245">
        <f>+C27+C31</f>
        <v>-67320.260000000009</v>
      </c>
      <c r="D33" s="245">
        <f t="shared" ref="D33:N33" si="13">+D27+D31</f>
        <v>92246.720000000001</v>
      </c>
      <c r="E33" s="245">
        <f t="shared" si="13"/>
        <v>5735.720000000003</v>
      </c>
      <c r="F33" s="244">
        <f t="shared" si="13"/>
        <v>-14091.11</v>
      </c>
      <c r="G33" s="245">
        <f t="shared" si="13"/>
        <v>-21967.79</v>
      </c>
      <c r="H33" s="245">
        <f t="shared" si="13"/>
        <v>-30499.549999999996</v>
      </c>
      <c r="I33" s="245">
        <f t="shared" si="13"/>
        <v>-4999.88</v>
      </c>
      <c r="J33" s="245">
        <f t="shared" si="13"/>
        <v>-12885.85</v>
      </c>
      <c r="K33" s="245">
        <f t="shared" si="13"/>
        <v>10866.740000000005</v>
      </c>
      <c r="L33" s="245">
        <f t="shared" si="13"/>
        <v>60727.900950000003</v>
      </c>
      <c r="M33" s="245">
        <f t="shared" si="13"/>
        <v>17355.056666666667</v>
      </c>
      <c r="N33" s="245">
        <f t="shared" si="13"/>
        <v>85411.14</v>
      </c>
      <c r="O33" s="310"/>
      <c r="P33" s="264"/>
    </row>
    <row r="34" spans="2:17" x14ac:dyDescent="0.3">
      <c r="B34" s="259" t="s">
        <v>304</v>
      </c>
      <c r="C34" s="71">
        <f t="shared" ref="C34:N34" si="14">+IFERROR(C32/C14, 0)</f>
        <v>0</v>
      </c>
      <c r="D34" s="71">
        <f t="shared" si="14"/>
        <v>0.81997084444444446</v>
      </c>
      <c r="E34" s="71">
        <f t="shared" si="14"/>
        <v>5.0984177777777806E-2</v>
      </c>
      <c r="F34" s="127">
        <f t="shared" si="14"/>
        <v>0</v>
      </c>
      <c r="G34" s="71">
        <f t="shared" si="14"/>
        <v>0.64313178910522184</v>
      </c>
      <c r="H34" s="71">
        <f t="shared" si="14"/>
        <v>-2.7907909858866242</v>
      </c>
      <c r="I34" s="71">
        <f t="shared" si="14"/>
        <v>-7.1426857142857143</v>
      </c>
      <c r="J34" s="71">
        <f t="shared" si="14"/>
        <v>4.0964551059982125E-2</v>
      </c>
      <c r="K34" s="71">
        <f t="shared" si="14"/>
        <v>0.22172359687657503</v>
      </c>
      <c r="L34" s="71">
        <f t="shared" si="14"/>
        <v>0.5263244646372357</v>
      </c>
      <c r="M34" s="71">
        <f t="shared" si="14"/>
        <v>0.42415617107942977</v>
      </c>
      <c r="N34" s="71">
        <f t="shared" si="14"/>
        <v>0.87065382262996938</v>
      </c>
      <c r="O34" s="7"/>
      <c r="P34" s="260">
        <f>P32/P14</f>
        <v>0.29261052537595994</v>
      </c>
    </row>
    <row r="35" spans="2:17" x14ac:dyDescent="0.3">
      <c r="B35" s="259" t="s">
        <v>305</v>
      </c>
      <c r="C35" s="71">
        <f t="shared" ref="C35:N35" si="15">+IFERROR(C33/C15, 0)</f>
        <v>0</v>
      </c>
      <c r="D35" s="71">
        <f t="shared" si="15"/>
        <v>0.81997084444444446</v>
      </c>
      <c r="E35" s="71">
        <f t="shared" si="15"/>
        <v>5.0984177777777806E-2</v>
      </c>
      <c r="F35" s="127">
        <f t="shared" si="15"/>
        <v>-0.95429432480021681</v>
      </c>
      <c r="G35" s="71">
        <f t="shared" si="15"/>
        <v>-2.9450124140002041</v>
      </c>
      <c r="H35" s="71">
        <f t="shared" si="15"/>
        <v>-2.7907909858866242</v>
      </c>
      <c r="I35" s="71">
        <f t="shared" si="15"/>
        <v>-7.1426857142857143</v>
      </c>
      <c r="J35" s="71">
        <f t="shared" si="15"/>
        <v>-0.41392342038482544</v>
      </c>
      <c r="K35" s="71">
        <f t="shared" si="15"/>
        <v>0.22172359687657503</v>
      </c>
      <c r="L35" s="71">
        <f t="shared" si="15"/>
        <v>0.5263244646372357</v>
      </c>
      <c r="M35" s="71">
        <f t="shared" si="15"/>
        <v>0.42415617107942977</v>
      </c>
      <c r="N35" s="71">
        <f t="shared" si="15"/>
        <v>0.87065382262996938</v>
      </c>
      <c r="O35" s="7"/>
      <c r="P35" s="260"/>
    </row>
    <row r="36" spans="2:17" ht="15.6" x14ac:dyDescent="0.3">
      <c r="B36" s="259" t="s">
        <v>238</v>
      </c>
      <c r="C36" s="245">
        <f>+'Monthly Detail'!AB157-'Monthly Detail'!AA157</f>
        <v>0</v>
      </c>
      <c r="D36" s="71">
        <f>+'Monthly Detail'!AC157-'Monthly Detail'!AB157</f>
        <v>0</v>
      </c>
      <c r="E36" s="245">
        <f>+'Monthly Detail'!AD157-'Monthly Detail'!AC157</f>
        <v>0</v>
      </c>
      <c r="F36" s="244">
        <f>+'Monthly Detail'!AE157-'Monthly Detail'!AD157</f>
        <v>0</v>
      </c>
      <c r="G36" s="245">
        <f>+'Monthly Detail'!AF157-'Monthly Detail'!AE157</f>
        <v>0</v>
      </c>
      <c r="H36" s="245">
        <f>+'Monthly Detail'!AG157-'Monthly Detail'!AF157</f>
        <v>0</v>
      </c>
      <c r="I36" s="245">
        <f>+'Monthly Detail'!AH157-'Monthly Detail'!AG157</f>
        <v>0</v>
      </c>
      <c r="J36" s="245">
        <f>+'Monthly Detail'!AI157-'Monthly Detail'!AH157</f>
        <v>0</v>
      </c>
      <c r="K36" s="245">
        <f>+'Monthly Detail'!AJ157-'Monthly Detail'!AI157</f>
        <v>0</v>
      </c>
      <c r="L36" s="245">
        <f>+'Monthly Detail'!AK157-'Monthly Detail'!AJ157</f>
        <v>0</v>
      </c>
      <c r="M36" s="245">
        <f>+'Monthly Detail'!AL157-'Monthly Detail'!AK157</f>
        <v>0</v>
      </c>
      <c r="N36" s="245">
        <f>+'Monthly Detail'!AM157-'Monthly Detail'!AL157</f>
        <v>0</v>
      </c>
      <c r="O36" s="7"/>
      <c r="P36" s="264">
        <f>+SUM(C36:N36)</f>
        <v>0</v>
      </c>
    </row>
    <row r="37" spans="2:17" ht="15" thickBot="1" x14ac:dyDescent="0.35">
      <c r="B37" s="256"/>
      <c r="F37" s="92"/>
      <c r="P37" s="162"/>
    </row>
    <row r="38" spans="2:17" ht="15.6" x14ac:dyDescent="0.3">
      <c r="B38" s="314" t="s">
        <v>156</v>
      </c>
      <c r="C38" s="65">
        <f>SUMIF('Monthly Detail'!$3:$3, '2024 Overview (Rolling)'!C$11, 'Monthly Detail'!179:179)</f>
        <v>95197.939999999973</v>
      </c>
      <c r="D38" s="134">
        <f>SUMIF('Monthly Detail'!$3:$3, '2024 Overview (Rolling)'!D$11, 'Monthly Detail'!179:179)</f>
        <v>146721.93</v>
      </c>
      <c r="E38" s="65">
        <f>SUMIF('Monthly Detail'!$3:$3, '2024 Overview (Rolling)'!E$11, 'Monthly Detail'!179:179)</f>
        <v>152555.54</v>
      </c>
      <c r="F38" s="321">
        <f>SUMIF('Monthly Detail'!$3:$3, '2024 Overview (Rolling)'!F$11, 'Monthly Detail'!179:179)</f>
        <v>82418.3</v>
      </c>
      <c r="G38" s="134">
        <f>SUMIF('Monthly Detail'!$3:$3, '2024 Overview (Rolling)'!G$11, 'Monthly Detail'!179:179)</f>
        <v>53728.640000000014</v>
      </c>
      <c r="H38" s="65">
        <f>SUMIF('Monthly Detail'!$3:$3, '2024 Overview (Rolling)'!H$11, 'Monthly Detail'!179:179)</f>
        <v>44539.60000000002</v>
      </c>
      <c r="I38" s="65">
        <f>SUMIF('Monthly Detail'!$3:$3, '2024 Overview (Rolling)'!I$11, 'Monthly Detail'!179:179)</f>
        <v>27299.970000000019</v>
      </c>
      <c r="J38" s="134">
        <f>SUMIF('Monthly Detail'!$3:$3, '2024 Overview (Rolling)'!J$11, 'Monthly Detail'!179:179)</f>
        <v>20509.540000000015</v>
      </c>
      <c r="K38" s="65">
        <f>SUMIF('Monthly Detail'!$3:$3, '2024 Overview (Rolling)'!K$11, 'Monthly Detail'!179:179)</f>
        <v>33227.020000000019</v>
      </c>
      <c r="L38" s="65">
        <f>SUMIF('Monthly Detail'!$3:$3, '2024 Overview (Rolling)'!L$11, 'Monthly Detail'!179:179)</f>
        <v>169214.67718884727</v>
      </c>
      <c r="M38" s="65">
        <f>SUMIF('Monthly Detail'!$3:$3, '2024 Overview (Rolling)'!M$11, 'Monthly Detail'!179:179)</f>
        <v>190769.46533662349</v>
      </c>
      <c r="N38" s="65">
        <f>SUMIF('Monthly Detail'!$3:$3, '2024 Overview (Rolling)'!N$11, 'Monthly Detail'!179:179)</f>
        <v>352788.93552211684</v>
      </c>
      <c r="P38" s="315">
        <f>+P32*0.153</f>
        <v>29923.562155349984</v>
      </c>
      <c r="Q38" t="s">
        <v>308</v>
      </c>
    </row>
    <row r="39" spans="2:17" ht="15.6" x14ac:dyDescent="0.3">
      <c r="B39" s="316" t="s">
        <v>157</v>
      </c>
      <c r="C39" s="318">
        <f>SUMIF('Monthly Detail'!$3:$3, '2024 Overview (Rolling)'!C$11, 'Monthly Detail'!176:176)</f>
        <v>-99451.290000000008</v>
      </c>
      <c r="D39" s="317">
        <f>SUMIF('Monthly Detail'!$3:$3, '2024 Overview (Rolling)'!D$11, 'Monthly Detail'!176:176)</f>
        <v>51523.990000000005</v>
      </c>
      <c r="E39" s="318">
        <f>SUMIF('Monthly Detail'!$3:$3, '2024 Overview (Rolling)'!E$11, 'Monthly Detail'!176:176)</f>
        <v>5833.6100000000024</v>
      </c>
      <c r="F39" s="322">
        <f>SUMIF('Monthly Detail'!$3:$3, '2024 Overview (Rolling)'!F$11, 'Monthly Detail'!176:176)</f>
        <v>-70137.240000000005</v>
      </c>
      <c r="G39" s="317">
        <f>SUMIF('Monthly Detail'!$3:$3, '2024 Overview (Rolling)'!G$11, 'Monthly Detail'!176:176)</f>
        <v>-28689.659999999989</v>
      </c>
      <c r="H39" s="318">
        <f>SUMIF('Monthly Detail'!$3:$3, '2024 Overview (Rolling)'!H$11, 'Monthly Detail'!176:176)</f>
        <v>-9189.0399999999936</v>
      </c>
      <c r="I39" s="318">
        <f>SUMIF('Monthly Detail'!$3:$3, '2024 Overview (Rolling)'!I$11, 'Monthly Detail'!176:176)</f>
        <v>-17239.63</v>
      </c>
      <c r="J39" s="317">
        <f>SUMIF('Monthly Detail'!$3:$3, '2024 Overview (Rolling)'!J$11, 'Monthly Detail'!176:176)</f>
        <v>-6790.4300000000021</v>
      </c>
      <c r="K39" s="318">
        <f>SUMIF('Monthly Detail'!$3:$3, '2024 Overview (Rolling)'!K$11, 'Monthly Detail'!176:176)</f>
        <v>12717.480000000007</v>
      </c>
      <c r="L39" s="318">
        <f>SUMIF('Monthly Detail'!$3:$3, '2024 Overview (Rolling)'!L$11, 'Monthly Detail'!176:176)</f>
        <v>135987.65718884725</v>
      </c>
      <c r="M39" s="318">
        <f>SUMIF('Monthly Detail'!$3:$3, '2024 Overview (Rolling)'!M$11, 'Monthly Detail'!176:176)</f>
        <v>21554.788147776213</v>
      </c>
      <c r="N39" s="318">
        <f>SUMIF('Monthly Detail'!$3:$3, '2024 Overview (Rolling)'!N$11, 'Monthly Detail'!176:176)</f>
        <v>162019.47018549335</v>
      </c>
      <c r="O39" s="283"/>
      <c r="P39" s="319">
        <f>+P33*0.153</f>
        <v>0</v>
      </c>
      <c r="Q39" t="s">
        <v>306</v>
      </c>
    </row>
    <row r="40" spans="2:17" x14ac:dyDescent="0.3">
      <c r="E40" s="9"/>
    </row>
  </sheetData>
  <mergeCells count="1">
    <mergeCell ref="B8:P8"/>
  </mergeCells>
  <pageMargins left="0.25" right="0.25" top="0.75" bottom="0.75" header="0.3" footer="0.3"/>
  <pageSetup scale="55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6506-3FAF-47D0-ABD4-7EC31347B89F}">
  <sheetPr>
    <tabColor theme="1"/>
    <pageSetUpPr fitToPage="1"/>
  </sheetPr>
  <dimension ref="B10:T32"/>
  <sheetViews>
    <sheetView showGridLines="0" topLeftCell="A4" workbookViewId="0">
      <selection activeCell="C31" sqref="C31"/>
    </sheetView>
  </sheetViews>
  <sheetFormatPr defaultRowHeight="14.4" x14ac:dyDescent="0.3"/>
  <cols>
    <col min="2" max="2" width="34" bestFit="1" customWidth="1"/>
    <col min="3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209"/>
      <c r="C10" s="50" t="s">
        <v>215</v>
      </c>
      <c r="D10" s="50" t="s">
        <v>216</v>
      </c>
      <c r="E10" s="50" t="s">
        <v>217</v>
      </c>
      <c r="F10" s="50" t="s">
        <v>218</v>
      </c>
      <c r="G10" s="50" t="s">
        <v>219</v>
      </c>
      <c r="H10" s="50" t="s">
        <v>220</v>
      </c>
      <c r="I10" s="50" t="s">
        <v>221</v>
      </c>
      <c r="J10" s="50" t="s">
        <v>222</v>
      </c>
      <c r="K10" s="50" t="s">
        <v>223</v>
      </c>
      <c r="L10" s="50" t="s">
        <v>224</v>
      </c>
      <c r="M10" s="50" t="s">
        <v>225</v>
      </c>
      <c r="N10" s="50" t="s">
        <v>226</v>
      </c>
      <c r="O10" s="51"/>
      <c r="P10" s="52" t="s">
        <v>0</v>
      </c>
    </row>
    <row r="11" spans="2:16" x14ac:dyDescent="0.3">
      <c r="B11" s="210"/>
      <c r="C11" s="72">
        <v>45322</v>
      </c>
      <c r="D11" s="72">
        <v>45351</v>
      </c>
      <c r="E11" s="72">
        <v>45382</v>
      </c>
      <c r="F11" s="72">
        <v>45412</v>
      </c>
      <c r="G11" s="72">
        <v>45443</v>
      </c>
      <c r="H11" s="72">
        <v>45473</v>
      </c>
      <c r="I11" s="72">
        <v>45504</v>
      </c>
      <c r="J11" s="72">
        <v>45535</v>
      </c>
      <c r="K11" s="72">
        <v>45565</v>
      </c>
      <c r="L11" s="72">
        <v>45596</v>
      </c>
      <c r="M11" s="72">
        <v>45626</v>
      </c>
      <c r="N11" s="72">
        <v>45657</v>
      </c>
      <c r="O11" s="72">
        <v>45322</v>
      </c>
    </row>
    <row r="12" spans="2:16" x14ac:dyDescent="0.3">
      <c r="B12" s="211" t="s">
        <v>51</v>
      </c>
      <c r="C12" s="54">
        <v>3016.9791666666665</v>
      </c>
      <c r="D12" s="54">
        <v>4844.1611842105267</v>
      </c>
      <c r="E12" s="54">
        <v>3944.633152173913</v>
      </c>
      <c r="F12" s="54">
        <v>5914.9553571428578</v>
      </c>
      <c r="G12" s="54">
        <v>9283.8541666666679</v>
      </c>
      <c r="H12" s="54">
        <v>6091.382575757576</v>
      </c>
      <c r="I12" s="54">
        <v>8868.75</v>
      </c>
      <c r="J12" s="54">
        <v>8337.0364450127872</v>
      </c>
      <c r="K12" s="54">
        <v>11563.577586206897</v>
      </c>
      <c r="L12" s="54">
        <v>9344.2604758522739</v>
      </c>
      <c r="M12" s="54">
        <v>5520.01953125</v>
      </c>
      <c r="N12" s="54">
        <v>3421.0526315789475</v>
      </c>
      <c r="O12" s="54"/>
      <c r="P12" s="54">
        <v>80150.662272519112</v>
      </c>
    </row>
    <row r="13" spans="2:16" x14ac:dyDescent="0.3">
      <c r="B13" s="211" t="s">
        <v>158</v>
      </c>
      <c r="C13" s="54">
        <v>49.5</v>
      </c>
      <c r="D13" s="54">
        <v>49.5</v>
      </c>
      <c r="E13" s="54">
        <v>49.5</v>
      </c>
      <c r="F13" s="54">
        <v>49.5</v>
      </c>
      <c r="G13" s="54">
        <v>49.5</v>
      </c>
      <c r="H13" s="54">
        <v>49.5</v>
      </c>
      <c r="I13" s="54">
        <v>49.5</v>
      </c>
      <c r="J13" s="54">
        <v>49.5</v>
      </c>
      <c r="K13" s="54">
        <v>49.5</v>
      </c>
      <c r="L13" s="54">
        <v>49.5</v>
      </c>
      <c r="M13" s="54">
        <v>49.5</v>
      </c>
      <c r="N13" s="54">
        <v>49.5</v>
      </c>
      <c r="O13" s="54"/>
      <c r="P13" s="54"/>
    </row>
    <row r="14" spans="2:16" x14ac:dyDescent="0.3">
      <c r="B14" s="212" t="s">
        <v>3</v>
      </c>
      <c r="C14" s="55">
        <v>3066.4791666666665</v>
      </c>
      <c r="D14" s="55">
        <v>4893.6611842105267</v>
      </c>
      <c r="E14" s="55">
        <v>3994.133152173913</v>
      </c>
      <c r="F14" s="55">
        <v>5964.4553571428578</v>
      </c>
      <c r="G14" s="55">
        <v>9333.3541666666679</v>
      </c>
      <c r="H14" s="55">
        <v>6140.882575757576</v>
      </c>
      <c r="I14" s="55">
        <v>8918.25</v>
      </c>
      <c r="J14" s="55">
        <v>8386.5364450127872</v>
      </c>
      <c r="K14" s="55">
        <v>11613.077586206897</v>
      </c>
      <c r="L14" s="55">
        <v>9393.7604758522739</v>
      </c>
      <c r="M14" s="55">
        <v>5569.51953125</v>
      </c>
      <c r="N14" s="55">
        <v>3470.5526315789475</v>
      </c>
      <c r="O14" s="56"/>
      <c r="P14" s="55">
        <v>80150.662272519112</v>
      </c>
    </row>
    <row r="15" spans="2:16" x14ac:dyDescent="0.3">
      <c r="B15" s="213" t="s">
        <v>53</v>
      </c>
      <c r="C15" s="207">
        <v>21</v>
      </c>
      <c r="D15" s="207">
        <v>33</v>
      </c>
      <c r="E15" s="207">
        <v>35</v>
      </c>
      <c r="F15" s="207">
        <v>33</v>
      </c>
      <c r="G15" s="207">
        <v>31</v>
      </c>
      <c r="H15" s="207">
        <v>31</v>
      </c>
      <c r="I15" s="207">
        <v>28</v>
      </c>
      <c r="J15" s="207">
        <v>29</v>
      </c>
      <c r="K15" s="207">
        <v>40</v>
      </c>
      <c r="L15" s="207">
        <v>35</v>
      </c>
      <c r="M15" s="207">
        <v>35</v>
      </c>
      <c r="N15" s="207">
        <v>32</v>
      </c>
      <c r="O15" s="56"/>
      <c r="P15" s="57"/>
    </row>
    <row r="16" spans="2:16" x14ac:dyDescent="0.3">
      <c r="B16" s="210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P16" s="57"/>
    </row>
    <row r="17" spans="2:20" ht="15.6" x14ac:dyDescent="0.3">
      <c r="B17" s="214" t="s">
        <v>149</v>
      </c>
      <c r="C17" s="69">
        <v>3066.4791666666665</v>
      </c>
      <c r="D17" s="69">
        <v>4893.6611842105267</v>
      </c>
      <c r="E17" s="69">
        <v>3994.133152173913</v>
      </c>
      <c r="F17" s="69">
        <v>5964.4553571428578</v>
      </c>
      <c r="G17" s="69">
        <v>9333.3541666666679</v>
      </c>
      <c r="H17" s="69">
        <v>6140.882575757576</v>
      </c>
      <c r="I17" s="69">
        <v>8918.25</v>
      </c>
      <c r="J17" s="69">
        <v>8386.5364450127872</v>
      </c>
      <c r="K17" s="69">
        <v>11613.077586206897</v>
      </c>
      <c r="L17" s="69">
        <v>9393.7604758522739</v>
      </c>
      <c r="M17" s="69">
        <v>5569.51953125</v>
      </c>
      <c r="N17" s="69">
        <v>3470.5526315789475</v>
      </c>
      <c r="O17" s="58"/>
      <c r="P17" s="69">
        <v>80150.662272519112</v>
      </c>
    </row>
    <row r="18" spans="2:20" x14ac:dyDescent="0.3">
      <c r="B18" s="215" t="s">
        <v>150</v>
      </c>
      <c r="C18" s="71">
        <v>1</v>
      </c>
      <c r="D18" s="71">
        <v>1</v>
      </c>
      <c r="E18" s="71">
        <v>1</v>
      </c>
      <c r="F18" s="71">
        <v>1</v>
      </c>
      <c r="G18" s="71">
        <v>1</v>
      </c>
      <c r="H18" s="71">
        <v>1</v>
      </c>
      <c r="I18" s="71">
        <v>1</v>
      </c>
      <c r="J18" s="71">
        <v>1</v>
      </c>
      <c r="K18" s="71">
        <v>1</v>
      </c>
      <c r="L18" s="71">
        <v>1</v>
      </c>
      <c r="M18" s="71">
        <v>1</v>
      </c>
      <c r="N18" s="71">
        <v>1</v>
      </c>
      <c r="O18" s="7"/>
      <c r="P18" s="71">
        <v>1</v>
      </c>
    </row>
    <row r="19" spans="2:20" x14ac:dyDescent="0.3">
      <c r="B19" s="210"/>
    </row>
    <row r="20" spans="2:20" x14ac:dyDescent="0.3">
      <c r="B20" s="210" t="s">
        <v>186</v>
      </c>
      <c r="C20" s="54">
        <v>810.76066666666679</v>
      </c>
      <c r="D20" s="54">
        <v>810.76066666666679</v>
      </c>
      <c r="E20" s="54">
        <v>810.76066666666679</v>
      </c>
      <c r="F20" s="54">
        <v>960.76066666666679</v>
      </c>
      <c r="G20" s="54">
        <v>810.76066666666679</v>
      </c>
      <c r="H20" s="54">
        <v>810.76066666666679</v>
      </c>
      <c r="I20" s="54">
        <v>960.76066666666679</v>
      </c>
      <c r="J20" s="54">
        <v>810.76066666666679</v>
      </c>
      <c r="K20" s="54">
        <v>1291.4503218390807</v>
      </c>
      <c r="L20" s="54">
        <v>960.76066666666679</v>
      </c>
      <c r="M20" s="54">
        <v>810.76066666666679</v>
      </c>
      <c r="N20" s="54">
        <v>810.76066666666679</v>
      </c>
      <c r="P20" s="54">
        <v>10659.817655172417</v>
      </c>
      <c r="T20" s="1"/>
    </row>
    <row r="21" spans="2:20" x14ac:dyDescent="0.3">
      <c r="B21" s="216" t="s">
        <v>151</v>
      </c>
      <c r="C21" s="60">
        <v>810.76066666666679</v>
      </c>
      <c r="D21" s="60">
        <v>810.76066666666679</v>
      </c>
      <c r="E21" s="60">
        <v>810.76066666666679</v>
      </c>
      <c r="F21" s="60">
        <v>960.76066666666679</v>
      </c>
      <c r="G21" s="60">
        <v>810.76066666666679</v>
      </c>
      <c r="H21" s="60">
        <v>810.76066666666679</v>
      </c>
      <c r="I21" s="60">
        <v>960.76066666666679</v>
      </c>
      <c r="J21" s="60">
        <v>810.76066666666679</v>
      </c>
      <c r="K21" s="60">
        <v>1291.4503218390807</v>
      </c>
      <c r="L21" s="60">
        <v>960.76066666666679</v>
      </c>
      <c r="M21" s="60">
        <v>810.76066666666679</v>
      </c>
      <c r="N21" s="60">
        <v>810.76066666666679</v>
      </c>
      <c r="O21" s="61"/>
      <c r="P21" s="60">
        <v>10659.817655172417</v>
      </c>
    </row>
    <row r="22" spans="2:20" x14ac:dyDescent="0.3">
      <c r="B22" s="210"/>
    </row>
    <row r="23" spans="2:20" ht="15.6" x14ac:dyDescent="0.3">
      <c r="B23" s="214" t="s">
        <v>152</v>
      </c>
      <c r="C23" s="69">
        <v>2255.7184999999999</v>
      </c>
      <c r="D23" s="69">
        <v>4082.9005175438597</v>
      </c>
      <c r="E23" s="69">
        <v>3183.372485507246</v>
      </c>
      <c r="F23" s="69">
        <v>5003.6946904761908</v>
      </c>
      <c r="G23" s="69">
        <v>8522.5935000000009</v>
      </c>
      <c r="H23" s="69">
        <v>5330.121909090909</v>
      </c>
      <c r="I23" s="69">
        <v>7957.489333333333</v>
      </c>
      <c r="J23" s="69">
        <v>7575.7757783461202</v>
      </c>
      <c r="K23" s="69">
        <v>10321.627264367817</v>
      </c>
      <c r="L23" s="69">
        <v>8432.9998091856069</v>
      </c>
      <c r="M23" s="69">
        <v>4758.758864583333</v>
      </c>
      <c r="N23" s="69">
        <v>2659.7919649122805</v>
      </c>
      <c r="O23" s="58"/>
      <c r="P23" s="69">
        <v>69490.844617346695</v>
      </c>
    </row>
    <row r="24" spans="2:20" x14ac:dyDescent="0.3">
      <c r="B24" s="215" t="s">
        <v>153</v>
      </c>
      <c r="C24" s="71">
        <v>0.73560535630575241</v>
      </c>
      <c r="D24" s="71">
        <v>0.83432431544656205</v>
      </c>
      <c r="E24" s="71">
        <v>0.79701210856593774</v>
      </c>
      <c r="F24" s="71">
        <v>0.83891896088783902</v>
      </c>
      <c r="G24" s="71">
        <v>0.91313297961388473</v>
      </c>
      <c r="H24" s="71">
        <v>0.8679732666005836</v>
      </c>
      <c r="I24" s="71">
        <v>0.89227026976518187</v>
      </c>
      <c r="J24" s="71">
        <v>0.90332592340324225</v>
      </c>
      <c r="K24" s="71">
        <v>0.88879344753771705</v>
      </c>
      <c r="L24" s="71">
        <v>0.89772352944953071</v>
      </c>
      <c r="M24" s="71">
        <v>0.85442897504576965</v>
      </c>
      <c r="N24" s="71">
        <v>0.76638859780155333</v>
      </c>
      <c r="O24" s="7"/>
      <c r="P24" s="71">
        <v>0.86700275015909256</v>
      </c>
    </row>
    <row r="25" spans="2:20" x14ac:dyDescent="0.3">
      <c r="B25" s="217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P25" s="63"/>
    </row>
    <row r="26" spans="2:20" x14ac:dyDescent="0.3">
      <c r="B26" s="210" t="s">
        <v>154</v>
      </c>
      <c r="C26" s="108">
        <v>0</v>
      </c>
      <c r="D26" s="105">
        <v>0</v>
      </c>
      <c r="E26" s="108">
        <v>0</v>
      </c>
      <c r="F26" s="105">
        <v>0</v>
      </c>
      <c r="G26" s="105">
        <v>0</v>
      </c>
      <c r="H26" s="105">
        <v>0</v>
      </c>
      <c r="I26" s="108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/>
      <c r="P26" s="90">
        <v>0</v>
      </c>
    </row>
    <row r="27" spans="2:20" ht="15.6" x14ac:dyDescent="0.3">
      <c r="B27" s="214" t="s">
        <v>12</v>
      </c>
      <c r="C27" s="69">
        <v>2255.7184999999999</v>
      </c>
      <c r="D27" s="69">
        <v>4082.9005175438597</v>
      </c>
      <c r="E27" s="69">
        <v>3183.372485507246</v>
      </c>
      <c r="F27" s="69">
        <v>5003.6946904761908</v>
      </c>
      <c r="G27" s="69">
        <v>8522.5935000000009</v>
      </c>
      <c r="H27" s="69">
        <v>5330.121909090909</v>
      </c>
      <c r="I27" s="69">
        <v>7957.489333333333</v>
      </c>
      <c r="J27" s="69">
        <v>7575.7757783461202</v>
      </c>
      <c r="K27" s="69">
        <v>10321.627264367817</v>
      </c>
      <c r="L27" s="69">
        <v>8432.9998091856069</v>
      </c>
      <c r="M27" s="69">
        <v>4758.758864583333</v>
      </c>
      <c r="N27" s="69">
        <v>2659.7919649122805</v>
      </c>
      <c r="O27" s="58"/>
      <c r="P27" s="69">
        <v>69490.844617346695</v>
      </c>
    </row>
    <row r="28" spans="2:20" x14ac:dyDescent="0.3">
      <c r="B28" s="215" t="s">
        <v>155</v>
      </c>
      <c r="C28" s="71">
        <v>0.73560535630575241</v>
      </c>
      <c r="D28" s="71">
        <v>0.83432431544656205</v>
      </c>
      <c r="E28" s="71">
        <v>0.79701210856593774</v>
      </c>
      <c r="F28" s="71">
        <v>0.83891896088783902</v>
      </c>
      <c r="G28" s="71">
        <v>0.91313297961388473</v>
      </c>
      <c r="H28" s="71">
        <v>0.8679732666005836</v>
      </c>
      <c r="I28" s="71">
        <v>0.89227026976518187</v>
      </c>
      <c r="J28" s="71">
        <v>0.90332592340324225</v>
      </c>
      <c r="K28" s="71">
        <v>0.88879344753771705</v>
      </c>
      <c r="L28" s="71">
        <v>0.89772352944953071</v>
      </c>
      <c r="M28" s="71">
        <v>0.85442897504576965</v>
      </c>
      <c r="N28" s="71">
        <v>0.76638859780155333</v>
      </c>
      <c r="O28" s="7"/>
      <c r="P28" s="71">
        <v>0.86700275015909256</v>
      </c>
    </row>
    <row r="29" spans="2:20" ht="15" thickBot="1" x14ac:dyDescent="0.35">
      <c r="B29" s="210"/>
    </row>
    <row r="30" spans="2:20" x14ac:dyDescent="0.3">
      <c r="B30" s="64" t="s">
        <v>156</v>
      </c>
      <c r="C30" s="65">
        <v>583.93523734582402</v>
      </c>
      <c r="D30" s="134">
        <v>3316.6412282455376</v>
      </c>
      <c r="E30" s="65">
        <v>5497.8005183445657</v>
      </c>
      <c r="F30" s="134">
        <v>3302.7836486269971</v>
      </c>
      <c r="G30" s="65">
        <v>8871.8882385311808</v>
      </c>
      <c r="H30" s="65">
        <v>13456.513174061729</v>
      </c>
      <c r="I30" s="65">
        <v>18493.088487745135</v>
      </c>
      <c r="J30" s="134">
        <v>19751.221462811165</v>
      </c>
      <c r="K30" s="65">
        <v>23942.748287661394</v>
      </c>
      <c r="L30" s="65">
        <v>24840.367955744099</v>
      </c>
      <c r="M30" s="65">
        <v>26127.425582637512</v>
      </c>
      <c r="N30" s="65">
        <v>27707.064622903279</v>
      </c>
    </row>
    <row r="31" spans="2:20" ht="15" thickBot="1" x14ac:dyDescent="0.35">
      <c r="B31" s="66" t="s">
        <v>157</v>
      </c>
      <c r="C31" s="67">
        <v>-413.08476265417585</v>
      </c>
      <c r="D31" s="135">
        <v>2732.7059908997135</v>
      </c>
      <c r="E31" s="67">
        <v>2181.1592900990277</v>
      </c>
      <c r="F31" s="135">
        <v>-2195.0168697175686</v>
      </c>
      <c r="G31" s="67">
        <v>5569.1045899041828</v>
      </c>
      <c r="H31" s="67">
        <v>4584.6249355305481</v>
      </c>
      <c r="I31" s="67">
        <v>5036.5753136834055</v>
      </c>
      <c r="J31" s="135">
        <v>1258.1329750660307</v>
      </c>
      <c r="K31" s="67">
        <v>4191.5268248502307</v>
      </c>
      <c r="L31" s="67">
        <v>897.61966808270699</v>
      </c>
      <c r="M31" s="67">
        <v>1287.0576268934128</v>
      </c>
      <c r="N31" s="67">
        <v>1579.6390402657671</v>
      </c>
    </row>
    <row r="32" spans="2:20" x14ac:dyDescent="0.3">
      <c r="E32" s="9"/>
    </row>
  </sheetData>
  <pageMargins left="0.25" right="0.25" top="0.75" bottom="0.75" header="0.3" footer="0.3"/>
  <pageSetup scale="6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1</vt:lpstr>
      <vt:lpstr>2023 Overview</vt:lpstr>
      <vt:lpstr>2024 Overview (Budget)</vt:lpstr>
      <vt:lpstr>Annual Summary</vt:lpstr>
      <vt:lpstr>2025 Overview (Accrual Basis)</vt:lpstr>
      <vt:lpstr>2024 Overview (Accrual Basis)</vt:lpstr>
      <vt:lpstr>2024 Overview (Cash Basis)</vt:lpstr>
      <vt:lpstr>2024 Overview (Rolling)</vt:lpstr>
      <vt:lpstr>2024 AOP</vt:lpstr>
      <vt:lpstr>2022 Overview</vt:lpstr>
      <vt:lpstr>DCF</vt:lpstr>
      <vt:lpstr>Quarterly Overview</vt:lpstr>
      <vt:lpstr>2</vt:lpstr>
      <vt:lpstr>Monthly Detail</vt:lpstr>
      <vt:lpstr>3</vt:lpstr>
      <vt:lpstr>Home Builder Revenue Build</vt:lpstr>
      <vt:lpstr>Contractor Revenue Build</vt:lpstr>
      <vt:lpstr>October</vt:lpstr>
      <vt:lpstr>September</vt:lpstr>
      <vt:lpstr>August</vt:lpstr>
      <vt:lpstr>New Sales Forecast</vt:lpstr>
      <vt:lpstr>Assumptions</vt:lpstr>
      <vt:lpstr>People Plan</vt:lpstr>
      <vt:lpstr>Actual vs. Forecast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2024-10-16T05:28:54Z</cp:lastPrinted>
  <dcterms:created xsi:type="dcterms:W3CDTF">2022-12-01T00:32:54Z</dcterms:created>
  <dcterms:modified xsi:type="dcterms:W3CDTF">2024-11-26T20:47:42Z</dcterms:modified>
</cp:coreProperties>
</file>