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finevalgroup/"/>
    </mc:Choice>
  </mc:AlternateContent>
  <xr:revisionPtr revIDLastSave="0" documentId="10_ncr:8000_{E1ED049E-1ED4-4149-A4D5-5D3CAAE79ECA}" xr6:coauthVersionLast="47" xr6:coauthVersionMax="47" xr10:uidLastSave="{00000000-0000-0000-0000-000000000000}"/>
  <bookViews>
    <workbookView xWindow="-108" yWindow="-108" windowWidth="23256" windowHeight="12456" firstSheet="4" activeTab="9" xr2:uid="{00000000-000D-0000-FFFF-FFFF00000000}"/>
  </bookViews>
  <sheets>
    <sheet name="1" sheetId="2" r:id="rId1"/>
    <sheet name="Annual Summary" sheetId="5" r:id="rId2"/>
    <sheet name="2025 Overview" sheetId="35" r:id="rId3"/>
    <sheet name="2025 AOP" sheetId="34" r:id="rId4"/>
    <sheet name="2024 Overview" sheetId="25" r:id="rId5"/>
    <sheet name="2024 AOP" sheetId="21" r:id="rId6"/>
    <sheet name="Quarterly Overview" sheetId="20" r:id="rId7"/>
    <sheet name="2022 Overview" sheetId="6" state="hidden" r:id="rId8"/>
    <sheet name="2" sheetId="3" r:id="rId9"/>
    <sheet name="Monthly Detail" sheetId="1" r:id="rId10"/>
    <sheet name="Sensitivity Analysis" sheetId="31" r:id="rId11"/>
    <sheet name="Revenue Build" sheetId="26" r:id="rId12"/>
    <sheet name="Bookings by Service Type" sheetId="27" r:id="rId13"/>
    <sheet name="3" sheetId="4" r:id="rId14"/>
    <sheet name="October" sheetId="11" state="hidden" r:id="rId15"/>
    <sheet name="September" sheetId="12" state="hidden" r:id="rId16"/>
    <sheet name="August" sheetId="13" state="hidden" r:id="rId17"/>
    <sheet name="New Trainers Plan" sheetId="32" r:id="rId18"/>
    <sheet name="4" sheetId="33" r:id="rId19"/>
    <sheet name="People Plan" sheetId="24" state="hidden" r:id="rId20"/>
    <sheet name="Holidays" sheetId="9" state="hidden" r:id="rId21"/>
    <sheet name="December" sheetId="19" state="hidden" r:id="rId22"/>
    <sheet name="November" sheetId="16" state="hidden" r:id="rId23"/>
    <sheet name="River" sheetId="18" state="hidden" r:id="rId24"/>
  </sheets>
  <definedNames>
    <definedName name="_xlnm._FilterDatabase" localSheetId="21" hidden="1">December!$A$1:$K$16</definedName>
    <definedName name="_xlnm._FilterDatabase" localSheetId="22" hidden="1">November!$A$1:$L$25</definedName>
    <definedName name="_xlnm._FilterDatabase" localSheetId="14" hidden="1">October!$A$1:$K$41</definedName>
    <definedName name="MLNK04527a7a692d4c5a962de6ed08306286" localSheetId="17" hidden="1">#REF!</definedName>
    <definedName name="MLNK04527a7a692d4c5a962de6ed08306286" localSheetId="10" hidden="1">#REF!</definedName>
    <definedName name="MLNK04527a7a692d4c5a962de6ed08306286" hidden="1">#REF!</definedName>
    <definedName name="_xlnm.Print_Area" localSheetId="7">'2022 Overview'!$B$2:$P$31</definedName>
    <definedName name="_xlnm.Print_Area" localSheetId="1">'Annual Summary'!$B$3:$V$37</definedName>
  </definedNames>
  <calcPr calcId="191029"/>
  <pivotCaches>
    <pivotCache cacheId="8" r:id="rId25"/>
    <pivotCache cacheId="9" r:id="rId26"/>
    <pivotCache cacheId="10" r:id="rId27"/>
    <pivotCache cacheId="11" r:id="rId2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31" l="1"/>
  <c r="AE34" i="1"/>
  <c r="AF34" i="1"/>
  <c r="AG34" i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AC71" i="1"/>
  <c r="AC80" i="1" s="1"/>
  <c r="AC90" i="1"/>
  <c r="AC91" i="1" s="1"/>
  <c r="AC103" i="1"/>
  <c r="AC104" i="1"/>
  <c r="AC108" i="1"/>
  <c r="AC114" i="1"/>
  <c r="AC120" i="1"/>
  <c r="AC124" i="1" s="1"/>
  <c r="AC132" i="1"/>
  <c r="AD73" i="1"/>
  <c r="AD76" i="1"/>
  <c r="AD77" i="1"/>
  <c r="AD79" i="1"/>
  <c r="AP79" i="1" s="1"/>
  <c r="BB79" i="1" s="1"/>
  <c r="BN79" i="1" s="1"/>
  <c r="BZ79" i="1" s="1"/>
  <c r="CL79" i="1" s="1"/>
  <c r="CX79" i="1" s="1"/>
  <c r="AD90" i="1"/>
  <c r="AD91" i="1" s="1"/>
  <c r="AD111" i="1"/>
  <c r="AD114" i="1" s="1"/>
  <c r="AD119" i="1"/>
  <c r="AD120" i="1" s="1"/>
  <c r="AD122" i="1"/>
  <c r="AD126" i="1"/>
  <c r="AD128" i="1"/>
  <c r="AD68" i="1"/>
  <c r="AD69" i="1"/>
  <c r="AC10" i="1"/>
  <c r="AC12" i="1" s="1"/>
  <c r="AC109" i="1" s="1"/>
  <c r="AC16" i="1"/>
  <c r="AC17" i="1"/>
  <c r="AC18" i="1"/>
  <c r="AC19" i="1"/>
  <c r="AC20" i="1"/>
  <c r="AC28" i="1"/>
  <c r="AC29" i="1"/>
  <c r="AC31" i="1"/>
  <c r="AC32" i="1" s="1"/>
  <c r="AD31" i="1"/>
  <c r="AD38" i="1"/>
  <c r="AD47" i="1"/>
  <c r="O22" i="26"/>
  <c r="O23" i="26"/>
  <c r="AE25" i="31"/>
  <c r="AD25" i="31"/>
  <c r="P48" i="31"/>
  <c r="P49" i="31" s="1"/>
  <c r="P50" i="31" s="1"/>
  <c r="AE50" i="31" s="1"/>
  <c r="P44" i="31"/>
  <c r="AE44" i="31" s="1"/>
  <c r="P42" i="31"/>
  <c r="AD42" i="31" s="1"/>
  <c r="P41" i="31"/>
  <c r="AE41" i="31" s="1"/>
  <c r="P40" i="31"/>
  <c r="AD40" i="31" s="1"/>
  <c r="P39" i="31"/>
  <c r="AD39" i="31" s="1"/>
  <c r="P37" i="31"/>
  <c r="P36" i="31"/>
  <c r="AE36" i="31" s="1"/>
  <c r="AD34" i="31"/>
  <c r="N13" i="35"/>
  <c r="M13" i="35"/>
  <c r="L13" i="35"/>
  <c r="K13" i="35"/>
  <c r="J13" i="35"/>
  <c r="I13" i="35"/>
  <c r="H13" i="35"/>
  <c r="G13" i="35"/>
  <c r="F13" i="35"/>
  <c r="E13" i="35"/>
  <c r="D13" i="35"/>
  <c r="C13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AF64" i="1"/>
  <c r="C23" i="35" s="1"/>
  <c r="AD70" i="1"/>
  <c r="AE70" i="1" s="1"/>
  <c r="AV79" i="1"/>
  <c r="BH79" i="1" s="1"/>
  <c r="BT79" i="1" s="1"/>
  <c r="CF79" i="1" s="1"/>
  <c r="CR79" i="1" s="1"/>
  <c r="AO79" i="1"/>
  <c r="BA79" i="1" s="1"/>
  <c r="BM79" i="1" s="1"/>
  <c r="BY79" i="1" s="1"/>
  <c r="CK79" i="1" s="1"/>
  <c r="CW79" i="1" s="1"/>
  <c r="AN79" i="1"/>
  <c r="AZ79" i="1" s="1"/>
  <c r="BL79" i="1" s="1"/>
  <c r="BX79" i="1" s="1"/>
  <c r="CJ79" i="1" s="1"/>
  <c r="CV79" i="1" s="1"/>
  <c r="AM79" i="1"/>
  <c r="AY79" i="1" s="1"/>
  <c r="BK79" i="1" s="1"/>
  <c r="BW79" i="1" s="1"/>
  <c r="CI79" i="1" s="1"/>
  <c r="CU79" i="1" s="1"/>
  <c r="AL79" i="1"/>
  <c r="AX79" i="1" s="1"/>
  <c r="BJ79" i="1" s="1"/>
  <c r="BV79" i="1" s="1"/>
  <c r="CH79" i="1" s="1"/>
  <c r="CT79" i="1" s="1"/>
  <c r="AK79" i="1"/>
  <c r="AW79" i="1" s="1"/>
  <c r="BI79" i="1" s="1"/>
  <c r="BU79" i="1" s="1"/>
  <c r="CG79" i="1" s="1"/>
  <c r="CS79" i="1" s="1"/>
  <c r="AJ79" i="1"/>
  <c r="AI79" i="1"/>
  <c r="AU79" i="1" s="1"/>
  <c r="BG79" i="1" s="1"/>
  <c r="BS79" i="1" s="1"/>
  <c r="CE79" i="1" s="1"/>
  <c r="CQ79" i="1" s="1"/>
  <c r="AH79" i="1"/>
  <c r="AT79" i="1" s="1"/>
  <c r="BF79" i="1" s="1"/>
  <c r="BR79" i="1" s="1"/>
  <c r="CD79" i="1" s="1"/>
  <c r="CP79" i="1" s="1"/>
  <c r="AG79" i="1"/>
  <c r="AS79" i="1" s="1"/>
  <c r="BE79" i="1" s="1"/>
  <c r="BQ79" i="1" s="1"/>
  <c r="CC79" i="1" s="1"/>
  <c r="CO79" i="1" s="1"/>
  <c r="AF79" i="1"/>
  <c r="AR79" i="1" s="1"/>
  <c r="BD79" i="1" s="1"/>
  <c r="BP79" i="1" s="1"/>
  <c r="CB79" i="1" s="1"/>
  <c r="CN79" i="1" s="1"/>
  <c r="AB10" i="1"/>
  <c r="AB12" i="1" s="1"/>
  <c r="AB16" i="1"/>
  <c r="AB17" i="1"/>
  <c r="AB28" i="1"/>
  <c r="AB29" i="1"/>
  <c r="AB31" i="1"/>
  <c r="AB32" i="1" s="1"/>
  <c r="AB71" i="1"/>
  <c r="AB80" i="1"/>
  <c r="AB87" i="1" s="1"/>
  <c r="AB90" i="1"/>
  <c r="AB91" i="1"/>
  <c r="AB103" i="1"/>
  <c r="AB104" i="1"/>
  <c r="AB108" i="1"/>
  <c r="AB114" i="1"/>
  <c r="AB120" i="1"/>
  <c r="AB124" i="1"/>
  <c r="AB132" i="1"/>
  <c r="K44" i="31"/>
  <c r="H11" i="20"/>
  <c r="L24" i="26"/>
  <c r="AA29" i="1"/>
  <c r="Z29" i="1"/>
  <c r="Y29" i="1"/>
  <c r="X29" i="1"/>
  <c r="W29" i="1"/>
  <c r="V29" i="1"/>
  <c r="AB37" i="1" s="1"/>
  <c r="AB38" i="1" s="1"/>
  <c r="U29" i="1"/>
  <c r="T29" i="1"/>
  <c r="Y17" i="1"/>
  <c r="W28" i="1"/>
  <c r="V28" i="1"/>
  <c r="AA28" i="1"/>
  <c r="AA20" i="1"/>
  <c r="Z20" i="1"/>
  <c r="Y20" i="1"/>
  <c r="X20" i="1"/>
  <c r="W20" i="1"/>
  <c r="V20" i="1"/>
  <c r="U20" i="1"/>
  <c r="T20" i="1"/>
  <c r="AA19" i="1"/>
  <c r="Z19" i="1"/>
  <c r="Y19" i="1"/>
  <c r="X19" i="1"/>
  <c r="W19" i="1"/>
  <c r="V19" i="1"/>
  <c r="U19" i="1"/>
  <c r="T19" i="1"/>
  <c r="AA18" i="1"/>
  <c r="Z18" i="1"/>
  <c r="Y18" i="1"/>
  <c r="X18" i="1"/>
  <c r="W18" i="1"/>
  <c r="V18" i="1"/>
  <c r="U18" i="1"/>
  <c r="T18" i="1"/>
  <c r="Z22" i="1"/>
  <c r="Y22" i="1"/>
  <c r="X22" i="1"/>
  <c r="W22" i="1"/>
  <c r="V22" i="1"/>
  <c r="U22" i="1"/>
  <c r="T22" i="1"/>
  <c r="Z21" i="1"/>
  <c r="Y21" i="1"/>
  <c r="X21" i="1"/>
  <c r="W21" i="1"/>
  <c r="V21" i="1"/>
  <c r="U21" i="1"/>
  <c r="T21" i="1"/>
  <c r="DG59" i="1"/>
  <c r="DF59" i="1"/>
  <c r="DE59" i="1"/>
  <c r="DD59" i="1"/>
  <c r="DC59" i="1"/>
  <c r="DB59" i="1"/>
  <c r="DA59" i="1"/>
  <c r="CZ59" i="1"/>
  <c r="AC37" i="1" l="1"/>
  <c r="AC38" i="1" s="1"/>
  <c r="AD71" i="1"/>
  <c r="AD124" i="1"/>
  <c r="AC86" i="1"/>
  <c r="AC115" i="1"/>
  <c r="AC116" i="1" s="1"/>
  <c r="AC87" i="1"/>
  <c r="AC82" i="1"/>
  <c r="AC83" i="1"/>
  <c r="AE79" i="1"/>
  <c r="AQ79" i="1" s="1"/>
  <c r="BC79" i="1" s="1"/>
  <c r="BO79" i="1" s="1"/>
  <c r="CA79" i="1" s="1"/>
  <c r="CM79" i="1" s="1"/>
  <c r="CY79" i="1" s="1"/>
  <c r="AE42" i="31"/>
  <c r="AD36" i="31"/>
  <c r="AC47" i="1"/>
  <c r="P26" i="31" s="1"/>
  <c r="AE26" i="31" s="1"/>
  <c r="P22" i="31"/>
  <c r="AD22" i="31" s="1"/>
  <c r="AC39" i="1"/>
  <c r="AC61" i="1"/>
  <c r="AC35" i="1"/>
  <c r="AE34" i="31"/>
  <c r="AE39" i="31"/>
  <c r="AD44" i="31"/>
  <c r="AD41" i="31"/>
  <c r="AD49" i="31"/>
  <c r="AD50" i="31"/>
  <c r="AE40" i="31"/>
  <c r="AE48" i="31"/>
  <c r="AE49" i="31"/>
  <c r="AD37" i="31"/>
  <c r="AE37" i="31"/>
  <c r="AD48" i="31"/>
  <c r="AB115" i="1"/>
  <c r="AB116" i="1" s="1"/>
  <c r="AB83" i="1"/>
  <c r="AB86" i="1"/>
  <c r="AB47" i="1"/>
  <c r="AB39" i="1"/>
  <c r="AB109" i="1"/>
  <c r="AB35" i="1"/>
  <c r="AB61" i="1"/>
  <c r="AB82" i="1"/>
  <c r="P35" i="31"/>
  <c r="AE35" i="31" s="1"/>
  <c r="AA37" i="1"/>
  <c r="AA38" i="1" s="1"/>
  <c r="Z37" i="1"/>
  <c r="Y37" i="1"/>
  <c r="X37" i="1"/>
  <c r="W37" i="1"/>
  <c r="V37" i="1"/>
  <c r="AA17" i="1"/>
  <c r="AA71" i="1"/>
  <c r="AA80" i="1" s="1"/>
  <c r="AA82" i="1" s="1"/>
  <c r="AA90" i="1"/>
  <c r="AA91" i="1" s="1"/>
  <c r="AA103" i="1"/>
  <c r="AA104" i="1"/>
  <c r="AA108" i="1"/>
  <c r="AA114" i="1"/>
  <c r="AA120" i="1"/>
  <c r="AA124" i="1" s="1"/>
  <c r="AA132" i="1"/>
  <c r="AA10" i="1"/>
  <c r="AA12" i="1" s="1"/>
  <c r="AA16" i="1"/>
  <c r="AA31" i="1"/>
  <c r="Z33" i="1"/>
  <c r="AD26" i="31" l="1"/>
  <c r="AC84" i="1"/>
  <c r="AC85" i="1" s="1"/>
  <c r="AD35" i="31"/>
  <c r="AC40" i="1"/>
  <c r="AC42" i="1"/>
  <c r="AE22" i="31"/>
  <c r="AB84" i="1"/>
  <c r="AB85" i="1" s="1"/>
  <c r="AB40" i="1"/>
  <c r="AB42" i="1"/>
  <c r="AA109" i="1"/>
  <c r="AA61" i="1"/>
  <c r="AA86" i="1"/>
  <c r="AA32" i="1"/>
  <c r="AA47" i="1" s="1"/>
  <c r="AA115" i="1"/>
  <c r="AA116" i="1" s="1"/>
  <c r="AA87" i="1"/>
  <c r="AA83" i="1"/>
  <c r="AA35" i="1"/>
  <c r="AA39" i="1"/>
  <c r="K15" i="26"/>
  <c r="Z31" i="1"/>
  <c r="Y38" i="1"/>
  <c r="Z90" i="1"/>
  <c r="Z91" i="1" s="1"/>
  <c r="Z103" i="1"/>
  <c r="Z104" i="1"/>
  <c r="Z108" i="1"/>
  <c r="Z114" i="1"/>
  <c r="Z120" i="1"/>
  <c r="Z124" i="1" s="1"/>
  <c r="Z132" i="1"/>
  <c r="Z71" i="1"/>
  <c r="Z1" i="1"/>
  <c r="Z3" i="1" s="1"/>
  <c r="Z10" i="1"/>
  <c r="Z12" i="1" s="1"/>
  <c r="Z16" i="1"/>
  <c r="Z17" i="1"/>
  <c r="Z23" i="1"/>
  <c r="Z28" i="1" s="1"/>
  <c r="Z38" i="1"/>
  <c r="L21" i="26"/>
  <c r="L22" i="26"/>
  <c r="L23" i="26"/>
  <c r="C39" i="20"/>
  <c r="D39" i="20"/>
  <c r="H39" i="20"/>
  <c r="F39" i="20"/>
  <c r="H37" i="20"/>
  <c r="F37" i="20"/>
  <c r="D37" i="20"/>
  <c r="C38" i="20"/>
  <c r="C37" i="20"/>
  <c r="AK78" i="1"/>
  <c r="J15" i="26"/>
  <c r="X23" i="1"/>
  <c r="X28" i="1" s="1"/>
  <c r="Y33" i="1"/>
  <c r="X33" i="1"/>
  <c r="AC92" i="1" l="1"/>
  <c r="AB92" i="1"/>
  <c r="AB41" i="1"/>
  <c r="AA42" i="1"/>
  <c r="AA40" i="1"/>
  <c r="Z35" i="1"/>
  <c r="Z61" i="1"/>
  <c r="AA84" i="1"/>
  <c r="AA92" i="1" s="1"/>
  <c r="Z32" i="1"/>
  <c r="Z109" i="1"/>
  <c r="Z39" i="1"/>
  <c r="Z42" i="1" s="1"/>
  <c r="Z115" i="1"/>
  <c r="Z116" i="1" s="1"/>
  <c r="AE76" i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CP76" i="1" s="1"/>
  <c r="CQ76" i="1" s="1"/>
  <c r="CR76" i="1" s="1"/>
  <c r="CS76" i="1" s="1"/>
  <c r="CT76" i="1" s="1"/>
  <c r="CU76" i="1" s="1"/>
  <c r="CV76" i="1" s="1"/>
  <c r="CW76" i="1" s="1"/>
  <c r="CX76" i="1" s="1"/>
  <c r="CY76" i="1" s="1"/>
  <c r="AE77" i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CW77" i="1" s="1"/>
  <c r="CX77" i="1" s="1"/>
  <c r="CY77" i="1" s="1"/>
  <c r="X10" i="1"/>
  <c r="W10" i="1"/>
  <c r="V10" i="1"/>
  <c r="U10" i="1"/>
  <c r="T10" i="1"/>
  <c r="Y10" i="1"/>
  <c r="Y12" i="1" s="1"/>
  <c r="Y61" i="1" s="1"/>
  <c r="U37" i="1"/>
  <c r="T37" i="1"/>
  <c r="AE37" i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Y103" i="1"/>
  <c r="Y104" i="1"/>
  <c r="Y108" i="1"/>
  <c r="Y114" i="1"/>
  <c r="Y120" i="1"/>
  <c r="Y124" i="1" s="1"/>
  <c r="Y132" i="1"/>
  <c r="Y90" i="1"/>
  <c r="AF70" i="1"/>
  <c r="AG70" i="1" s="1"/>
  <c r="AH70" i="1" s="1"/>
  <c r="AE69" i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W69" i="1" s="1"/>
  <c r="CX69" i="1" s="1"/>
  <c r="CY69" i="1" s="1"/>
  <c r="Y16" i="1"/>
  <c r="Y23" i="1"/>
  <c r="Y28" i="1" s="1"/>
  <c r="Y31" i="1"/>
  <c r="Y71" i="1"/>
  <c r="AB49" i="31"/>
  <c r="AB50" i="31" s="1"/>
  <c r="AA49" i="31"/>
  <c r="AA50" i="31" s="1"/>
  <c r="Z49" i="31"/>
  <c r="Z50" i="31" s="1"/>
  <c r="Y49" i="31"/>
  <c r="X49" i="31"/>
  <c r="W49" i="31"/>
  <c r="W50" i="31" s="1"/>
  <c r="V49" i="31"/>
  <c r="V50" i="31" s="1"/>
  <c r="U49" i="31"/>
  <c r="U50" i="31" s="1"/>
  <c r="T49" i="31"/>
  <c r="T50" i="31" s="1"/>
  <c r="S49" i="31"/>
  <c r="S50" i="31" s="1"/>
  <c r="R49" i="31"/>
  <c r="R50" i="31" s="1"/>
  <c r="Q49" i="31"/>
  <c r="Q50" i="31" s="1"/>
  <c r="AB45" i="31"/>
  <c r="AB46" i="31" s="1"/>
  <c r="AB47" i="31" s="1"/>
  <c r="AA45" i="31"/>
  <c r="AA46" i="31" s="1"/>
  <c r="AA47" i="31" s="1"/>
  <c r="Z45" i="31"/>
  <c r="Z46" i="31" s="1"/>
  <c r="Z47" i="31" s="1"/>
  <c r="Y45" i="31"/>
  <c r="X45" i="31"/>
  <c r="X46" i="31" s="1"/>
  <c r="X47" i="31" s="1"/>
  <c r="W45" i="31"/>
  <c r="W46" i="31" s="1"/>
  <c r="W47" i="31" s="1"/>
  <c r="V45" i="31"/>
  <c r="V46" i="31" s="1"/>
  <c r="V47" i="31" s="1"/>
  <c r="U45" i="31"/>
  <c r="U46" i="31" s="1"/>
  <c r="U47" i="31" s="1"/>
  <c r="T45" i="31"/>
  <c r="T46" i="31" s="1"/>
  <c r="T47" i="31" s="1"/>
  <c r="S45" i="31"/>
  <c r="S46" i="31" s="1"/>
  <c r="S47" i="31" s="1"/>
  <c r="R45" i="31"/>
  <c r="R46" i="31" s="1"/>
  <c r="R47" i="31" s="1"/>
  <c r="Q45" i="31"/>
  <c r="Q46" i="31" s="1"/>
  <c r="Q47" i="31" s="1"/>
  <c r="AA85" i="1" l="1"/>
  <c r="AI70" i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CV70" i="1" s="1"/>
  <c r="CW70" i="1" s="1"/>
  <c r="CX70" i="1" s="1"/>
  <c r="CY70" i="1" s="1"/>
  <c r="Z40" i="1"/>
  <c r="Y50" i="31"/>
  <c r="Y46" i="31"/>
  <c r="Y52" i="31" s="1"/>
  <c r="Z52" i="31"/>
  <c r="X50" i="31"/>
  <c r="Z47" i="1"/>
  <c r="X52" i="31"/>
  <c r="W52" i="31"/>
  <c r="Q52" i="31"/>
  <c r="R52" i="31"/>
  <c r="S52" i="31"/>
  <c r="AA52" i="31"/>
  <c r="T52" i="31"/>
  <c r="AB52" i="31"/>
  <c r="U52" i="31"/>
  <c r="V52" i="31"/>
  <c r="Y32" i="1"/>
  <c r="Y47" i="1" s="1"/>
  <c r="Y109" i="1"/>
  <c r="Y39" i="1"/>
  <c r="Y40" i="1" s="1"/>
  <c r="Y115" i="1"/>
  <c r="Y116" i="1" s="1"/>
  <c r="Y86" i="1"/>
  <c r="Y35" i="1"/>
  <c r="AL78" i="1"/>
  <c r="AM78" i="1" s="1"/>
  <c r="AN78" i="1" s="1"/>
  <c r="AO78" i="1" s="1"/>
  <c r="AP78" i="1" s="1"/>
  <c r="AQ78" i="1" s="1"/>
  <c r="AS78" i="1" s="1"/>
  <c r="AT78" i="1" s="1"/>
  <c r="AU78" i="1" s="1"/>
  <c r="AV78" i="1" s="1"/>
  <c r="AW78" i="1" s="1"/>
  <c r="Y47" i="31" l="1"/>
  <c r="AX78" i="1"/>
  <c r="AY78" i="1" s="1"/>
  <c r="AZ78" i="1" s="1"/>
  <c r="BA78" i="1" s="1"/>
  <c r="BB78" i="1" s="1"/>
  <c r="BD78" i="1" s="1"/>
  <c r="BE78" i="1" s="1"/>
  <c r="BF78" i="1" s="1"/>
  <c r="BG78" i="1" s="1"/>
  <c r="BH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X78" i="1" s="1"/>
  <c r="CY78" i="1" s="1"/>
  <c r="Y42" i="1"/>
  <c r="K22" i="25"/>
  <c r="J22" i="25"/>
  <c r="I22" i="25"/>
  <c r="H22" i="25"/>
  <c r="G22" i="25"/>
  <c r="F22" i="25"/>
  <c r="E22" i="25"/>
  <c r="D22" i="25"/>
  <c r="C22" i="25"/>
  <c r="U71" i="1"/>
  <c r="U80" i="1" s="1"/>
  <c r="U83" i="1" s="1"/>
  <c r="T71" i="1"/>
  <c r="T80" i="1" s="1"/>
  <c r="T83" i="1" s="1"/>
  <c r="L22" i="25" l="1"/>
  <c r="U132" i="1"/>
  <c r="X104" i="1"/>
  <c r="W104" i="1"/>
  <c r="V104" i="1"/>
  <c r="U104" i="1"/>
  <c r="T104" i="1"/>
  <c r="X71" i="1"/>
  <c r="W71" i="1"/>
  <c r="V7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S143" i="1"/>
  <c r="X143" i="1"/>
  <c r="V143" i="1"/>
  <c r="U143" i="1"/>
  <c r="T143" i="1"/>
  <c r="W143" i="1"/>
  <c r="X90" i="1"/>
  <c r="X91" i="1" s="1"/>
  <c r="X103" i="1"/>
  <c r="G34" i="25" s="1"/>
  <c r="X108" i="1"/>
  <c r="X114" i="1"/>
  <c r="X120" i="1"/>
  <c r="X124" i="1" s="1"/>
  <c r="X132" i="1"/>
  <c r="Y91" i="1"/>
  <c r="X16" i="1"/>
  <c r="X17" i="1"/>
  <c r="X31" i="1"/>
  <c r="X32" i="1" s="1"/>
  <c r="X47" i="1" s="1"/>
  <c r="W86" i="1" l="1"/>
  <c r="V86" i="1"/>
  <c r="X86" i="1"/>
  <c r="M22" i="25"/>
  <c r="V80" i="1"/>
  <c r="V83" i="1" s="1"/>
  <c r="W80" i="1"/>
  <c r="W83" i="1" s="1"/>
  <c r="X80" i="1"/>
  <c r="X83" i="1" s="1"/>
  <c r="X115" i="1"/>
  <c r="X116" i="1" s="1"/>
  <c r="G1" i="27"/>
  <c r="H1" i="27"/>
  <c r="I1" i="27"/>
  <c r="J1" i="27"/>
  <c r="K1" i="27"/>
  <c r="L1" i="27"/>
  <c r="M1" i="27"/>
  <c r="F1" i="27"/>
  <c r="FB4" i="32"/>
  <c r="FA4" i="32"/>
  <c r="EZ4" i="32"/>
  <c r="EY4" i="32"/>
  <c r="EX4" i="32"/>
  <c r="EW4" i="32"/>
  <c r="EV4" i="32"/>
  <c r="EU4" i="32"/>
  <c r="ET4" i="32"/>
  <c r="ES4" i="32"/>
  <c r="ER4" i="32"/>
  <c r="EQ4" i="32"/>
  <c r="EP4" i="32"/>
  <c r="EO4" i="32"/>
  <c r="EN4" i="32"/>
  <c r="EM4" i="32"/>
  <c r="EL4" i="32"/>
  <c r="EK4" i="32"/>
  <c r="EJ4" i="32"/>
  <c r="EI4" i="32"/>
  <c r="EH4" i="32"/>
  <c r="EG4" i="32"/>
  <c r="EF4" i="32"/>
  <c r="EE4" i="32"/>
  <c r="ED4" i="32"/>
  <c r="EC4" i="32"/>
  <c r="EB4" i="32"/>
  <c r="EA4" i="32"/>
  <c r="DZ4" i="32"/>
  <c r="DY4" i="32"/>
  <c r="DX4" i="32"/>
  <c r="DW4" i="32"/>
  <c r="DV4" i="32"/>
  <c r="DU4" i="32"/>
  <c r="DT4" i="32"/>
  <c r="DS4" i="32"/>
  <c r="DR4" i="32"/>
  <c r="DQ4" i="32"/>
  <c r="DP4" i="32"/>
  <c r="DO4" i="32"/>
  <c r="DN4" i="32"/>
  <c r="DM4" i="32"/>
  <c r="DL4" i="32"/>
  <c r="DK4" i="32"/>
  <c r="DJ4" i="32"/>
  <c r="DI4" i="32"/>
  <c r="DH4" i="32"/>
  <c r="DG4" i="32"/>
  <c r="DF4" i="32"/>
  <c r="DE4" i="32"/>
  <c r="DD4" i="32"/>
  <c r="DC4" i="32"/>
  <c r="DB4" i="32"/>
  <c r="DA4" i="32"/>
  <c r="CZ4" i="32"/>
  <c r="CY4" i="32"/>
  <c r="CX4" i="32"/>
  <c r="CW4" i="32"/>
  <c r="CV4" i="32"/>
  <c r="CU4" i="32"/>
  <c r="CT4" i="32"/>
  <c r="CS4" i="32"/>
  <c r="CR4" i="32"/>
  <c r="CQ4" i="32"/>
  <c r="CP4" i="32"/>
  <c r="CO4" i="32"/>
  <c r="CN4" i="32"/>
  <c r="CM4" i="32"/>
  <c r="CL4" i="32"/>
  <c r="CK4" i="32"/>
  <c r="CJ4" i="32"/>
  <c r="CI4" i="32"/>
  <c r="N22" i="25" l="1"/>
  <c r="P22" i="25" s="1"/>
  <c r="AG64" i="1"/>
  <c r="AH64" i="1" l="1"/>
  <c r="D23" i="35"/>
  <c r="AE72" i="1"/>
  <c r="H3" i="27"/>
  <c r="I3" i="27" s="1"/>
  <c r="J3" i="27" s="1"/>
  <c r="K3" i="27" s="1"/>
  <c r="L3" i="27" s="1"/>
  <c r="M3" i="27" s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W16" i="1"/>
  <c r="W31" i="1"/>
  <c r="W32" i="1" s="1"/>
  <c r="W47" i="1" s="1"/>
  <c r="W90" i="1"/>
  <c r="W91" i="1" s="1"/>
  <c r="W103" i="1"/>
  <c r="F34" i="25" s="1"/>
  <c r="W108" i="1"/>
  <c r="W114" i="1"/>
  <c r="W120" i="1"/>
  <c r="W124" i="1" s="1"/>
  <c r="W132" i="1"/>
  <c r="W144" i="1"/>
  <c r="V16" i="1"/>
  <c r="V31" i="1"/>
  <c r="V32" i="1" s="1"/>
  <c r="V90" i="1"/>
  <c r="V91" i="1" s="1"/>
  <c r="V103" i="1"/>
  <c r="E34" i="25" s="1"/>
  <c r="V108" i="1"/>
  <c r="V114" i="1"/>
  <c r="V120" i="1"/>
  <c r="V124" i="1" s="1"/>
  <c r="V132" i="1"/>
  <c r="V144" i="1"/>
  <c r="AI64" i="1" l="1"/>
  <c r="E23" i="35"/>
  <c r="AF72" i="1"/>
  <c r="W138" i="1"/>
  <c r="W82" i="1"/>
  <c r="X82" i="1"/>
  <c r="X87" i="1"/>
  <c r="W115" i="1"/>
  <c r="W116" i="1" s="1"/>
  <c r="I6" i="27"/>
  <c r="X139" i="1"/>
  <c r="W139" i="1"/>
  <c r="V115" i="1"/>
  <c r="V116" i="1" s="1"/>
  <c r="I4" i="27"/>
  <c r="I5" i="27"/>
  <c r="V47" i="1"/>
  <c r="F6" i="27"/>
  <c r="F12" i="27" s="1"/>
  <c r="G6" i="27"/>
  <c r="G12" i="27" s="1"/>
  <c r="G5" i="27"/>
  <c r="F5" i="27"/>
  <c r="G4" i="27"/>
  <c r="F4" i="27"/>
  <c r="H8" i="26"/>
  <c r="G8" i="26"/>
  <c r="H7" i="26"/>
  <c r="G7" i="26"/>
  <c r="F8" i="26"/>
  <c r="F7" i="26"/>
  <c r="H23" i="27"/>
  <c r="H24" i="27"/>
  <c r="AM2" i="1"/>
  <c r="AL2" i="1"/>
  <c r="AK2" i="1"/>
  <c r="AJ2" i="1"/>
  <c r="AI2" i="1"/>
  <c r="AH2" i="1"/>
  <c r="AG2" i="1"/>
  <c r="AF2" i="1"/>
  <c r="AE2" i="1"/>
  <c r="AD2" i="1"/>
  <c r="AC2" i="1"/>
  <c r="AB2" i="1"/>
  <c r="AJ64" i="1" l="1"/>
  <c r="F23" i="35"/>
  <c r="AG72" i="1"/>
  <c r="V87" i="1"/>
  <c r="X44" i="1"/>
  <c r="AU2" i="1"/>
  <c r="U1" i="27"/>
  <c r="U15" i="27" s="1"/>
  <c r="AV2" i="1"/>
  <c r="V1" i="27"/>
  <c r="AX2" i="1"/>
  <c r="X1" i="27"/>
  <c r="AO2" i="1"/>
  <c r="O1" i="27"/>
  <c r="AW2" i="1"/>
  <c r="W1" i="27"/>
  <c r="AP2" i="1"/>
  <c r="P1" i="27"/>
  <c r="AY2" i="1"/>
  <c r="Y1" i="27"/>
  <c r="V82" i="1"/>
  <c r="AS2" i="1"/>
  <c r="S1" i="27"/>
  <c r="AT2" i="1"/>
  <c r="T1" i="27"/>
  <c r="AN2" i="1"/>
  <c r="N1" i="27"/>
  <c r="AQ2" i="1"/>
  <c r="Q1" i="27"/>
  <c r="AR2" i="1"/>
  <c r="R1" i="27"/>
  <c r="W87" i="1"/>
  <c r="I28" i="27"/>
  <c r="I31" i="27"/>
  <c r="I12" i="27"/>
  <c r="M6" i="27"/>
  <c r="M12" i="27" s="1"/>
  <c r="L6" i="27"/>
  <c r="L12" i="27" s="1"/>
  <c r="K6" i="27"/>
  <c r="K12" i="27" s="1"/>
  <c r="J6" i="27"/>
  <c r="J12" i="27" s="1"/>
  <c r="H6" i="27"/>
  <c r="H12" i="27" s="1"/>
  <c r="G23" i="35" l="1"/>
  <c r="AK64" i="1"/>
  <c r="AJ23" i="1"/>
  <c r="AH72" i="1"/>
  <c r="AH23" i="1"/>
  <c r="AF23" i="1"/>
  <c r="AK23" i="1"/>
  <c r="AE23" i="1"/>
  <c r="AL23" i="1"/>
  <c r="AG23" i="1"/>
  <c r="AI23" i="1"/>
  <c r="P17" i="27"/>
  <c r="P16" i="27"/>
  <c r="T16" i="27"/>
  <c r="T17" i="27"/>
  <c r="S15" i="27"/>
  <c r="AZ2" i="1"/>
  <c r="Z1" i="27"/>
  <c r="P15" i="27"/>
  <c r="AD18" i="1" s="1"/>
  <c r="BJ2" i="1"/>
  <c r="AJ1" i="27"/>
  <c r="BA2" i="1"/>
  <c r="AA1" i="27"/>
  <c r="BF2" i="1"/>
  <c r="AF1" i="27"/>
  <c r="BH2" i="1"/>
  <c r="AH1" i="27"/>
  <c r="BK2" i="1"/>
  <c r="AK1" i="27"/>
  <c r="BB2" i="1"/>
  <c r="AB1" i="27"/>
  <c r="AP23" i="1" s="1"/>
  <c r="BI2" i="1"/>
  <c r="AI1" i="27"/>
  <c r="AB18" i="1"/>
  <c r="N3" i="27"/>
  <c r="T15" i="27"/>
  <c r="BE2" i="1"/>
  <c r="AE1" i="27"/>
  <c r="BG2" i="1"/>
  <c r="AG1" i="27"/>
  <c r="Q15" i="27"/>
  <c r="BC2" i="1"/>
  <c r="AC1" i="27"/>
  <c r="R15" i="27"/>
  <c r="BD2" i="1"/>
  <c r="AD1" i="27"/>
  <c r="AD25" i="1" l="1"/>
  <c r="AD20" i="1"/>
  <c r="H23" i="35"/>
  <c r="AL64" i="1"/>
  <c r="AD19" i="1"/>
  <c r="AD24" i="1"/>
  <c r="P27" i="31"/>
  <c r="O4" i="26"/>
  <c r="O12" i="26" s="1"/>
  <c r="O21" i="26" s="1"/>
  <c r="O26" i="26" s="1"/>
  <c r="AI72" i="1"/>
  <c r="AQ23" i="1"/>
  <c r="AW23" i="1"/>
  <c r="AU23" i="1"/>
  <c r="AO23" i="1"/>
  <c r="AR23" i="1"/>
  <c r="AS23" i="1"/>
  <c r="AX23" i="1"/>
  <c r="AV23" i="1"/>
  <c r="AT23" i="1"/>
  <c r="AF16" i="27"/>
  <c r="AF17" i="27"/>
  <c r="Z15" i="27"/>
  <c r="AB16" i="27"/>
  <c r="AB17" i="27"/>
  <c r="AE15" i="27"/>
  <c r="BU2" i="1"/>
  <c r="AU1" i="27"/>
  <c r="BT2" i="1"/>
  <c r="AT1" i="27"/>
  <c r="BV2" i="1"/>
  <c r="AV1" i="27"/>
  <c r="BR2" i="1"/>
  <c r="AR1" i="27"/>
  <c r="BW2" i="1"/>
  <c r="AW1" i="27"/>
  <c r="AF15" i="27"/>
  <c r="O3" i="27"/>
  <c r="P3" i="27" s="1"/>
  <c r="N6" i="27"/>
  <c r="N12" i="27" s="1"/>
  <c r="BS2" i="1"/>
  <c r="AS1" i="27"/>
  <c r="AB15" i="27"/>
  <c r="AA15" i="27"/>
  <c r="BQ2" i="1"/>
  <c r="AQ1" i="27"/>
  <c r="AG15" i="27"/>
  <c r="BN2" i="1"/>
  <c r="AN1" i="27"/>
  <c r="BM2" i="1"/>
  <c r="AM1" i="27"/>
  <c r="BL2" i="1"/>
  <c r="AL1" i="27"/>
  <c r="AC15" i="27"/>
  <c r="BO2" i="1"/>
  <c r="AO1" i="27"/>
  <c r="AD15" i="27"/>
  <c r="BP2" i="1"/>
  <c r="AP1" i="27"/>
  <c r="I23" i="35" l="1"/>
  <c r="AM64" i="1"/>
  <c r="AE27" i="31"/>
  <c r="AD27" i="31"/>
  <c r="AJ72" i="1"/>
  <c r="BG23" i="1"/>
  <c r="BB23" i="1"/>
  <c r="BJ23" i="1"/>
  <c r="BC23" i="1"/>
  <c r="BE23" i="1"/>
  <c r="BH23" i="1"/>
  <c r="BI23" i="1"/>
  <c r="BD23" i="1"/>
  <c r="BA23" i="1"/>
  <c r="BF23" i="1"/>
  <c r="AR16" i="27"/>
  <c r="AR17" i="27"/>
  <c r="AN17" i="27"/>
  <c r="AN16" i="27"/>
  <c r="AM15" i="27"/>
  <c r="AP15" i="27"/>
  <c r="AQ15" i="27"/>
  <c r="AR15" i="27"/>
  <c r="BY2" i="1"/>
  <c r="AY1" i="27"/>
  <c r="AN15" i="27"/>
  <c r="O6" i="27"/>
  <c r="O12" i="27" s="1"/>
  <c r="CF2" i="1"/>
  <c r="BF1" i="27"/>
  <c r="BZ2" i="1"/>
  <c r="AZ1" i="27"/>
  <c r="AL15" i="27"/>
  <c r="CD2" i="1"/>
  <c r="BD1" i="27"/>
  <c r="CH2" i="1"/>
  <c r="BH1" i="27"/>
  <c r="AS15" i="27"/>
  <c r="BX2" i="1"/>
  <c r="AX1" i="27"/>
  <c r="CC2" i="1"/>
  <c r="BC1" i="27"/>
  <c r="CE2" i="1"/>
  <c r="BE1" i="27"/>
  <c r="CI2" i="1"/>
  <c r="BI1" i="27"/>
  <c r="CG2" i="1"/>
  <c r="BG1" i="27"/>
  <c r="AO15" i="27"/>
  <c r="CA2" i="1"/>
  <c r="BA1" i="27"/>
  <c r="CB2" i="1"/>
  <c r="BB1" i="27"/>
  <c r="J23" i="35" l="1"/>
  <c r="AN64" i="1"/>
  <c r="BO23" i="1"/>
  <c r="BU23" i="1"/>
  <c r="BR23" i="1"/>
  <c r="AK72" i="1"/>
  <c r="BP23" i="1"/>
  <c r="BQ23" i="1"/>
  <c r="BN23" i="1"/>
  <c r="BT23" i="1"/>
  <c r="BM23" i="1"/>
  <c r="BV23" i="1"/>
  <c r="BS23" i="1"/>
  <c r="AX15" i="27"/>
  <c r="BD16" i="27"/>
  <c r="BD17" i="27"/>
  <c r="AZ16" i="27"/>
  <c r="AZ17" i="27"/>
  <c r="BC15" i="27"/>
  <c r="CQ2" i="1"/>
  <c r="BQ1" i="27"/>
  <c r="AY15" i="27"/>
  <c r="Q3" i="27"/>
  <c r="P6" i="27"/>
  <c r="P12" i="27" s="1"/>
  <c r="CK2" i="1"/>
  <c r="BK1" i="27"/>
  <c r="BD15" i="27"/>
  <c r="CT2" i="1"/>
  <c r="CF1" i="27" s="1"/>
  <c r="BT1" i="27"/>
  <c r="CO2" i="1"/>
  <c r="BO1" i="27"/>
  <c r="CP2" i="1"/>
  <c r="BP1" i="27"/>
  <c r="CJ2" i="1"/>
  <c r="BJ1" i="27"/>
  <c r="AZ15" i="27"/>
  <c r="CR2" i="1"/>
  <c r="BR1" i="27"/>
  <c r="CS2" i="1"/>
  <c r="CE1" i="27" s="1"/>
  <c r="BS1" i="27"/>
  <c r="CU2" i="1"/>
  <c r="CG1" i="27" s="1"/>
  <c r="BU1" i="27"/>
  <c r="BE15" i="27"/>
  <c r="CL2" i="1"/>
  <c r="BL1" i="27"/>
  <c r="BA15" i="27"/>
  <c r="CM2" i="1"/>
  <c r="BM1" i="27"/>
  <c r="BB15" i="27"/>
  <c r="CN2" i="1"/>
  <c r="BN1" i="27"/>
  <c r="K23" i="35" l="1"/>
  <c r="AO64" i="1"/>
  <c r="CA1" i="27"/>
  <c r="CA15" i="27" s="1"/>
  <c r="CD1" i="27"/>
  <c r="CC1" i="27"/>
  <c r="CC15" i="27" s="1"/>
  <c r="BZ1" i="27"/>
  <c r="CB1" i="27"/>
  <c r="CR23" i="1"/>
  <c r="BZ23" i="1"/>
  <c r="CH23" i="1"/>
  <c r="AL72" i="1"/>
  <c r="CF23" i="1"/>
  <c r="CD23" i="1"/>
  <c r="CA23" i="1"/>
  <c r="CG23" i="1"/>
  <c r="CS23" i="1"/>
  <c r="CC23" i="1"/>
  <c r="CE23" i="1"/>
  <c r="CT23" i="1"/>
  <c r="CB23" i="1"/>
  <c r="BY23" i="1"/>
  <c r="BK15" i="27"/>
  <c r="BL16" i="27"/>
  <c r="BL17" i="27"/>
  <c r="BO15" i="27"/>
  <c r="BP16" i="27"/>
  <c r="BP17" i="27"/>
  <c r="BN15" i="27"/>
  <c r="BJ15" i="27"/>
  <c r="R3" i="27"/>
  <c r="Q6" i="27"/>
  <c r="Q12" i="27" s="1"/>
  <c r="CX2" i="1"/>
  <c r="BX1" i="27"/>
  <c r="BP15" i="27"/>
  <c r="CW2" i="1"/>
  <c r="BW1" i="27"/>
  <c r="BL15" i="27"/>
  <c r="CV2" i="1"/>
  <c r="BV1" i="27"/>
  <c r="BQ15" i="27"/>
  <c r="BM15" i="27"/>
  <c r="CY2" i="1"/>
  <c r="BY1" i="27"/>
  <c r="L23" i="35" l="1"/>
  <c r="AP64" i="1"/>
  <c r="CP23" i="1"/>
  <c r="CB17" i="27"/>
  <c r="CO23" i="1"/>
  <c r="CB15" i="27"/>
  <c r="CQ23" i="1"/>
  <c r="CB16" i="27"/>
  <c r="CJ1" i="27"/>
  <c r="CJ15" i="27" s="1"/>
  <c r="BZ15" i="27"/>
  <c r="CN23" i="1"/>
  <c r="CK1" i="27"/>
  <c r="CK15" i="27" s="1"/>
  <c r="CI1" i="27"/>
  <c r="CH1" i="27"/>
  <c r="CH15" i="27" s="1"/>
  <c r="AM72" i="1"/>
  <c r="CL23" i="1"/>
  <c r="CM23" i="1"/>
  <c r="CK23" i="1"/>
  <c r="BV15" i="27"/>
  <c r="BX16" i="27"/>
  <c r="BX17" i="27"/>
  <c r="BW15" i="27"/>
  <c r="BX15" i="27"/>
  <c r="S3" i="27"/>
  <c r="R6" i="27"/>
  <c r="R12" i="27" s="1"/>
  <c r="BY15" i="27"/>
  <c r="M23" i="35" l="1"/>
  <c r="AQ64" i="1"/>
  <c r="CW23" i="1"/>
  <c r="CY23" i="1"/>
  <c r="CJ16" i="27"/>
  <c r="CX23" i="1"/>
  <c r="CI15" i="27"/>
  <c r="CJ17" i="27"/>
  <c r="AN72" i="1"/>
  <c r="T3" i="27"/>
  <c r="S6" i="27"/>
  <c r="S12" i="27" s="1"/>
  <c r="AR64" i="1" l="1"/>
  <c r="AS64" i="1" s="1"/>
  <c r="AT64" i="1" s="1"/>
  <c r="N23" i="35"/>
  <c r="P23" i="35" s="1"/>
  <c r="AU64" i="1"/>
  <c r="AO72" i="1"/>
  <c r="U3" i="27"/>
  <c r="T6" i="27"/>
  <c r="T12" i="27" s="1"/>
  <c r="AV64" i="1" l="1"/>
  <c r="AP72" i="1"/>
  <c r="V3" i="27"/>
  <c r="U6" i="27"/>
  <c r="U12" i="27" s="1"/>
  <c r="AW64" i="1" l="1"/>
  <c r="AQ72" i="1"/>
  <c r="W3" i="27"/>
  <c r="V6" i="27"/>
  <c r="V12" i="27" s="1"/>
  <c r="AX64" i="1" l="1"/>
  <c r="AR72" i="1"/>
  <c r="X3" i="27"/>
  <c r="W6" i="27"/>
  <c r="W12" i="27" s="1"/>
  <c r="AY64" i="1" l="1"/>
  <c r="AS72" i="1"/>
  <c r="Y3" i="27"/>
  <c r="X6" i="27"/>
  <c r="X12" i="27" s="1"/>
  <c r="AZ64" i="1" l="1"/>
  <c r="AT72" i="1"/>
  <c r="Z3" i="27"/>
  <c r="Y6" i="27"/>
  <c r="Y12" i="27" s="1"/>
  <c r="BA64" i="1" l="1"/>
  <c r="AU72" i="1"/>
  <c r="AA3" i="27"/>
  <c r="Z6" i="27"/>
  <c r="Z12" i="27" s="1"/>
  <c r="BB64" i="1" l="1"/>
  <c r="AV72" i="1"/>
  <c r="AB3" i="27"/>
  <c r="AA6" i="27"/>
  <c r="AA12" i="27" s="1"/>
  <c r="BC64" i="1" l="1"/>
  <c r="BD64" i="1" s="1"/>
  <c r="AW72" i="1"/>
  <c r="AC3" i="27"/>
  <c r="AB6" i="27"/>
  <c r="AB12" i="27" s="1"/>
  <c r="AX72" i="1" l="1"/>
  <c r="AD3" i="27"/>
  <c r="AC6" i="27"/>
  <c r="AC12" i="27" s="1"/>
  <c r="BE64" i="1" l="1"/>
  <c r="AY72" i="1"/>
  <c r="AE3" i="27"/>
  <c r="AD6" i="27"/>
  <c r="AD12" i="27" s="1"/>
  <c r="BF64" i="1" l="1"/>
  <c r="AZ72" i="1"/>
  <c r="AF3" i="27"/>
  <c r="AE6" i="27"/>
  <c r="AE12" i="27" s="1"/>
  <c r="BG64" i="1" l="1"/>
  <c r="BA72" i="1"/>
  <c r="AG3" i="27"/>
  <c r="AF6" i="27"/>
  <c r="AF12" i="27" s="1"/>
  <c r="BH64" i="1" l="1"/>
  <c r="BB72" i="1"/>
  <c r="AH3" i="27"/>
  <c r="AG6" i="27"/>
  <c r="AG12" i="27" s="1"/>
  <c r="BI64" i="1" l="1"/>
  <c r="BC72" i="1"/>
  <c r="AI3" i="27"/>
  <c r="AH6" i="27"/>
  <c r="AH12" i="27" s="1"/>
  <c r="BJ64" i="1" l="1"/>
  <c r="BD72" i="1"/>
  <c r="AJ3" i="27"/>
  <c r="AI6" i="27"/>
  <c r="AI12" i="27" s="1"/>
  <c r="BK64" i="1" l="1"/>
  <c r="BE72" i="1"/>
  <c r="AK3" i="27"/>
  <c r="AJ6" i="27"/>
  <c r="AJ12" i="27" s="1"/>
  <c r="BL64" i="1" l="1"/>
  <c r="BF72" i="1"/>
  <c r="AL3" i="27"/>
  <c r="AK6" i="27"/>
  <c r="AK12" i="27" s="1"/>
  <c r="BM64" i="1" l="1"/>
  <c r="BG72" i="1"/>
  <c r="AM3" i="27"/>
  <c r="AL6" i="27"/>
  <c r="AL12" i="27" s="1"/>
  <c r="BN64" i="1" l="1"/>
  <c r="BH72" i="1"/>
  <c r="AN3" i="27"/>
  <c r="AM6" i="27"/>
  <c r="AM12" i="27" s="1"/>
  <c r="BO64" i="1" l="1"/>
  <c r="BP64" i="1" s="1"/>
  <c r="BI72" i="1"/>
  <c r="AO3" i="27"/>
  <c r="AN6" i="27"/>
  <c r="AN12" i="27" s="1"/>
  <c r="BJ72" i="1" l="1"/>
  <c r="AP3" i="27"/>
  <c r="AO6" i="27"/>
  <c r="AO12" i="27" s="1"/>
  <c r="BQ64" i="1" l="1"/>
  <c r="BK72" i="1"/>
  <c r="AQ3" i="27"/>
  <c r="AP6" i="27"/>
  <c r="AP12" i="27" s="1"/>
  <c r="BR64" i="1" l="1"/>
  <c r="BL72" i="1"/>
  <c r="AR3" i="27"/>
  <c r="AQ6" i="27"/>
  <c r="AQ12" i="27" s="1"/>
  <c r="BS64" i="1" l="1"/>
  <c r="BM72" i="1"/>
  <c r="AS3" i="27"/>
  <c r="AR6" i="27"/>
  <c r="AR12" i="27" s="1"/>
  <c r="BT64" i="1" l="1"/>
  <c r="BN72" i="1"/>
  <c r="AT3" i="27"/>
  <c r="AS6" i="27"/>
  <c r="AS12" i="27" s="1"/>
  <c r="BU64" i="1" l="1"/>
  <c r="BO72" i="1"/>
  <c r="AU3" i="27"/>
  <c r="AT6" i="27"/>
  <c r="AT12" i="27" s="1"/>
  <c r="BV64" i="1" l="1"/>
  <c r="BP72" i="1"/>
  <c r="AV3" i="27"/>
  <c r="AU6" i="27"/>
  <c r="AU12" i="27" s="1"/>
  <c r="BW64" i="1" l="1"/>
  <c r="BQ72" i="1"/>
  <c r="AW3" i="27"/>
  <c r="AV6" i="27"/>
  <c r="AV12" i="27" s="1"/>
  <c r="BX64" i="1" l="1"/>
  <c r="BR72" i="1"/>
  <c r="AX3" i="27"/>
  <c r="AW6" i="27"/>
  <c r="AW12" i="27" s="1"/>
  <c r="BY64" i="1" l="1"/>
  <c r="BS72" i="1"/>
  <c r="AY3" i="27"/>
  <c r="AX6" i="27"/>
  <c r="AX12" i="27" s="1"/>
  <c r="BZ64" i="1" l="1"/>
  <c r="BT72" i="1"/>
  <c r="AZ3" i="27"/>
  <c r="AY6" i="27"/>
  <c r="AY12" i="27" s="1"/>
  <c r="CA64" i="1" l="1"/>
  <c r="CB64" i="1" s="1"/>
  <c r="BU72" i="1"/>
  <c r="BA3" i="27"/>
  <c r="AZ6" i="27"/>
  <c r="AZ12" i="27" s="1"/>
  <c r="BV72" i="1" l="1"/>
  <c r="BB3" i="27"/>
  <c r="BA6" i="27"/>
  <c r="BA12" i="27" s="1"/>
  <c r="CC64" i="1" l="1"/>
  <c r="BW72" i="1"/>
  <c r="BC3" i="27"/>
  <c r="BB6" i="27"/>
  <c r="BB12" i="27" s="1"/>
  <c r="CD64" i="1" l="1"/>
  <c r="BX72" i="1"/>
  <c r="BD3" i="27"/>
  <c r="BC6" i="27"/>
  <c r="BC12" i="27" s="1"/>
  <c r="CE64" i="1" l="1"/>
  <c r="BY72" i="1"/>
  <c r="BE3" i="27"/>
  <c r="BD6" i="27"/>
  <c r="BD12" i="27" s="1"/>
  <c r="CF64" i="1" l="1"/>
  <c r="BZ72" i="1"/>
  <c r="BF3" i="27"/>
  <c r="BE6" i="27"/>
  <c r="BE12" i="27" s="1"/>
  <c r="CG64" i="1" l="1"/>
  <c r="CA72" i="1"/>
  <c r="BG3" i="27"/>
  <c r="BF6" i="27"/>
  <c r="BF12" i="27" s="1"/>
  <c r="CH64" i="1" l="1"/>
  <c r="CB72" i="1"/>
  <c r="BH3" i="27"/>
  <c r="BG6" i="27"/>
  <c r="BG12" i="27" s="1"/>
  <c r="CI64" i="1" l="1"/>
  <c r="CC72" i="1"/>
  <c r="BI3" i="27"/>
  <c r="BH6" i="27"/>
  <c r="BH12" i="27" s="1"/>
  <c r="CJ64" i="1" l="1"/>
  <c r="CD72" i="1"/>
  <c r="BJ3" i="27"/>
  <c r="BI6" i="27"/>
  <c r="BI12" i="27" s="1"/>
  <c r="CK64" i="1" l="1"/>
  <c r="CE72" i="1"/>
  <c r="BK3" i="27"/>
  <c r="BJ6" i="27"/>
  <c r="BJ12" i="27" s="1"/>
  <c r="CL64" i="1" l="1"/>
  <c r="CF72" i="1"/>
  <c r="BL3" i="27"/>
  <c r="BK6" i="27"/>
  <c r="BK12" i="27" s="1"/>
  <c r="CM64" i="1" l="1"/>
  <c r="CG72" i="1"/>
  <c r="BM3" i="27"/>
  <c r="BL6" i="27"/>
  <c r="BL12" i="27" s="1"/>
  <c r="CN64" i="1" l="1"/>
  <c r="CH72" i="1"/>
  <c r="BN3" i="27"/>
  <c r="BM6" i="27"/>
  <c r="BM12" i="27" s="1"/>
  <c r="CO64" i="1" l="1"/>
  <c r="CI72" i="1"/>
  <c r="BO3" i="27"/>
  <c r="BN6" i="27"/>
  <c r="BN12" i="27" s="1"/>
  <c r="CP64" i="1" l="1"/>
  <c r="CJ72" i="1"/>
  <c r="BP3" i="27"/>
  <c r="BO6" i="27"/>
  <c r="BO12" i="27" s="1"/>
  <c r="CQ64" i="1" l="1"/>
  <c r="CK72" i="1"/>
  <c r="BQ3" i="27"/>
  <c r="BP6" i="27"/>
  <c r="BP12" i="27" s="1"/>
  <c r="CR64" i="1" l="1"/>
  <c r="CL72" i="1"/>
  <c r="BR3" i="27"/>
  <c r="BQ6" i="27"/>
  <c r="BQ12" i="27" s="1"/>
  <c r="CS64" i="1" l="1"/>
  <c r="CM72" i="1"/>
  <c r="BS3" i="27"/>
  <c r="BR6" i="27"/>
  <c r="BR12" i="27" s="1"/>
  <c r="CT64" i="1" l="1"/>
  <c r="CN72" i="1"/>
  <c r="BT3" i="27"/>
  <c r="BS6" i="27"/>
  <c r="BS12" i="27" s="1"/>
  <c r="CU64" i="1" l="1"/>
  <c r="CO72" i="1"/>
  <c r="BU3" i="27"/>
  <c r="BT6" i="27"/>
  <c r="BT12" i="27" s="1"/>
  <c r="CV64" i="1" l="1"/>
  <c r="CP72" i="1"/>
  <c r="BV3" i="27"/>
  <c r="BU6" i="27"/>
  <c r="BU12" i="27" s="1"/>
  <c r="CW64" i="1" l="1"/>
  <c r="CQ72" i="1"/>
  <c r="BW3" i="27"/>
  <c r="BV6" i="27"/>
  <c r="BV12" i="27" s="1"/>
  <c r="CX64" i="1" l="1"/>
  <c r="CR72" i="1"/>
  <c r="BX3" i="27"/>
  <c r="BW6" i="27"/>
  <c r="BW12" i="27" s="1"/>
  <c r="CY64" i="1" l="1"/>
  <c r="CS72" i="1"/>
  <c r="BY3" i="27"/>
  <c r="BX6" i="27"/>
  <c r="BX12" i="27" s="1"/>
  <c r="CT72" i="1" l="1"/>
  <c r="BZ3" i="27"/>
  <c r="BY6" i="27"/>
  <c r="BY12" i="27" s="1"/>
  <c r="CU72" i="1" l="1"/>
  <c r="CA3" i="27"/>
  <c r="BZ6" i="27"/>
  <c r="BZ12" i="27" s="1"/>
  <c r="CV72" i="1" l="1"/>
  <c r="CB3" i="27"/>
  <c r="CA6" i="27"/>
  <c r="CA12" i="27" s="1"/>
  <c r="CW72" i="1" l="1"/>
  <c r="CC3" i="27"/>
  <c r="CB6" i="27"/>
  <c r="CB12" i="27" s="1"/>
  <c r="CX72" i="1" l="1"/>
  <c r="CD3" i="27"/>
  <c r="CC6" i="27"/>
  <c r="CC12" i="27" s="1"/>
  <c r="CY72" i="1" l="1"/>
  <c r="CE3" i="27"/>
  <c r="CD6" i="27"/>
  <c r="CD12" i="27" s="1"/>
  <c r="CF3" i="27" l="1"/>
  <c r="CE6" i="27"/>
  <c r="CE12" i="27" s="1"/>
  <c r="CG3" i="27" l="1"/>
  <c r="CF6" i="27"/>
  <c r="CF12" i="27" s="1"/>
  <c r="CH3" i="27" l="1"/>
  <c r="CG6" i="27"/>
  <c r="CG12" i="27" s="1"/>
  <c r="CI3" i="27" l="1"/>
  <c r="CH6" i="27"/>
  <c r="CH12" i="27" s="1"/>
  <c r="G35" i="27"/>
  <c r="F35" i="27"/>
  <c r="H31" i="27"/>
  <c r="G31" i="27"/>
  <c r="F31" i="27"/>
  <c r="G30" i="27"/>
  <c r="F30" i="27"/>
  <c r="G29" i="27"/>
  <c r="F29" i="27"/>
  <c r="G28" i="27"/>
  <c r="F28" i="27"/>
  <c r="H30" i="27"/>
  <c r="H29" i="27"/>
  <c r="H28" i="27"/>
  <c r="C15" i="25"/>
  <c r="D15" i="25"/>
  <c r="P132" i="1"/>
  <c r="Q132" i="1"/>
  <c r="R132" i="1"/>
  <c r="S132" i="1"/>
  <c r="T132" i="1"/>
  <c r="U144" i="1"/>
  <c r="R143" i="1"/>
  <c r="Q143" i="1"/>
  <c r="P143" i="1"/>
  <c r="U120" i="1"/>
  <c r="U124" i="1" s="1"/>
  <c r="Q68" i="1"/>
  <c r="S68" i="1"/>
  <c r="R68" i="1"/>
  <c r="P114" i="1"/>
  <c r="U103" i="1"/>
  <c r="D34" i="25" s="1"/>
  <c r="T103" i="1"/>
  <c r="C34" i="25" s="1"/>
  <c r="S103" i="1"/>
  <c r="R103" i="1"/>
  <c r="Q103" i="1"/>
  <c r="P103" i="1"/>
  <c r="D33" i="25"/>
  <c r="C33" i="25"/>
  <c r="S104" i="1"/>
  <c r="R104" i="1"/>
  <c r="Q104" i="1"/>
  <c r="P104" i="1"/>
  <c r="U90" i="1"/>
  <c r="U91" i="1" s="1"/>
  <c r="U108" i="1"/>
  <c r="V138" i="1" s="1"/>
  <c r="U114" i="1"/>
  <c r="U16" i="1"/>
  <c r="D17" i="25"/>
  <c r="U23" i="1"/>
  <c r="U28" i="1" s="1"/>
  <c r="U31" i="1"/>
  <c r="U32" i="1" s="1"/>
  <c r="K48" i="31"/>
  <c r="K49" i="31" s="1"/>
  <c r="K50" i="31" s="1"/>
  <c r="K43" i="31"/>
  <c r="K42" i="31"/>
  <c r="K41" i="31"/>
  <c r="K40" i="31"/>
  <c r="K39" i="31"/>
  <c r="K38" i="31"/>
  <c r="K37" i="31"/>
  <c r="K36" i="31"/>
  <c r="K35" i="31"/>
  <c r="K26" i="31"/>
  <c r="K24" i="31"/>
  <c r="K23" i="31"/>
  <c r="K22" i="31"/>
  <c r="K20" i="31"/>
  <c r="K19" i="31"/>
  <c r="K17" i="31"/>
  <c r="K16" i="31"/>
  <c r="U12" i="1" l="1"/>
  <c r="U86" i="1"/>
  <c r="CJ3" i="27"/>
  <c r="CI6" i="27"/>
  <c r="CI12" i="27" s="1"/>
  <c r="V139" i="1"/>
  <c r="I21" i="27"/>
  <c r="H35" i="27"/>
  <c r="D37" i="25"/>
  <c r="D41" i="25" s="1"/>
  <c r="C37" i="25"/>
  <c r="C41" i="25" s="1"/>
  <c r="P83" i="1"/>
  <c r="U47" i="1"/>
  <c r="K45" i="31"/>
  <c r="K46" i="31" s="1"/>
  <c r="K52" i="31" s="1"/>
  <c r="U39" i="1" l="1"/>
  <c r="U42" i="1" s="1"/>
  <c r="D16" i="25" s="1"/>
  <c r="U61" i="1"/>
  <c r="U84" i="1" s="1"/>
  <c r="U35" i="1"/>
  <c r="U109" i="1"/>
  <c r="CK3" i="27"/>
  <c r="CK6" i="27" s="1"/>
  <c r="CK12" i="27" s="1"/>
  <c r="CJ6" i="27"/>
  <c r="CJ12" i="27" s="1"/>
  <c r="U82" i="1"/>
  <c r="W44" i="1"/>
  <c r="X144" i="1"/>
  <c r="J21" i="27"/>
  <c r="I23" i="27"/>
  <c r="I29" i="27" s="1"/>
  <c r="I24" i="27"/>
  <c r="I30" i="27" s="1"/>
  <c r="F37" i="25"/>
  <c r="F41" i="25" s="1"/>
  <c r="U87" i="1"/>
  <c r="E37" i="25"/>
  <c r="E41" i="25" s="1"/>
  <c r="H4" i="27"/>
  <c r="H5" i="27"/>
  <c r="U85" i="1" l="1"/>
  <c r="U41" i="1"/>
  <c r="J23" i="27"/>
  <c r="J24" i="27"/>
  <c r="G37" i="25"/>
  <c r="G41" i="25" s="1"/>
  <c r="U92" i="1"/>
  <c r="D10" i="25"/>
  <c r="E10" i="25"/>
  <c r="F10" i="25"/>
  <c r="G10" i="25"/>
  <c r="H10" i="25"/>
  <c r="I10" i="25"/>
  <c r="J10" i="25"/>
  <c r="K10" i="25"/>
  <c r="L10" i="25"/>
  <c r="M10" i="25"/>
  <c r="N10" i="25"/>
  <c r="C10" i="25"/>
  <c r="G4" i="26"/>
  <c r="G5" i="26"/>
  <c r="G6" i="26"/>
  <c r="I7" i="26" l="1"/>
  <c r="U137" i="1"/>
  <c r="H4" i="26"/>
  <c r="V44" i="1"/>
  <c r="T16" i="1"/>
  <c r="C17" i="25"/>
  <c r="T23" i="1"/>
  <c r="T28" i="1" s="1"/>
  <c r="T31" i="1"/>
  <c r="T32" i="1" s="1"/>
  <c r="T47" i="1" s="1"/>
  <c r="T90" i="1"/>
  <c r="T91" i="1" s="1"/>
  <c r="T108" i="1"/>
  <c r="U138" i="1" s="1"/>
  <c r="T114" i="1"/>
  <c r="T124" i="1"/>
  <c r="T144" i="1"/>
  <c r="G13" i="27"/>
  <c r="G11" i="27"/>
  <c r="G10" i="27"/>
  <c r="F11" i="27"/>
  <c r="F13" i="27"/>
  <c r="F10" i="27"/>
  <c r="C18" i="26"/>
  <c r="C15" i="26"/>
  <c r="C12" i="26"/>
  <c r="E12" i="26"/>
  <c r="E15" i="26"/>
  <c r="E18" i="26"/>
  <c r="CI4" i="24"/>
  <c r="CJ4" i="24"/>
  <c r="CK4" i="24"/>
  <c r="CL4" i="24"/>
  <c r="CM4" i="24"/>
  <c r="CN4" i="24"/>
  <c r="CO4" i="24"/>
  <c r="CP4" i="24"/>
  <c r="CQ4" i="24"/>
  <c r="CR4" i="24"/>
  <c r="CS4" i="24"/>
  <c r="CT4" i="24"/>
  <c r="CU4" i="24"/>
  <c r="CV4" i="24"/>
  <c r="CW4" i="24"/>
  <c r="CX4" i="24"/>
  <c r="CY4" i="24"/>
  <c r="CZ4" i="24"/>
  <c r="DA4" i="24"/>
  <c r="DB4" i="24"/>
  <c r="DC4" i="24"/>
  <c r="DD4" i="24"/>
  <c r="DE4" i="24"/>
  <c r="DF4" i="24"/>
  <c r="DG4" i="24"/>
  <c r="DH4" i="24"/>
  <c r="DI4" i="24"/>
  <c r="DJ4" i="24"/>
  <c r="DK4" i="24"/>
  <c r="DL4" i="24"/>
  <c r="DM4" i="24"/>
  <c r="DN4" i="24"/>
  <c r="DO4" i="24"/>
  <c r="DP4" i="24"/>
  <c r="DQ4" i="24"/>
  <c r="DR4" i="24"/>
  <c r="DS4" i="24"/>
  <c r="DT4" i="24"/>
  <c r="DU4" i="24"/>
  <c r="DV4" i="24"/>
  <c r="DW4" i="24"/>
  <c r="DX4" i="24"/>
  <c r="DY4" i="24"/>
  <c r="DZ4" i="24"/>
  <c r="EA4" i="24"/>
  <c r="EB4" i="24"/>
  <c r="EC4" i="24"/>
  <c r="ED4" i="24"/>
  <c r="EE4" i="24"/>
  <c r="EF4" i="24"/>
  <c r="EG4" i="24"/>
  <c r="EH4" i="24"/>
  <c r="EI4" i="24"/>
  <c r="EJ4" i="24"/>
  <c r="EK4" i="24"/>
  <c r="EL4" i="24"/>
  <c r="EM4" i="24"/>
  <c r="EN4" i="24"/>
  <c r="EO4" i="24"/>
  <c r="EP4" i="24"/>
  <c r="EQ4" i="24"/>
  <c r="ER4" i="24"/>
  <c r="ES4" i="24"/>
  <c r="ET4" i="24"/>
  <c r="EU4" i="24"/>
  <c r="EV4" i="24"/>
  <c r="EW4" i="24"/>
  <c r="EX4" i="24"/>
  <c r="EY4" i="24"/>
  <c r="EZ4" i="24"/>
  <c r="FA4" i="24"/>
  <c r="FB4" i="24"/>
  <c r="T12" i="1" l="1"/>
  <c r="T86" i="1"/>
  <c r="I35" i="27"/>
  <c r="I8" i="26"/>
  <c r="T82" i="1"/>
  <c r="Q87" i="1"/>
  <c r="S82" i="1"/>
  <c r="S83" i="1"/>
  <c r="P87" i="1"/>
  <c r="U139" i="1"/>
  <c r="U140" i="1" s="1"/>
  <c r="U146" i="1" s="1"/>
  <c r="S87" i="1"/>
  <c r="H5" i="26"/>
  <c r="I11" i="27"/>
  <c r="H11" i="27"/>
  <c r="H13" i="27"/>
  <c r="H10" i="27"/>
  <c r="I10" i="27"/>
  <c r="E52" i="1"/>
  <c r="F52" i="1" s="1"/>
  <c r="E51" i="1"/>
  <c r="F51" i="1" s="1"/>
  <c r="G85" i="1"/>
  <c r="F85" i="1"/>
  <c r="E85" i="1"/>
  <c r="S90" i="1"/>
  <c r="S91" i="1" s="1"/>
  <c r="S108" i="1"/>
  <c r="T138" i="1" s="1"/>
  <c r="S114" i="1"/>
  <c r="S124" i="1"/>
  <c r="S144" i="1"/>
  <c r="S10" i="1"/>
  <c r="S12" i="1" s="1"/>
  <c r="S16" i="1"/>
  <c r="S18" i="1"/>
  <c r="S23" i="1"/>
  <c r="S31" i="1"/>
  <c r="S32" i="1" s="1"/>
  <c r="E53" i="1"/>
  <c r="F53" i="1" s="1"/>
  <c r="R10" i="1"/>
  <c r="R16" i="1"/>
  <c r="R18" i="1"/>
  <c r="R23" i="1"/>
  <c r="R31" i="1"/>
  <c r="R32" i="1" s="1"/>
  <c r="O10" i="1"/>
  <c r="P10" i="1"/>
  <c r="Q10" i="1"/>
  <c r="Q12" i="1" s="1"/>
  <c r="Q39" i="1" s="1"/>
  <c r="Q16" i="1"/>
  <c r="Q18" i="1"/>
  <c r="Q23" i="1"/>
  <c r="Q31" i="1"/>
  <c r="Q32" i="1" s="1"/>
  <c r="Q90" i="1"/>
  <c r="Q91" i="1" s="1"/>
  <c r="Q108" i="1"/>
  <c r="Q114" i="1"/>
  <c r="Q124" i="1"/>
  <c r="R90" i="1"/>
  <c r="R91" i="1" s="1"/>
  <c r="R114" i="1"/>
  <c r="R124" i="1"/>
  <c r="C11" i="20"/>
  <c r="T35" i="1" l="1"/>
  <c r="T61" i="1"/>
  <c r="T84" i="1" s="1"/>
  <c r="T41" i="1" s="1"/>
  <c r="T109" i="1"/>
  <c r="T39" i="1"/>
  <c r="T42" i="1" s="1"/>
  <c r="C16" i="25" s="1"/>
  <c r="X38" i="1"/>
  <c r="AE68" i="1"/>
  <c r="AE126" i="1"/>
  <c r="AF126" i="1" s="1"/>
  <c r="W38" i="1"/>
  <c r="E17" i="25"/>
  <c r="I13" i="27"/>
  <c r="Q83" i="1"/>
  <c r="Q82" i="1"/>
  <c r="R82" i="1"/>
  <c r="R83" i="1"/>
  <c r="R87" i="1"/>
  <c r="U44" i="1"/>
  <c r="U46" i="1" s="1"/>
  <c r="T139" i="1"/>
  <c r="T87" i="1"/>
  <c r="C36" i="25" s="1"/>
  <c r="D36" i="25"/>
  <c r="D40" i="25" s="1"/>
  <c r="H6" i="26"/>
  <c r="T44" i="1"/>
  <c r="J4" i="27"/>
  <c r="J10" i="27" s="1"/>
  <c r="J5" i="27"/>
  <c r="J11" i="27" s="1"/>
  <c r="G22" i="26"/>
  <c r="F23" i="26"/>
  <c r="H23" i="26"/>
  <c r="I23" i="26"/>
  <c r="G23" i="26"/>
  <c r="J23" i="26"/>
  <c r="F22" i="26"/>
  <c r="F21" i="26"/>
  <c r="C13" i="25"/>
  <c r="C29" i="25"/>
  <c r="Q47" i="1"/>
  <c r="S47" i="1"/>
  <c r="S139" i="1"/>
  <c r="S61" i="1"/>
  <c r="S84" i="1" s="1"/>
  <c r="S92" i="1" s="1"/>
  <c r="S109" i="1"/>
  <c r="S35" i="1"/>
  <c r="S39" i="1"/>
  <c r="S44" i="1"/>
  <c r="R47" i="1"/>
  <c r="Q115" i="1"/>
  <c r="Q116" i="1" s="1"/>
  <c r="Q35" i="1"/>
  <c r="Q61" i="1"/>
  <c r="Q109" i="1"/>
  <c r="K82" i="1"/>
  <c r="M82" i="1"/>
  <c r="N82" i="1"/>
  <c r="P90" i="1"/>
  <c r="P91" i="1" s="1"/>
  <c r="P108" i="1"/>
  <c r="P124" i="1"/>
  <c r="P12" i="1"/>
  <c r="P16" i="1"/>
  <c r="P18" i="1"/>
  <c r="P23" i="1"/>
  <c r="V38" i="1" s="1"/>
  <c r="P31" i="1"/>
  <c r="P32" i="1" s="1"/>
  <c r="O12" i="1"/>
  <c r="O39" i="1" s="1"/>
  <c r="O16" i="1"/>
  <c r="O18" i="1"/>
  <c r="O23" i="1"/>
  <c r="O31" i="1"/>
  <c r="O90" i="1"/>
  <c r="O91" i="1" s="1"/>
  <c r="O103" i="1"/>
  <c r="O108" i="1"/>
  <c r="O114" i="1"/>
  <c r="O143" i="1"/>
  <c r="O144" i="1" s="1"/>
  <c r="N23" i="1"/>
  <c r="M23" i="1"/>
  <c r="L23" i="1"/>
  <c r="K23" i="1"/>
  <c r="J23" i="1"/>
  <c r="I23" i="1"/>
  <c r="H23" i="1"/>
  <c r="G23" i="1"/>
  <c r="F23" i="1"/>
  <c r="E23" i="1"/>
  <c r="N18" i="1"/>
  <c r="M18" i="1"/>
  <c r="L18" i="1"/>
  <c r="K18" i="1"/>
  <c r="J18" i="1"/>
  <c r="I18" i="1"/>
  <c r="H18" i="1"/>
  <c r="G18" i="1"/>
  <c r="F18" i="1"/>
  <c r="E18" i="1"/>
  <c r="D11" i="20"/>
  <c r="F11" i="20"/>
  <c r="N114" i="1"/>
  <c r="M114" i="1"/>
  <c r="L114" i="1"/>
  <c r="K114" i="1"/>
  <c r="J114" i="1"/>
  <c r="I114" i="1"/>
  <c r="H114" i="1"/>
  <c r="N10" i="1"/>
  <c r="N12" i="1" s="1"/>
  <c r="N35" i="1" s="1"/>
  <c r="M10" i="1"/>
  <c r="M12" i="1" s="1"/>
  <c r="M35" i="1" s="1"/>
  <c r="K10" i="1"/>
  <c r="K103" i="1"/>
  <c r="L103" i="1"/>
  <c r="M103" i="1"/>
  <c r="N103" i="1"/>
  <c r="K108" i="1"/>
  <c r="L108" i="1"/>
  <c r="M108" i="1"/>
  <c r="N108" i="1"/>
  <c r="K124" i="1"/>
  <c r="L124" i="1"/>
  <c r="M124" i="1"/>
  <c r="N124" i="1"/>
  <c r="L90" i="1"/>
  <c r="L91" i="1" s="1"/>
  <c r="M90" i="1"/>
  <c r="M91" i="1" s="1"/>
  <c r="N90" i="1"/>
  <c r="N91" i="1" s="1"/>
  <c r="K90" i="1"/>
  <c r="K91" i="1" s="1"/>
  <c r="N16" i="1"/>
  <c r="N31" i="1"/>
  <c r="M16" i="1"/>
  <c r="M31" i="1"/>
  <c r="L10" i="1"/>
  <c r="L12" i="1" s="1"/>
  <c r="L35" i="1" s="1"/>
  <c r="L16" i="1"/>
  <c r="L31" i="1"/>
  <c r="L32" i="1" s="1"/>
  <c r="K16" i="1"/>
  <c r="K31" i="1"/>
  <c r="K32" i="1" s="1"/>
  <c r="T46" i="1" l="1"/>
  <c r="AF68" i="1"/>
  <c r="J13" i="27"/>
  <c r="I4" i="26"/>
  <c r="AE119" i="1"/>
  <c r="Q84" i="1"/>
  <c r="Q41" i="1" s="1"/>
  <c r="T85" i="1"/>
  <c r="T92" i="1"/>
  <c r="T129" i="1" s="1"/>
  <c r="E36" i="25"/>
  <c r="I5" i="26"/>
  <c r="S137" i="1"/>
  <c r="K4" i="27"/>
  <c r="K10" i="27" s="1"/>
  <c r="K5" i="27"/>
  <c r="K11" i="27" s="1"/>
  <c r="C23" i="25"/>
  <c r="C24" i="25" s="1"/>
  <c r="S37" i="1"/>
  <c r="J37" i="1"/>
  <c r="J38" i="1" s="1"/>
  <c r="H37" i="1"/>
  <c r="H38" i="1" s="1"/>
  <c r="N37" i="1"/>
  <c r="N38" i="1" s="1"/>
  <c r="I37" i="1"/>
  <c r="I38" i="1" s="1"/>
  <c r="M37" i="1"/>
  <c r="M38" i="1" s="1"/>
  <c r="K37" i="1"/>
  <c r="K38" i="1" s="1"/>
  <c r="R37" i="1"/>
  <c r="P82" i="1"/>
  <c r="R44" i="1"/>
  <c r="Q44" i="1"/>
  <c r="L37" i="1"/>
  <c r="L38" i="1" s="1"/>
  <c r="O32" i="1"/>
  <c r="E37" i="1"/>
  <c r="E38" i="1" s="1"/>
  <c r="F37" i="1"/>
  <c r="F38" i="1" s="1"/>
  <c r="G37" i="1"/>
  <c r="G38" i="1" s="1"/>
  <c r="N32" i="1"/>
  <c r="M32" i="1"/>
  <c r="P115" i="1"/>
  <c r="P116" i="1" s="1"/>
  <c r="O82" i="1"/>
  <c r="O37" i="1"/>
  <c r="O38" i="1" s="1"/>
  <c r="O40" i="1" s="1"/>
  <c r="Q37" i="1"/>
  <c r="Q38" i="1" s="1"/>
  <c r="Q40" i="1" s="1"/>
  <c r="P61" i="1"/>
  <c r="P84" i="1" s="1"/>
  <c r="P39" i="1"/>
  <c r="P44" i="1"/>
  <c r="P109" i="1"/>
  <c r="O35" i="1"/>
  <c r="P35" i="1"/>
  <c r="P37" i="1"/>
  <c r="P38" i="1" s="1"/>
  <c r="L44" i="1"/>
  <c r="K44" i="1"/>
  <c r="O124" i="1"/>
  <c r="O139" i="1" s="1"/>
  <c r="O115" i="1"/>
  <c r="O116" i="1" s="1"/>
  <c r="L82" i="1"/>
  <c r="O44" i="1"/>
  <c r="N44" i="1"/>
  <c r="M44" i="1"/>
  <c r="N39" i="1"/>
  <c r="L39" i="1"/>
  <c r="M39" i="1"/>
  <c r="O109" i="1"/>
  <c r="L139" i="1"/>
  <c r="K12" i="1"/>
  <c r="N139" i="1"/>
  <c r="M139" i="1"/>
  <c r="K115" i="1"/>
  <c r="K116" i="1" s="1"/>
  <c r="M115" i="1"/>
  <c r="M116" i="1" s="1"/>
  <c r="N115" i="1"/>
  <c r="N116" i="1" s="1"/>
  <c r="L115" i="1"/>
  <c r="L116" i="1" s="1"/>
  <c r="N61" i="1"/>
  <c r="N84" i="1" s="1"/>
  <c r="N85" i="1" s="1"/>
  <c r="M61" i="1"/>
  <c r="M84" i="1" s="1"/>
  <c r="M85" i="1" s="1"/>
  <c r="L61" i="1"/>
  <c r="N109" i="1"/>
  <c r="M109" i="1"/>
  <c r="L109" i="1"/>
  <c r="L47" i="1"/>
  <c r="K47" i="1"/>
  <c r="E143" i="1"/>
  <c r="F143" i="1"/>
  <c r="G143" i="1"/>
  <c r="H143" i="1"/>
  <c r="H144" i="1" s="1"/>
  <c r="I143" i="1"/>
  <c r="J143" i="1"/>
  <c r="K143" i="1"/>
  <c r="L143" i="1"/>
  <c r="M143" i="1"/>
  <c r="N143" i="1"/>
  <c r="J82" i="1"/>
  <c r="J90" i="1"/>
  <c r="J91" i="1" s="1"/>
  <c r="J103" i="1"/>
  <c r="J108" i="1"/>
  <c r="J124" i="1"/>
  <c r="K139" i="1" s="1"/>
  <c r="J10" i="1"/>
  <c r="J16" i="1"/>
  <c r="J31" i="1"/>
  <c r="J32" i="1" s="1"/>
  <c r="I10" i="1"/>
  <c r="I16" i="1"/>
  <c r="I31" i="1"/>
  <c r="I32" i="1" s="1"/>
  <c r="I90" i="1"/>
  <c r="I91" i="1" s="1"/>
  <c r="I103" i="1"/>
  <c r="I108" i="1"/>
  <c r="I124" i="1"/>
  <c r="H103" i="1"/>
  <c r="H124" i="1"/>
  <c r="H90" i="1"/>
  <c r="H91" i="1" s="1"/>
  <c r="H82" i="1"/>
  <c r="H10" i="1"/>
  <c r="H16" i="1"/>
  <c r="H31" i="1"/>
  <c r="H32" i="1" s="1"/>
  <c r="E108" i="1"/>
  <c r="U38" i="1" l="1"/>
  <c r="U40" i="1" s="1"/>
  <c r="T38" i="1"/>
  <c r="T40" i="1" s="1"/>
  <c r="AG68" i="1"/>
  <c r="U129" i="1"/>
  <c r="U130" i="1" s="1"/>
  <c r="U131" i="1" s="1"/>
  <c r="AG126" i="1"/>
  <c r="K13" i="27"/>
  <c r="F17" i="25"/>
  <c r="J4" i="26"/>
  <c r="AF119" i="1"/>
  <c r="AE120" i="1"/>
  <c r="Q85" i="1"/>
  <c r="Q92" i="1"/>
  <c r="AE73" i="1"/>
  <c r="T137" i="1"/>
  <c r="T140" i="1" s="1"/>
  <c r="T146" i="1" s="1"/>
  <c r="I6" i="26"/>
  <c r="J6" i="26"/>
  <c r="J5" i="26"/>
  <c r="S85" i="1"/>
  <c r="L5" i="27"/>
  <c r="L11" i="27" s="1"/>
  <c r="L4" i="27"/>
  <c r="L10" i="27" s="1"/>
  <c r="M47" i="1"/>
  <c r="S38" i="1"/>
  <c r="S40" i="1" s="1"/>
  <c r="N47" i="1"/>
  <c r="O47" i="1"/>
  <c r="P47" i="1"/>
  <c r="R38" i="1"/>
  <c r="N40" i="1"/>
  <c r="Q46" i="1"/>
  <c r="P40" i="1"/>
  <c r="L84" i="1"/>
  <c r="I82" i="1"/>
  <c r="J44" i="1"/>
  <c r="M92" i="1"/>
  <c r="M41" i="1"/>
  <c r="N92" i="1"/>
  <c r="N41" i="1"/>
  <c r="K109" i="1"/>
  <c r="K39" i="1"/>
  <c r="K40" i="1" s="1"/>
  <c r="M40" i="1"/>
  <c r="L40" i="1"/>
  <c r="K61" i="1"/>
  <c r="K84" i="1" s="1"/>
  <c r="K85" i="1" s="1"/>
  <c r="I12" i="1"/>
  <c r="I39" i="1" s="1"/>
  <c r="I40" i="1" s="1"/>
  <c r="H12" i="1"/>
  <c r="I139" i="1"/>
  <c r="J12" i="1"/>
  <c r="J139" i="1"/>
  <c r="P139" i="1"/>
  <c r="I115" i="1"/>
  <c r="I116" i="1" s="1"/>
  <c r="J115" i="1"/>
  <c r="J116" i="1" s="1"/>
  <c r="J47" i="1"/>
  <c r="I47" i="1"/>
  <c r="H47" i="1"/>
  <c r="C30" i="6"/>
  <c r="C31" i="6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G31" i="1"/>
  <c r="G32" i="1" s="1"/>
  <c r="F31" i="1"/>
  <c r="F32" i="1" s="1"/>
  <c r="E31" i="1"/>
  <c r="G16" i="1"/>
  <c r="F16" i="1"/>
  <c r="E16" i="1"/>
  <c r="AH68" i="1" l="1"/>
  <c r="AH126" i="1"/>
  <c r="L6" i="26"/>
  <c r="L5" i="26"/>
  <c r="L13" i="27"/>
  <c r="L4" i="26"/>
  <c r="J7" i="26"/>
  <c r="K4" i="26"/>
  <c r="J21" i="26"/>
  <c r="I21" i="26"/>
  <c r="AG119" i="1"/>
  <c r="AF120" i="1"/>
  <c r="AF73" i="1"/>
  <c r="J22" i="26"/>
  <c r="K5" i="26"/>
  <c r="M5" i="27"/>
  <c r="M11" i="27" s="1"/>
  <c r="M21" i="27"/>
  <c r="M4" i="27"/>
  <c r="M10" i="27" s="1"/>
  <c r="L92" i="1"/>
  <c r="L85" i="1"/>
  <c r="P92" i="1"/>
  <c r="P129" i="1" s="1"/>
  <c r="Q129" i="1" s="1"/>
  <c r="P85" i="1"/>
  <c r="E32" i="1"/>
  <c r="E47" i="1" s="1"/>
  <c r="L41" i="1"/>
  <c r="L46" i="1" s="1"/>
  <c r="H61" i="1"/>
  <c r="H84" i="1" s="1"/>
  <c r="H85" i="1" s="1"/>
  <c r="H39" i="1"/>
  <c r="H40" i="1" s="1"/>
  <c r="J109" i="1"/>
  <c r="J39" i="1"/>
  <c r="J40" i="1" s="1"/>
  <c r="K92" i="1"/>
  <c r="K137" i="1" s="1"/>
  <c r="K41" i="1"/>
  <c r="M46" i="1"/>
  <c r="N46" i="1"/>
  <c r="J61" i="1"/>
  <c r="J84" i="1" s="1"/>
  <c r="J85" i="1" s="1"/>
  <c r="J35" i="1"/>
  <c r="H35" i="1"/>
  <c r="C19" i="6"/>
  <c r="K18" i="19"/>
  <c r="F124" i="1"/>
  <c r="E124" i="1"/>
  <c r="G124" i="1"/>
  <c r="H139" i="1" s="1"/>
  <c r="G103" i="1"/>
  <c r="G10" i="1"/>
  <c r="AI68" i="1" l="1"/>
  <c r="AI126" i="1"/>
  <c r="K21" i="26"/>
  <c r="J35" i="27"/>
  <c r="J8" i="26"/>
  <c r="H17" i="25"/>
  <c r="G17" i="25"/>
  <c r="AH119" i="1"/>
  <c r="AG120" i="1"/>
  <c r="K6" i="26"/>
  <c r="AG73" i="1"/>
  <c r="M13" i="27"/>
  <c r="N5" i="27"/>
  <c r="N11" i="27" s="1"/>
  <c r="N4" i="27"/>
  <c r="N10" i="27" s="1"/>
  <c r="N43" i="1"/>
  <c r="N45" i="1" s="1"/>
  <c r="M43" i="1"/>
  <c r="M45" i="1" s="1"/>
  <c r="K46" i="1"/>
  <c r="E44" i="1"/>
  <c r="E82" i="1"/>
  <c r="G44" i="1"/>
  <c r="G82" i="1"/>
  <c r="I44" i="1"/>
  <c r="F82" i="1"/>
  <c r="H44" i="1"/>
  <c r="F44" i="1"/>
  <c r="H92" i="1"/>
  <c r="H41" i="1"/>
  <c r="J92" i="1"/>
  <c r="J41" i="1"/>
  <c r="L43" i="1" s="1"/>
  <c r="L45" i="1" s="1"/>
  <c r="F139" i="1"/>
  <c r="G139" i="1"/>
  <c r="D20" i="6"/>
  <c r="E20" i="6"/>
  <c r="F20" i="6"/>
  <c r="G20" i="6"/>
  <c r="H20" i="6"/>
  <c r="I20" i="6"/>
  <c r="J20" i="6"/>
  <c r="K20" i="6"/>
  <c r="L20" i="6"/>
  <c r="M20" i="6"/>
  <c r="C20" i="6"/>
  <c r="E91" i="1"/>
  <c r="N20" i="6"/>
  <c r="AJ68" i="1" l="1"/>
  <c r="AJ126" i="1"/>
  <c r="AB20" i="1"/>
  <c r="AB19" i="1"/>
  <c r="N21" i="27"/>
  <c r="N13" i="27"/>
  <c r="M6" i="26"/>
  <c r="I17" i="25"/>
  <c r="AI119" i="1"/>
  <c r="AH120" i="1"/>
  <c r="AH73" i="1"/>
  <c r="M5" i="26"/>
  <c r="M4" i="26"/>
  <c r="O5" i="27"/>
  <c r="O11" i="27" s="1"/>
  <c r="O7" i="27"/>
  <c r="O4" i="27"/>
  <c r="O10" i="27" s="1"/>
  <c r="J46" i="1"/>
  <c r="H130" i="1"/>
  <c r="H137" i="1"/>
  <c r="H46" i="1"/>
  <c r="P20" i="6"/>
  <c r="C45" i="18"/>
  <c r="B34" i="18"/>
  <c r="C34" i="18" s="1"/>
  <c r="B12" i="18"/>
  <c r="C12" i="18" s="1"/>
  <c r="E3" i="18"/>
  <c r="C2" i="18"/>
  <c r="K27" i="16"/>
  <c r="F108" i="1"/>
  <c r="E103" i="1"/>
  <c r="E115" i="1" s="1"/>
  <c r="E116" i="1" s="1"/>
  <c r="F103" i="1"/>
  <c r="E10" i="1"/>
  <c r="E12" i="1" s="1"/>
  <c r="E39" i="1" s="1"/>
  <c r="E40" i="1" s="1"/>
  <c r="F10" i="1"/>
  <c r="AE128" i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G128" i="1" s="1"/>
  <c r="BH128" i="1" s="1"/>
  <c r="BI128" i="1" s="1"/>
  <c r="BJ128" i="1" s="1"/>
  <c r="BK128" i="1" s="1"/>
  <c r="BL128" i="1" s="1"/>
  <c r="BM128" i="1" s="1"/>
  <c r="BN128" i="1" s="1"/>
  <c r="BO128" i="1" s="1"/>
  <c r="BP128" i="1" s="1"/>
  <c r="BQ128" i="1" s="1"/>
  <c r="BR128" i="1" s="1"/>
  <c r="BS128" i="1" s="1"/>
  <c r="BT128" i="1" s="1"/>
  <c r="BU128" i="1" s="1"/>
  <c r="BV128" i="1" s="1"/>
  <c r="BW128" i="1" s="1"/>
  <c r="BX128" i="1" s="1"/>
  <c r="BY128" i="1" s="1"/>
  <c r="BZ128" i="1" s="1"/>
  <c r="CA128" i="1" s="1"/>
  <c r="CB128" i="1" s="1"/>
  <c r="CC128" i="1" s="1"/>
  <c r="CD128" i="1" s="1"/>
  <c r="CE128" i="1" s="1"/>
  <c r="CF128" i="1" s="1"/>
  <c r="CG128" i="1" s="1"/>
  <c r="CH128" i="1" s="1"/>
  <c r="CI128" i="1" s="1"/>
  <c r="CJ128" i="1" s="1"/>
  <c r="CK128" i="1" s="1"/>
  <c r="CL128" i="1" s="1"/>
  <c r="CM128" i="1" s="1"/>
  <c r="CN128" i="1" s="1"/>
  <c r="CO128" i="1" s="1"/>
  <c r="CP128" i="1" s="1"/>
  <c r="CQ128" i="1" s="1"/>
  <c r="CR128" i="1" s="1"/>
  <c r="CS128" i="1" s="1"/>
  <c r="CT128" i="1" s="1"/>
  <c r="CU128" i="1" s="1"/>
  <c r="CV128" i="1" s="1"/>
  <c r="CW128" i="1" s="1"/>
  <c r="CX128" i="1" s="1"/>
  <c r="CY128" i="1" s="1"/>
  <c r="AK68" i="1" l="1"/>
  <c r="AK126" i="1"/>
  <c r="O6" i="26"/>
  <c r="O5" i="26"/>
  <c r="O21" i="27"/>
  <c r="N6" i="26"/>
  <c r="M23" i="26"/>
  <c r="AI120" i="1"/>
  <c r="AJ119" i="1"/>
  <c r="AI73" i="1"/>
  <c r="N5" i="26"/>
  <c r="N4" i="26"/>
  <c r="N12" i="26" s="1"/>
  <c r="O13" i="27"/>
  <c r="P4" i="27"/>
  <c r="P10" i="27" s="1"/>
  <c r="P7" i="27"/>
  <c r="P21" i="27" s="1"/>
  <c r="P5" i="27"/>
  <c r="P11" i="27" s="1"/>
  <c r="E61" i="1"/>
  <c r="E84" i="1" s="1"/>
  <c r="E35" i="1"/>
  <c r="L26" i="6"/>
  <c r="K26" i="6"/>
  <c r="J26" i="6"/>
  <c r="J13" i="6"/>
  <c r="K13" i="6"/>
  <c r="L13" i="6"/>
  <c r="M13" i="6"/>
  <c r="N13" i="6"/>
  <c r="L12" i="6"/>
  <c r="K12" i="6"/>
  <c r="J12" i="6"/>
  <c r="C10" i="6"/>
  <c r="D10" i="6"/>
  <c r="E10" i="6"/>
  <c r="F10" i="6"/>
  <c r="G10" i="6"/>
  <c r="H10" i="6"/>
  <c r="I10" i="6"/>
  <c r="J10" i="6"/>
  <c r="K10" i="6"/>
  <c r="L10" i="6"/>
  <c r="M10" i="6"/>
  <c r="N10" i="6"/>
  <c r="E1" i="1"/>
  <c r="F1" i="1"/>
  <c r="F3" i="1" s="1"/>
  <c r="G1" i="1"/>
  <c r="G3" i="1" s="1"/>
  <c r="H1" i="1"/>
  <c r="H3" i="1" s="1"/>
  <c r="I1" i="1"/>
  <c r="I3" i="1" s="1"/>
  <c r="J1" i="1"/>
  <c r="J3" i="1" s="1"/>
  <c r="K1" i="1"/>
  <c r="K3" i="1" s="1"/>
  <c r="L1" i="1"/>
  <c r="L3" i="1" s="1"/>
  <c r="M1" i="1"/>
  <c r="M3" i="1" s="1"/>
  <c r="N1" i="1"/>
  <c r="N3" i="1" s="1"/>
  <c r="O1" i="1"/>
  <c r="O3" i="1" s="1"/>
  <c r="P1" i="1"/>
  <c r="P3" i="1" s="1"/>
  <c r="Q1" i="1"/>
  <c r="Q3" i="1" s="1"/>
  <c r="R1" i="1"/>
  <c r="R3" i="1" s="1"/>
  <c r="S1" i="1"/>
  <c r="S3" i="1" s="1"/>
  <c r="T1" i="1"/>
  <c r="T3" i="1" s="1"/>
  <c r="U1" i="1"/>
  <c r="U3" i="1" s="1"/>
  <c r="V1" i="1"/>
  <c r="V3" i="1" s="1"/>
  <c r="W1" i="1"/>
  <c r="W3" i="1" s="1"/>
  <c r="X1" i="1"/>
  <c r="X3" i="1" s="1"/>
  <c r="Y1" i="1"/>
  <c r="Y3" i="1" s="1"/>
  <c r="AA1" i="1"/>
  <c r="AA3" i="1" s="1"/>
  <c r="AB1" i="1"/>
  <c r="AB3" i="1" s="1"/>
  <c r="AC1" i="1"/>
  <c r="AC3" i="1" s="1"/>
  <c r="AD1" i="1"/>
  <c r="AD3" i="1" s="1"/>
  <c r="AE1" i="1"/>
  <c r="AE3" i="1" s="1"/>
  <c r="AF1" i="1"/>
  <c r="AF3" i="1" s="1"/>
  <c r="AG1" i="1"/>
  <c r="AG3" i="1" s="1"/>
  <c r="AH1" i="1"/>
  <c r="AH3" i="1" s="1"/>
  <c r="AI1" i="1"/>
  <c r="AI3" i="1" s="1"/>
  <c r="AJ1" i="1"/>
  <c r="AJ3" i="1" s="1"/>
  <c r="AK1" i="1"/>
  <c r="AK3" i="1" s="1"/>
  <c r="AL1" i="1"/>
  <c r="AL3" i="1" s="1"/>
  <c r="AM1" i="1"/>
  <c r="AM3" i="1" s="1"/>
  <c r="AN1" i="1"/>
  <c r="AN3" i="1" s="1"/>
  <c r="AO1" i="1"/>
  <c r="AO3" i="1" s="1"/>
  <c r="AP1" i="1"/>
  <c r="AP3" i="1" s="1"/>
  <c r="AQ1" i="1"/>
  <c r="AQ3" i="1" s="1"/>
  <c r="AR1" i="1"/>
  <c r="AR3" i="1" s="1"/>
  <c r="AS1" i="1"/>
  <c r="AS3" i="1" s="1"/>
  <c r="AT1" i="1"/>
  <c r="AT3" i="1" s="1"/>
  <c r="AU1" i="1"/>
  <c r="AU3" i="1" s="1"/>
  <c r="AV1" i="1"/>
  <c r="AV3" i="1" s="1"/>
  <c r="AW1" i="1"/>
  <c r="AW3" i="1" s="1"/>
  <c r="AX1" i="1"/>
  <c r="AX3" i="1" s="1"/>
  <c r="AY1" i="1"/>
  <c r="AY3" i="1" s="1"/>
  <c r="AZ1" i="1"/>
  <c r="AZ3" i="1" s="1"/>
  <c r="BA1" i="1"/>
  <c r="BA3" i="1" s="1"/>
  <c r="BB1" i="1"/>
  <c r="BB3" i="1" s="1"/>
  <c r="BC1" i="1"/>
  <c r="BC3" i="1" s="1"/>
  <c r="BD1" i="1"/>
  <c r="BD3" i="1" s="1"/>
  <c r="BE1" i="1"/>
  <c r="BE3" i="1" s="1"/>
  <c r="BF1" i="1"/>
  <c r="BF3" i="1" s="1"/>
  <c r="BG1" i="1"/>
  <c r="BG3" i="1" s="1"/>
  <c r="BH1" i="1"/>
  <c r="BH3" i="1" s="1"/>
  <c r="BI1" i="1"/>
  <c r="BI3" i="1" s="1"/>
  <c r="BJ1" i="1"/>
  <c r="BJ3" i="1" s="1"/>
  <c r="BK1" i="1"/>
  <c r="BK3" i="1" s="1"/>
  <c r="BL1" i="1"/>
  <c r="BL3" i="1" s="1"/>
  <c r="BM1" i="1"/>
  <c r="BM3" i="1" s="1"/>
  <c r="BN1" i="1"/>
  <c r="BN3" i="1" s="1"/>
  <c r="BO1" i="1"/>
  <c r="BO3" i="1" s="1"/>
  <c r="BP1" i="1"/>
  <c r="BP3" i="1" s="1"/>
  <c r="BQ1" i="1"/>
  <c r="BQ3" i="1" s="1"/>
  <c r="BR1" i="1"/>
  <c r="BR3" i="1" s="1"/>
  <c r="BS1" i="1"/>
  <c r="BS3" i="1" s="1"/>
  <c r="BT1" i="1"/>
  <c r="BT3" i="1" s="1"/>
  <c r="BU1" i="1"/>
  <c r="BU3" i="1" s="1"/>
  <c r="BV1" i="1"/>
  <c r="BV3" i="1" s="1"/>
  <c r="BW1" i="1"/>
  <c r="BW3" i="1" s="1"/>
  <c r="BX1" i="1"/>
  <c r="BX3" i="1" s="1"/>
  <c r="BY1" i="1"/>
  <c r="BY3" i="1" s="1"/>
  <c r="BZ1" i="1"/>
  <c r="BZ3" i="1" s="1"/>
  <c r="CA1" i="1"/>
  <c r="CA3" i="1" s="1"/>
  <c r="CB1" i="1"/>
  <c r="CB3" i="1" s="1"/>
  <c r="CC1" i="1"/>
  <c r="CC3" i="1" s="1"/>
  <c r="CD1" i="1"/>
  <c r="CD3" i="1" s="1"/>
  <c r="CE1" i="1"/>
  <c r="CE3" i="1" s="1"/>
  <c r="CF1" i="1"/>
  <c r="CF3" i="1" s="1"/>
  <c r="CG1" i="1"/>
  <c r="CG3" i="1" s="1"/>
  <c r="CH1" i="1"/>
  <c r="CH3" i="1" s="1"/>
  <c r="CI1" i="1"/>
  <c r="CI3" i="1" s="1"/>
  <c r="CJ1" i="1"/>
  <c r="CJ3" i="1" s="1"/>
  <c r="CK1" i="1"/>
  <c r="CK3" i="1" s="1"/>
  <c r="CL1" i="1"/>
  <c r="CL3" i="1" s="1"/>
  <c r="CM1" i="1"/>
  <c r="CM3" i="1" s="1"/>
  <c r="CN1" i="1"/>
  <c r="CN3" i="1" s="1"/>
  <c r="CO1" i="1"/>
  <c r="CO3" i="1" s="1"/>
  <c r="CP1" i="1"/>
  <c r="CP3" i="1" s="1"/>
  <c r="CQ1" i="1"/>
  <c r="CQ3" i="1" s="1"/>
  <c r="CR1" i="1"/>
  <c r="CR3" i="1" s="1"/>
  <c r="CS1" i="1"/>
  <c r="CS3" i="1" s="1"/>
  <c r="CT1" i="1"/>
  <c r="CT3" i="1" s="1"/>
  <c r="CU1" i="1"/>
  <c r="CU3" i="1" s="1"/>
  <c r="CV1" i="1"/>
  <c r="CV3" i="1" s="1"/>
  <c r="CW1" i="1"/>
  <c r="CW3" i="1" s="1"/>
  <c r="CX1" i="1"/>
  <c r="CX3" i="1" s="1"/>
  <c r="CY1" i="1"/>
  <c r="CY3" i="1" s="1"/>
  <c r="E109" i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0" i="13" s="1"/>
  <c r="J18" i="12"/>
  <c r="K43" i="11"/>
  <c r="P28" i="31" l="1"/>
  <c r="P29" i="31"/>
  <c r="BJ75" i="1"/>
  <c r="AL75" i="1"/>
  <c r="CO75" i="1"/>
  <c r="BQ75" i="1"/>
  <c r="BA75" i="1"/>
  <c r="AS75" i="1"/>
  <c r="E3" i="1"/>
  <c r="D24" i="5"/>
  <c r="CF75" i="1"/>
  <c r="BP75" i="1"/>
  <c r="BH75" i="1"/>
  <c r="AR75" i="1"/>
  <c r="AJ75" i="1"/>
  <c r="CM75" i="1"/>
  <c r="BO75" i="1"/>
  <c r="AQ75" i="1"/>
  <c r="CL75" i="1"/>
  <c r="BV75" i="1"/>
  <c r="AX75" i="1"/>
  <c r="AH75" i="1"/>
  <c r="CS75" i="1"/>
  <c r="CK75" i="1"/>
  <c r="CC75" i="1"/>
  <c r="BU75" i="1"/>
  <c r="BM75" i="1"/>
  <c r="BE75" i="1"/>
  <c r="AW75" i="1"/>
  <c r="AO75" i="1"/>
  <c r="AG75" i="1"/>
  <c r="CP75" i="1"/>
  <c r="BZ75" i="1"/>
  <c r="BR75" i="1"/>
  <c r="AT75" i="1"/>
  <c r="CG75" i="1"/>
  <c r="CV75" i="1"/>
  <c r="CN75" i="1"/>
  <c r="BX75" i="1"/>
  <c r="AZ75" i="1"/>
  <c r="CU75" i="1"/>
  <c r="BW75" i="1"/>
  <c r="BG75" i="1"/>
  <c r="AI75" i="1"/>
  <c r="CT75" i="1"/>
  <c r="CD75" i="1"/>
  <c r="BN75" i="1"/>
  <c r="BF75" i="1"/>
  <c r="AP75" i="1"/>
  <c r="CR75" i="1"/>
  <c r="CJ75" i="1"/>
  <c r="CB75" i="1"/>
  <c r="BT75" i="1"/>
  <c r="BL75" i="1"/>
  <c r="BD75" i="1"/>
  <c r="AV75" i="1"/>
  <c r="AN75" i="1"/>
  <c r="AF75" i="1"/>
  <c r="CX75" i="1"/>
  <c r="CH75" i="1"/>
  <c r="BB75" i="1"/>
  <c r="CW75" i="1"/>
  <c r="BY75" i="1"/>
  <c r="BI75" i="1"/>
  <c r="AK75" i="1"/>
  <c r="CE75" i="1"/>
  <c r="AY75" i="1"/>
  <c r="CY75" i="1"/>
  <c r="CQ75" i="1"/>
  <c r="CI75" i="1"/>
  <c r="CA75" i="1"/>
  <c r="BS75" i="1"/>
  <c r="BK75" i="1"/>
  <c r="BC75" i="1"/>
  <c r="AU75" i="1"/>
  <c r="AM75" i="1"/>
  <c r="AE75" i="1"/>
  <c r="AL68" i="1"/>
  <c r="AL126" i="1"/>
  <c r="P13" i="27"/>
  <c r="J17" i="25"/>
  <c r="K17" i="25"/>
  <c r="AK119" i="1"/>
  <c r="AJ120" i="1"/>
  <c r="AJ73" i="1"/>
  <c r="N22" i="26"/>
  <c r="M22" i="26"/>
  <c r="N21" i="26"/>
  <c r="M21" i="26"/>
  <c r="P4" i="26"/>
  <c r="P12" i="26" s="1"/>
  <c r="N23" i="26"/>
  <c r="Q4" i="27"/>
  <c r="Q10" i="27" s="1"/>
  <c r="Q7" i="27"/>
  <c r="Q5" i="27"/>
  <c r="Q11" i="27" s="1"/>
  <c r="E92" i="1"/>
  <c r="E137" i="1" s="1"/>
  <c r="E41" i="1"/>
  <c r="I51" i="1"/>
  <c r="J53" i="1"/>
  <c r="L14" i="6"/>
  <c r="L16" i="6" s="1"/>
  <c r="J14" i="6"/>
  <c r="J16" i="6" s="1"/>
  <c r="J17" i="6" s="1"/>
  <c r="K14" i="6"/>
  <c r="F90" i="1"/>
  <c r="G90" i="1"/>
  <c r="B31" i="9"/>
  <c r="B41" i="9" s="1"/>
  <c r="B51" i="9" s="1"/>
  <c r="B61" i="9" s="1"/>
  <c r="B30" i="9"/>
  <c r="B40" i="9" s="1"/>
  <c r="B50" i="9" s="1"/>
  <c r="B60" i="9" s="1"/>
  <c r="B28" i="9"/>
  <c r="B38" i="9" s="1"/>
  <c r="B48" i="9" s="1"/>
  <c r="B58" i="9" s="1"/>
  <c r="B23" i="9"/>
  <c r="B33" i="9" s="1"/>
  <c r="B43" i="9" s="1"/>
  <c r="B53" i="9" s="1"/>
  <c r="B22" i="9"/>
  <c r="B32" i="9" s="1"/>
  <c r="B42" i="9" s="1"/>
  <c r="B52" i="9" s="1"/>
  <c r="B62" i="9" s="1"/>
  <c r="B21" i="9"/>
  <c r="B20" i="9"/>
  <c r="B19" i="9"/>
  <c r="B29" i="9" s="1"/>
  <c r="B39" i="9" s="1"/>
  <c r="B49" i="9" s="1"/>
  <c r="B59" i="9" s="1"/>
  <c r="B18" i="9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12" i="9"/>
  <c r="B10" i="9"/>
  <c r="D12" i="20" l="1"/>
  <c r="C21" i="20"/>
  <c r="D21" i="20"/>
  <c r="F21" i="20"/>
  <c r="H21" i="20"/>
  <c r="AD29" i="31"/>
  <c r="AE29" i="31"/>
  <c r="AE28" i="31"/>
  <c r="AD28" i="31"/>
  <c r="AM68" i="1"/>
  <c r="AM126" i="1"/>
  <c r="Q17" i="27"/>
  <c r="AE25" i="1" s="1"/>
  <c r="Q16" i="27"/>
  <c r="AE24" i="1" s="1"/>
  <c r="Q21" i="27"/>
  <c r="AK120" i="1"/>
  <c r="AL119" i="1"/>
  <c r="AK73" i="1"/>
  <c r="G36" i="25"/>
  <c r="Q13" i="27"/>
  <c r="Q4" i="26"/>
  <c r="Q12" i="26" s="1"/>
  <c r="AE18" i="1"/>
  <c r="AE71" i="1"/>
  <c r="R4" i="27"/>
  <c r="R10" i="27" s="1"/>
  <c r="R7" i="27"/>
  <c r="R5" i="27"/>
  <c r="R11" i="27" s="1"/>
  <c r="E43" i="1"/>
  <c r="E45" i="1" s="1"/>
  <c r="E46" i="1"/>
  <c r="F91" i="1"/>
  <c r="M26" i="6" s="1"/>
  <c r="G91" i="1"/>
  <c r="N26" i="6" s="1"/>
  <c r="E11" i="5"/>
  <c r="E24" i="5" s="1"/>
  <c r="K16" i="6"/>
  <c r="L17" i="6"/>
  <c r="K21" i="20" l="1"/>
  <c r="AN68" i="1"/>
  <c r="AN126" i="1"/>
  <c r="R17" i="27"/>
  <c r="AF25" i="1" s="1"/>
  <c r="R16" i="27"/>
  <c r="AF24" i="1" s="1"/>
  <c r="R21" i="27"/>
  <c r="F36" i="25"/>
  <c r="L17" i="25"/>
  <c r="AL120" i="1"/>
  <c r="AM119" i="1"/>
  <c r="AL73" i="1"/>
  <c r="P21" i="26"/>
  <c r="R13" i="27"/>
  <c r="P5" i="26"/>
  <c r="P15" i="26" s="1"/>
  <c r="Q21" i="26"/>
  <c r="AF71" i="1"/>
  <c r="S4" i="27"/>
  <c r="S10" i="27" s="1"/>
  <c r="S7" i="27"/>
  <c r="S5" i="27"/>
  <c r="S11" i="27" s="1"/>
  <c r="O61" i="1"/>
  <c r="O84" i="1" s="1"/>
  <c r="O85" i="1" s="1"/>
  <c r="F11" i="5"/>
  <c r="F24" i="5" s="1"/>
  <c r="K17" i="6"/>
  <c r="AO68" i="1" l="1"/>
  <c r="AO126" i="1"/>
  <c r="S16" i="27"/>
  <c r="S5" i="26" s="1"/>
  <c r="S15" i="26" s="1"/>
  <c r="S17" i="27"/>
  <c r="S21" i="27"/>
  <c r="S13" i="27"/>
  <c r="AN119" i="1"/>
  <c r="AM120" i="1"/>
  <c r="Q5" i="26"/>
  <c r="Q15" i="26" s="1"/>
  <c r="AE19" i="1"/>
  <c r="AE20" i="1"/>
  <c r="P6" i="26"/>
  <c r="P18" i="26" s="1"/>
  <c r="AM73" i="1"/>
  <c r="AF18" i="1"/>
  <c r="R4" i="26"/>
  <c r="R12" i="26" s="1"/>
  <c r="AF19" i="1"/>
  <c r="R5" i="26"/>
  <c r="R15" i="26" s="1"/>
  <c r="AG71" i="1"/>
  <c r="T5" i="27"/>
  <c r="T11" i="27" s="1"/>
  <c r="T4" i="27"/>
  <c r="T10" i="27" s="1"/>
  <c r="T7" i="27"/>
  <c r="T21" i="27" s="1"/>
  <c r="O92" i="1"/>
  <c r="O41" i="1"/>
  <c r="O138" i="1"/>
  <c r="G11" i="5"/>
  <c r="G24" i="5" s="1"/>
  <c r="AP68" i="1" l="1"/>
  <c r="AP126" i="1"/>
  <c r="AG25" i="1"/>
  <c r="AH25" i="1"/>
  <c r="AH24" i="1"/>
  <c r="AG24" i="1"/>
  <c r="AG19" i="1"/>
  <c r="T13" i="27"/>
  <c r="AH19" i="1"/>
  <c r="Q6" i="26"/>
  <c r="Q18" i="26" s="1"/>
  <c r="S6" i="26"/>
  <c r="S18" i="26" s="1"/>
  <c r="N17" i="25"/>
  <c r="M17" i="25"/>
  <c r="AN120" i="1"/>
  <c r="AO119" i="1"/>
  <c r="P23" i="26"/>
  <c r="AN73" i="1"/>
  <c r="S22" i="26"/>
  <c r="Q22" i="26"/>
  <c r="P22" i="26"/>
  <c r="AG18" i="1"/>
  <c r="S4" i="26"/>
  <c r="S12" i="26" s="1"/>
  <c r="AH71" i="1"/>
  <c r="U5" i="27"/>
  <c r="U11" i="27" s="1"/>
  <c r="U4" i="27"/>
  <c r="U10" i="27" s="1"/>
  <c r="U7" i="27"/>
  <c r="C12" i="25"/>
  <c r="O43" i="1"/>
  <c r="O45" i="1" s="1"/>
  <c r="O46" i="1"/>
  <c r="O137" i="1"/>
  <c r="O140" i="1" s="1"/>
  <c r="O146" i="1" s="1"/>
  <c r="H11" i="5"/>
  <c r="H24" i="5" s="1"/>
  <c r="AQ68" i="1" l="1"/>
  <c r="AQ126" i="1"/>
  <c r="U16" i="27"/>
  <c r="AI24" i="1" s="1"/>
  <c r="U17" i="27"/>
  <c r="AI25" i="1" s="1"/>
  <c r="U21" i="27"/>
  <c r="T5" i="26"/>
  <c r="T15" i="26" s="1"/>
  <c r="U13" i="27"/>
  <c r="R6" i="26"/>
  <c r="AF20" i="1"/>
  <c r="C17" i="35" s="1"/>
  <c r="T6" i="26"/>
  <c r="T18" i="26" s="1"/>
  <c r="AG20" i="1"/>
  <c r="D17" i="35" s="1"/>
  <c r="Q23" i="26"/>
  <c r="P17" i="25"/>
  <c r="R22" i="26"/>
  <c r="AP119" i="1"/>
  <c r="AO120" i="1"/>
  <c r="AO73" i="1"/>
  <c r="T4" i="26"/>
  <c r="T12" i="26" s="1"/>
  <c r="AH18" i="1"/>
  <c r="R21" i="26"/>
  <c r="AI71" i="1"/>
  <c r="V5" i="27"/>
  <c r="V11" i="27" s="1"/>
  <c r="V4" i="27"/>
  <c r="V10" i="27" s="1"/>
  <c r="V7" i="27"/>
  <c r="C14" i="25"/>
  <c r="Q139" i="1"/>
  <c r="I11" i="5"/>
  <c r="I24" i="5" s="1"/>
  <c r="E17" i="35" l="1"/>
  <c r="AR68" i="1"/>
  <c r="AR126" i="1"/>
  <c r="V15" i="27"/>
  <c r="V16" i="27"/>
  <c r="AJ24" i="1" s="1"/>
  <c r="V17" i="27"/>
  <c r="AJ25" i="1" s="1"/>
  <c r="R18" i="26"/>
  <c r="R23" i="26" s="1"/>
  <c r="V13" i="27"/>
  <c r="T23" i="26"/>
  <c r="S23" i="26"/>
  <c r="AH20" i="1"/>
  <c r="C19" i="25"/>
  <c r="C20" i="25" s="1"/>
  <c r="AQ119" i="1"/>
  <c r="AP120" i="1"/>
  <c r="AP73" i="1"/>
  <c r="AI18" i="1"/>
  <c r="U4" i="26"/>
  <c r="U12" i="26" s="1"/>
  <c r="U6" i="26"/>
  <c r="U18" i="26" s="1"/>
  <c r="S21" i="26"/>
  <c r="T22" i="26"/>
  <c r="T21" i="26"/>
  <c r="AJ71" i="1"/>
  <c r="W5" i="27"/>
  <c r="W11" i="27" s="1"/>
  <c r="W7" i="27"/>
  <c r="W4" i="27"/>
  <c r="W10" i="27" s="1"/>
  <c r="C35" i="25"/>
  <c r="R139" i="1"/>
  <c r="AS68" i="1" l="1"/>
  <c r="AS126" i="1"/>
  <c r="W17" i="27"/>
  <c r="AK25" i="1" s="1"/>
  <c r="W16" i="27"/>
  <c r="AK24" i="1" s="1"/>
  <c r="W13" i="27"/>
  <c r="W15" i="27"/>
  <c r="AI20" i="1"/>
  <c r="C26" i="25"/>
  <c r="C27" i="25" s="1"/>
  <c r="AR119" i="1"/>
  <c r="AQ120" i="1"/>
  <c r="AQ73" i="1"/>
  <c r="U23" i="26"/>
  <c r="V4" i="26"/>
  <c r="V12" i="26" s="1"/>
  <c r="AJ18" i="1"/>
  <c r="AI19" i="1"/>
  <c r="F17" i="35" s="1"/>
  <c r="U5" i="26"/>
  <c r="U15" i="26" s="1"/>
  <c r="AK71" i="1"/>
  <c r="X4" i="27"/>
  <c r="X10" i="27" s="1"/>
  <c r="X7" i="27"/>
  <c r="X5" i="27"/>
  <c r="X11" i="27" s="1"/>
  <c r="AT68" i="1" l="1"/>
  <c r="AT126" i="1"/>
  <c r="X17" i="27"/>
  <c r="AL25" i="1" s="1"/>
  <c r="X16" i="27"/>
  <c r="AL24" i="1" s="1"/>
  <c r="X13" i="27"/>
  <c r="X15" i="27"/>
  <c r="AM23" i="1" s="1"/>
  <c r="V6" i="26"/>
  <c r="V18" i="26" s="1"/>
  <c r="AJ20" i="1"/>
  <c r="C30" i="25"/>
  <c r="C31" i="25" s="1"/>
  <c r="AS119" i="1"/>
  <c r="AR120" i="1"/>
  <c r="AR73" i="1"/>
  <c r="V5" i="26"/>
  <c r="V15" i="26" s="1"/>
  <c r="AJ19" i="1"/>
  <c r="G17" i="35" s="1"/>
  <c r="U21" i="26"/>
  <c r="W4" i="26"/>
  <c r="W12" i="26" s="1"/>
  <c r="AK18" i="1"/>
  <c r="AL71" i="1"/>
  <c r="Y4" i="27"/>
  <c r="Y10" i="27" s="1"/>
  <c r="Y7" i="27"/>
  <c r="Y5" i="27"/>
  <c r="Y11" i="27" s="1"/>
  <c r="AE111" i="1"/>
  <c r="AE114" i="1" s="1"/>
  <c r="AU68" i="1" l="1"/>
  <c r="AU126" i="1"/>
  <c r="Y17" i="27"/>
  <c r="AM25" i="1" s="1"/>
  <c r="Y16" i="27"/>
  <c r="AM24" i="1" s="1"/>
  <c r="Y13" i="27"/>
  <c r="Y15" i="27"/>
  <c r="AN23" i="1" s="1"/>
  <c r="V23" i="26"/>
  <c r="AK20" i="1"/>
  <c r="H17" i="35" s="1"/>
  <c r="W6" i="26"/>
  <c r="AT119" i="1"/>
  <c r="AS120" i="1"/>
  <c r="X4" i="26"/>
  <c r="X12" i="26" s="1"/>
  <c r="AL18" i="1"/>
  <c r="AS73" i="1"/>
  <c r="V21" i="26"/>
  <c r="U22" i="26"/>
  <c r="V22" i="26"/>
  <c r="AK19" i="1"/>
  <c r="W5" i="26"/>
  <c r="W15" i="26" s="1"/>
  <c r="AM71" i="1"/>
  <c r="Z4" i="27"/>
  <c r="Z10" i="27" s="1"/>
  <c r="Z7" i="27"/>
  <c r="Z5" i="27"/>
  <c r="Z11" i="27" s="1"/>
  <c r="AF111" i="1"/>
  <c r="AF114" i="1" s="1"/>
  <c r="AV68" i="1" l="1"/>
  <c r="AV126" i="1"/>
  <c r="Z16" i="27"/>
  <c r="AN24" i="1" s="1"/>
  <c r="Z17" i="27"/>
  <c r="AN25" i="1" s="1"/>
  <c r="W18" i="26"/>
  <c r="W23" i="26" s="1"/>
  <c r="AM18" i="1"/>
  <c r="Z21" i="27"/>
  <c r="Z13" i="27"/>
  <c r="Y4" i="26"/>
  <c r="Y12" i="26" s="1"/>
  <c r="X6" i="26"/>
  <c r="AL20" i="1"/>
  <c r="Z4" i="26"/>
  <c r="Z12" i="26" s="1"/>
  <c r="AT120" i="1"/>
  <c r="AU119" i="1"/>
  <c r="W21" i="26"/>
  <c r="AT73" i="1"/>
  <c r="AL19" i="1"/>
  <c r="I17" i="35" s="1"/>
  <c r="X5" i="26"/>
  <c r="X15" i="26" s="1"/>
  <c r="X21" i="26"/>
  <c r="AN71" i="1"/>
  <c r="AA4" i="27"/>
  <c r="AA10" i="27" s="1"/>
  <c r="AA7" i="27"/>
  <c r="AA5" i="27"/>
  <c r="AA11" i="27" s="1"/>
  <c r="AG111" i="1"/>
  <c r="AG114" i="1" s="1"/>
  <c r="AW68" i="1" l="1"/>
  <c r="AW126" i="1"/>
  <c r="AA16" i="27"/>
  <c r="AA17" i="27"/>
  <c r="X18" i="26"/>
  <c r="X23" i="26" s="1"/>
  <c r="AA21" i="27"/>
  <c r="AN18" i="1"/>
  <c r="Y21" i="26"/>
  <c r="AU120" i="1"/>
  <c r="AV119" i="1"/>
  <c r="AM20" i="1"/>
  <c r="Y6" i="26"/>
  <c r="Y18" i="26" s="1"/>
  <c r="AU73" i="1"/>
  <c r="X22" i="26"/>
  <c r="W22" i="26"/>
  <c r="AA13" i="27"/>
  <c r="AM19" i="1"/>
  <c r="J17" i="35" s="1"/>
  <c r="Y5" i="26"/>
  <c r="Y15" i="26" s="1"/>
  <c r="AO71" i="1"/>
  <c r="AB5" i="27"/>
  <c r="AB11" i="27" s="1"/>
  <c r="AB7" i="27"/>
  <c r="AB21" i="27" s="1"/>
  <c r="AB4" i="27"/>
  <c r="AB10" i="27" s="1"/>
  <c r="AH111" i="1"/>
  <c r="AH114" i="1" s="1"/>
  <c r="AX68" i="1" l="1"/>
  <c r="AX126" i="1"/>
  <c r="AO24" i="1"/>
  <c r="AP24" i="1"/>
  <c r="AO25" i="1"/>
  <c r="AP25" i="1"/>
  <c r="Z21" i="26"/>
  <c r="AA4" i="26"/>
  <c r="AA12" i="26" s="1"/>
  <c r="AO18" i="1"/>
  <c r="AW119" i="1"/>
  <c r="AV120" i="1"/>
  <c r="Y23" i="26"/>
  <c r="AO19" i="1"/>
  <c r="AV73" i="1"/>
  <c r="Z5" i="26"/>
  <c r="Z15" i="26" s="1"/>
  <c r="AN19" i="1"/>
  <c r="AB13" i="27"/>
  <c r="AP71" i="1"/>
  <c r="AC5" i="27"/>
  <c r="AC11" i="27" s="1"/>
  <c r="AC4" i="27"/>
  <c r="AC10" i="27" s="1"/>
  <c r="AC7" i="27"/>
  <c r="D13" i="25"/>
  <c r="AI111" i="1"/>
  <c r="AI114" i="1" s="1"/>
  <c r="C13" i="20"/>
  <c r="AY68" i="1" l="1"/>
  <c r="AY126" i="1"/>
  <c r="AC16" i="27"/>
  <c r="AQ24" i="1" s="1"/>
  <c r="AC17" i="27"/>
  <c r="AQ25" i="1" s="1"/>
  <c r="AC21" i="27"/>
  <c r="AC13" i="27"/>
  <c r="AA21" i="26"/>
  <c r="AP19" i="1"/>
  <c r="AA5" i="26"/>
  <c r="AA15" i="26" s="1"/>
  <c r="AX119" i="1"/>
  <c r="AW120" i="1"/>
  <c r="Z6" i="26"/>
  <c r="Z18" i="26" s="1"/>
  <c r="AN20" i="1"/>
  <c r="K17" i="35" s="1"/>
  <c r="AW73" i="1"/>
  <c r="Z22" i="26"/>
  <c r="AP18" i="1"/>
  <c r="AB4" i="26"/>
  <c r="AB12" i="26" s="1"/>
  <c r="AO20" i="1"/>
  <c r="L17" i="35" s="1"/>
  <c r="AA6" i="26"/>
  <c r="AA18" i="26" s="1"/>
  <c r="Y22" i="26"/>
  <c r="AQ71" i="1"/>
  <c r="AD5" i="27"/>
  <c r="AD11" i="27" s="1"/>
  <c r="AD7" i="27"/>
  <c r="AD4" i="27"/>
  <c r="AD10" i="27" s="1"/>
  <c r="E13" i="25"/>
  <c r="AJ111" i="1"/>
  <c r="AJ114" i="1" s="1"/>
  <c r="Y139" i="1"/>
  <c r="AZ68" i="1" l="1"/>
  <c r="AZ126" i="1"/>
  <c r="AD17" i="27"/>
  <c r="AR25" i="1" s="1"/>
  <c r="AD16" i="27"/>
  <c r="AR24" i="1" s="1"/>
  <c r="AD21" i="27"/>
  <c r="AD13" i="27"/>
  <c r="AP20" i="1"/>
  <c r="M17" i="35" s="1"/>
  <c r="AB5" i="26"/>
  <c r="AB15" i="26" s="1"/>
  <c r="AC5" i="26"/>
  <c r="AC15" i="26" s="1"/>
  <c r="AY119" i="1"/>
  <c r="AX120" i="1"/>
  <c r="Z23" i="26"/>
  <c r="AA23" i="26"/>
  <c r="AX73" i="1"/>
  <c r="AA22" i="26"/>
  <c r="AQ18" i="1"/>
  <c r="AC4" i="26"/>
  <c r="AC12" i="26" s="1"/>
  <c r="AR71" i="1"/>
  <c r="AE7" i="27"/>
  <c r="AE5" i="27"/>
  <c r="AE11" i="27" s="1"/>
  <c r="AE4" i="27"/>
  <c r="AE10" i="27" s="1"/>
  <c r="D29" i="25"/>
  <c r="F13" i="25"/>
  <c r="AK111" i="1"/>
  <c r="AK114" i="1" s="1"/>
  <c r="Z139" i="1"/>
  <c r="BA68" i="1" l="1"/>
  <c r="BA126" i="1"/>
  <c r="AE17" i="27"/>
  <c r="AE16" i="27"/>
  <c r="AE21" i="27"/>
  <c r="AE13" i="27"/>
  <c r="AB6" i="26"/>
  <c r="AB18" i="26" s="1"/>
  <c r="AC22" i="26"/>
  <c r="AQ20" i="1"/>
  <c r="N17" i="35" s="1"/>
  <c r="P17" i="35" s="1"/>
  <c r="AQ19" i="1"/>
  <c r="AD5" i="26"/>
  <c r="AB22" i="26"/>
  <c r="AY120" i="1"/>
  <c r="AZ119" i="1"/>
  <c r="AY73" i="1"/>
  <c r="AB21" i="26"/>
  <c r="AD4" i="26"/>
  <c r="AD12" i="26" s="1"/>
  <c r="AR18" i="1"/>
  <c r="AS71" i="1"/>
  <c r="AF4" i="27"/>
  <c r="AF10" i="27" s="1"/>
  <c r="AF7" i="27"/>
  <c r="AF21" i="27" s="1"/>
  <c r="AF5" i="27"/>
  <c r="AF11" i="27" s="1"/>
  <c r="AL111" i="1"/>
  <c r="AL114" i="1" s="1"/>
  <c r="E29" i="25"/>
  <c r="C28" i="20"/>
  <c r="G13" i="25"/>
  <c r="AA139" i="1"/>
  <c r="BB68" i="1" l="1"/>
  <c r="BB126" i="1"/>
  <c r="AD15" i="26"/>
  <c r="AD22" i="26" s="1"/>
  <c r="AT25" i="1"/>
  <c r="AS25" i="1"/>
  <c r="AS24" i="1"/>
  <c r="AT24" i="1"/>
  <c r="AB23" i="26"/>
  <c r="AC6" i="26"/>
  <c r="AE5" i="26"/>
  <c r="AE15" i="26" s="1"/>
  <c r="AR19" i="1"/>
  <c r="BA119" i="1"/>
  <c r="AZ120" i="1"/>
  <c r="AZ73" i="1"/>
  <c r="AS18" i="1"/>
  <c r="AE4" i="26"/>
  <c r="AE12" i="26" s="1"/>
  <c r="AC21" i="26"/>
  <c r="AT71" i="1"/>
  <c r="AG4" i="27"/>
  <c r="AG10" i="27" s="1"/>
  <c r="AG7" i="27"/>
  <c r="AG5" i="27"/>
  <c r="AG11" i="27" s="1"/>
  <c r="AF13" i="27"/>
  <c r="AM111" i="1"/>
  <c r="AM114" i="1" s="1"/>
  <c r="F29" i="25"/>
  <c r="H13" i="25"/>
  <c r="D13" i="20"/>
  <c r="E13" i="20" s="1"/>
  <c r="AB139" i="1"/>
  <c r="BC68" i="1" l="1"/>
  <c r="BC126" i="1"/>
  <c r="AG17" i="27"/>
  <c r="AU25" i="1" s="1"/>
  <c r="AG16" i="27"/>
  <c r="AU24" i="1" s="1"/>
  <c r="AC18" i="26"/>
  <c r="AC23" i="26" s="1"/>
  <c r="AG21" i="27"/>
  <c r="AE6" i="26"/>
  <c r="AE18" i="26" s="1"/>
  <c r="AR20" i="1"/>
  <c r="AD6" i="26"/>
  <c r="AS19" i="1"/>
  <c r="BB119" i="1"/>
  <c r="BC119" i="1" s="1"/>
  <c r="BA120" i="1"/>
  <c r="BA73" i="1"/>
  <c r="AF4" i="26"/>
  <c r="AF12" i="26" s="1"/>
  <c r="AT18" i="1"/>
  <c r="AE22" i="26"/>
  <c r="AD21" i="26"/>
  <c r="AG13" i="27"/>
  <c r="AU71" i="1"/>
  <c r="AH4" i="27"/>
  <c r="AH10" i="27" s="1"/>
  <c r="AH7" i="27"/>
  <c r="AH5" i="27"/>
  <c r="AH11" i="27" s="1"/>
  <c r="AN111" i="1"/>
  <c r="AN114" i="1" s="1"/>
  <c r="G29" i="25"/>
  <c r="I13" i="25"/>
  <c r="AC139" i="1"/>
  <c r="BD68" i="1" l="1"/>
  <c r="BD126" i="1"/>
  <c r="AH15" i="27"/>
  <c r="AV18" i="1" s="1"/>
  <c r="AH17" i="27"/>
  <c r="AV25" i="1" s="1"/>
  <c r="AH16" i="27"/>
  <c r="AV24" i="1" s="1"/>
  <c r="AD18" i="26"/>
  <c r="AD23" i="26" s="1"/>
  <c r="AH13" i="27"/>
  <c r="AS20" i="1"/>
  <c r="AU19" i="1"/>
  <c r="AE23" i="26"/>
  <c r="AT19" i="1"/>
  <c r="AF5" i="26"/>
  <c r="AF15" i="26" s="1"/>
  <c r="BB120" i="1"/>
  <c r="BB73" i="1"/>
  <c r="AU18" i="1"/>
  <c r="AG4" i="26"/>
  <c r="AG12" i="26" s="1"/>
  <c r="AE21" i="26"/>
  <c r="AV71" i="1"/>
  <c r="AI4" i="27"/>
  <c r="AI10" i="27" s="1"/>
  <c r="AI5" i="27"/>
  <c r="AI11" i="27" s="1"/>
  <c r="AI7" i="27"/>
  <c r="AO111" i="1"/>
  <c r="AO114" i="1" s="1"/>
  <c r="H29" i="25"/>
  <c r="D28" i="20"/>
  <c r="J13" i="25"/>
  <c r="AE122" i="1"/>
  <c r="AE124" i="1" s="1"/>
  <c r="AD139" i="1"/>
  <c r="BE68" i="1" l="1"/>
  <c r="BE126" i="1"/>
  <c r="AI16" i="27"/>
  <c r="AW24" i="1" s="1"/>
  <c r="AI17" i="27"/>
  <c r="AW25" i="1" s="1"/>
  <c r="AI15" i="27"/>
  <c r="AG5" i="26"/>
  <c r="AG15" i="26" s="1"/>
  <c r="AF6" i="26"/>
  <c r="AF18" i="26" s="1"/>
  <c r="AT20" i="1"/>
  <c r="AH4" i="26"/>
  <c r="AH12" i="26" s="1"/>
  <c r="AF22" i="26"/>
  <c r="BD119" i="1"/>
  <c r="BC120" i="1"/>
  <c r="BC73" i="1"/>
  <c r="AG21" i="26"/>
  <c r="AF21" i="26"/>
  <c r="AW71" i="1"/>
  <c r="AI13" i="27"/>
  <c r="AJ5" i="27"/>
  <c r="AJ11" i="27" s="1"/>
  <c r="AJ4" i="27"/>
  <c r="AJ10" i="27" s="1"/>
  <c r="AJ7" i="27"/>
  <c r="AP111" i="1"/>
  <c r="AP114" i="1" s="1"/>
  <c r="I29" i="25"/>
  <c r="K13" i="25"/>
  <c r="F13" i="20"/>
  <c r="G13" i="20" s="1"/>
  <c r="E28" i="20"/>
  <c r="AE139" i="1"/>
  <c r="AF122" i="1"/>
  <c r="AF124" i="1" s="1"/>
  <c r="BF68" i="1" l="1"/>
  <c r="BF126" i="1"/>
  <c r="AJ17" i="27"/>
  <c r="AX25" i="1" s="1"/>
  <c r="AJ16" i="27"/>
  <c r="AX24" i="1" s="1"/>
  <c r="AJ15" i="27"/>
  <c r="AY23" i="1" s="1"/>
  <c r="AH6" i="26"/>
  <c r="AH18" i="26" s="1"/>
  <c r="AG6" i="26"/>
  <c r="AG18" i="26" s="1"/>
  <c r="AU20" i="1"/>
  <c r="AW18" i="1"/>
  <c r="AI4" i="26"/>
  <c r="AI12" i="26" s="1"/>
  <c r="AV19" i="1"/>
  <c r="AH5" i="26"/>
  <c r="AH15" i="26" s="1"/>
  <c r="AH21" i="26"/>
  <c r="BD120" i="1"/>
  <c r="BE119" i="1"/>
  <c r="BD73" i="1"/>
  <c r="AG22" i="26"/>
  <c r="AX71" i="1"/>
  <c r="AJ13" i="27"/>
  <c r="AK5" i="27"/>
  <c r="AK11" i="27" s="1"/>
  <c r="AK7" i="27"/>
  <c r="AK4" i="27"/>
  <c r="AK10" i="27" s="1"/>
  <c r="AQ111" i="1"/>
  <c r="AQ114" i="1" s="1"/>
  <c r="J29" i="25"/>
  <c r="L13" i="25"/>
  <c r="AG122" i="1"/>
  <c r="AG124" i="1" s="1"/>
  <c r="AF139" i="1"/>
  <c r="AE109" i="1"/>
  <c r="BG68" i="1" l="1"/>
  <c r="BG126" i="1"/>
  <c r="AK16" i="27"/>
  <c r="AY24" i="1" s="1"/>
  <c r="AK17" i="27"/>
  <c r="AY25" i="1" s="1"/>
  <c r="AX18" i="1"/>
  <c r="AK15" i="27"/>
  <c r="AZ23" i="1" s="1"/>
  <c r="AJ4" i="26"/>
  <c r="AJ12" i="26" s="1"/>
  <c r="AV20" i="1"/>
  <c r="AG23" i="26"/>
  <c r="AF23" i="26"/>
  <c r="AI21" i="26"/>
  <c r="AW19" i="1"/>
  <c r="AI5" i="26"/>
  <c r="BF119" i="1"/>
  <c r="BE120" i="1"/>
  <c r="AI6" i="26"/>
  <c r="AI18" i="26" s="1"/>
  <c r="AW20" i="1"/>
  <c r="BE73" i="1"/>
  <c r="AH22" i="26"/>
  <c r="AK13" i="27"/>
  <c r="AY71" i="1"/>
  <c r="AL5" i="27"/>
  <c r="AL11" i="27" s="1"/>
  <c r="AL7" i="27"/>
  <c r="AL4" i="27"/>
  <c r="AL10" i="27" s="1"/>
  <c r="AR111" i="1"/>
  <c r="AR114" i="1" s="1"/>
  <c r="M13" i="25"/>
  <c r="K29" i="25"/>
  <c r="F28" i="20"/>
  <c r="AH122" i="1"/>
  <c r="AH124" i="1" s="1"/>
  <c r="AG139" i="1"/>
  <c r="AF109" i="1"/>
  <c r="BH68" i="1" l="1"/>
  <c r="BH126" i="1"/>
  <c r="AL17" i="27"/>
  <c r="AZ25" i="1" s="1"/>
  <c r="AL16" i="27"/>
  <c r="AZ24" i="1" s="1"/>
  <c r="AI15" i="26"/>
  <c r="AI22" i="26" s="1"/>
  <c r="AL21" i="27"/>
  <c r="AK4" i="26"/>
  <c r="AK12" i="26" s="1"/>
  <c r="AL13" i="27"/>
  <c r="AJ21" i="26"/>
  <c r="AH23" i="26"/>
  <c r="AY18" i="1"/>
  <c r="AL4" i="26"/>
  <c r="AL12" i="26" s="1"/>
  <c r="AX19" i="1"/>
  <c r="AJ5" i="26"/>
  <c r="AJ15" i="26" s="1"/>
  <c r="BG119" i="1"/>
  <c r="BF120" i="1"/>
  <c r="AX20" i="1"/>
  <c r="AJ6" i="26"/>
  <c r="AJ18" i="26" s="1"/>
  <c r="BF73" i="1"/>
  <c r="AZ71" i="1"/>
  <c r="AS111" i="1"/>
  <c r="AS114" i="1" s="1"/>
  <c r="AM5" i="27"/>
  <c r="AM11" i="27" s="1"/>
  <c r="AM7" i="27"/>
  <c r="AM4" i="27"/>
  <c r="AM10" i="27" s="1"/>
  <c r="L29" i="25"/>
  <c r="G28" i="20"/>
  <c r="N13" i="25"/>
  <c r="H13" i="20"/>
  <c r="I13" i="20" s="1"/>
  <c r="AH139" i="1"/>
  <c r="AI122" i="1"/>
  <c r="AI124" i="1" s="1"/>
  <c r="AG109" i="1"/>
  <c r="BI68" i="1" l="1"/>
  <c r="BI126" i="1"/>
  <c r="AM17" i="27"/>
  <c r="AM16" i="27"/>
  <c r="AM21" i="27"/>
  <c r="AZ18" i="1"/>
  <c r="AY20" i="1"/>
  <c r="AK6" i="26"/>
  <c r="AK18" i="26" s="1"/>
  <c r="BA18" i="1"/>
  <c r="AK5" i="26"/>
  <c r="AK15" i="26" s="1"/>
  <c r="AY19" i="1"/>
  <c r="BH119" i="1"/>
  <c r="BG120" i="1"/>
  <c r="AI23" i="26"/>
  <c r="AJ23" i="26"/>
  <c r="BG73" i="1"/>
  <c r="AK21" i="26"/>
  <c r="AT111" i="1"/>
  <c r="AT114" i="1" s="1"/>
  <c r="BA71" i="1"/>
  <c r="AN4" i="27"/>
  <c r="AN10" i="27" s="1"/>
  <c r="AN7" i="27"/>
  <c r="AN21" i="27" s="1"/>
  <c r="AN5" i="27"/>
  <c r="AN11" i="27" s="1"/>
  <c r="AM13" i="27"/>
  <c r="M29" i="25"/>
  <c r="AJ122" i="1"/>
  <c r="AJ124" i="1" s="1"/>
  <c r="AI139" i="1"/>
  <c r="AH109" i="1"/>
  <c r="AE89" i="1"/>
  <c r="BJ68" i="1" l="1"/>
  <c r="BJ126" i="1"/>
  <c r="BA25" i="1"/>
  <c r="BB25" i="1"/>
  <c r="BA24" i="1"/>
  <c r="BB24" i="1"/>
  <c r="AN4" i="26"/>
  <c r="AN12" i="26" s="1"/>
  <c r="AM4" i="26"/>
  <c r="AM12" i="26" s="1"/>
  <c r="AM5" i="26"/>
  <c r="AM15" i="26" s="1"/>
  <c r="BA19" i="1"/>
  <c r="AJ22" i="26"/>
  <c r="AL5" i="26"/>
  <c r="AL15" i="26" s="1"/>
  <c r="AZ19" i="1"/>
  <c r="BI119" i="1"/>
  <c r="BH120" i="1"/>
  <c r="BH73" i="1"/>
  <c r="AN13" i="27"/>
  <c r="AK23" i="26"/>
  <c r="AL21" i="26"/>
  <c r="AU111" i="1"/>
  <c r="AU114" i="1" s="1"/>
  <c r="BB71" i="1"/>
  <c r="AO4" i="27"/>
  <c r="AO10" i="27" s="1"/>
  <c r="AO7" i="27"/>
  <c r="AO5" i="27"/>
  <c r="AO11" i="27" s="1"/>
  <c r="N29" i="25"/>
  <c r="P29" i="25" s="1"/>
  <c r="H28" i="20"/>
  <c r="AJ139" i="1"/>
  <c r="AK122" i="1"/>
  <c r="AK124" i="1" s="1"/>
  <c r="AI109" i="1"/>
  <c r="AF89" i="1"/>
  <c r="C30" i="35" s="1"/>
  <c r="AE90" i="1"/>
  <c r="AE91" i="1" s="1"/>
  <c r="BK68" i="1" l="1"/>
  <c r="BK126" i="1"/>
  <c r="AO16" i="27"/>
  <c r="BC24" i="1" s="1"/>
  <c r="AO17" i="27"/>
  <c r="BC25" i="1" s="1"/>
  <c r="AO21" i="27"/>
  <c r="AO13" i="27"/>
  <c r="BB19" i="1"/>
  <c r="BB18" i="1"/>
  <c r="AK22" i="26"/>
  <c r="AL22" i="26"/>
  <c r="AZ20" i="1"/>
  <c r="AL6" i="26"/>
  <c r="AL18" i="26" s="1"/>
  <c r="BJ119" i="1"/>
  <c r="BI120" i="1"/>
  <c r="BI73" i="1"/>
  <c r="AV111" i="1"/>
  <c r="AV114" i="1" s="1"/>
  <c r="AM21" i="26"/>
  <c r="BC71" i="1"/>
  <c r="AP4" i="27"/>
  <c r="AP10" i="27" s="1"/>
  <c r="AP7" i="27"/>
  <c r="AP5" i="27"/>
  <c r="AP11" i="27" s="1"/>
  <c r="I28" i="20"/>
  <c r="K28" i="20"/>
  <c r="AK139" i="1"/>
  <c r="AL122" i="1"/>
  <c r="AL124" i="1" s="1"/>
  <c r="AJ109" i="1"/>
  <c r="AG89" i="1"/>
  <c r="D30" i="35" s="1"/>
  <c r="AF90" i="1"/>
  <c r="AF91" i="1" s="1"/>
  <c r="BL68" i="1" l="1"/>
  <c r="BL126" i="1"/>
  <c r="AP17" i="27"/>
  <c r="BD25" i="1" s="1"/>
  <c r="AP16" i="27"/>
  <c r="BD24" i="1" s="1"/>
  <c r="AP21" i="27"/>
  <c r="AN5" i="26"/>
  <c r="AN15" i="26" s="1"/>
  <c r="BC19" i="1"/>
  <c r="AP4" i="26"/>
  <c r="AP12" i="26" s="1"/>
  <c r="AO4" i="26"/>
  <c r="AO12" i="26" s="1"/>
  <c r="BC18" i="1"/>
  <c r="AN6" i="26"/>
  <c r="AN18" i="26" s="1"/>
  <c r="BB20" i="1"/>
  <c r="BA20" i="1"/>
  <c r="AM6" i="26"/>
  <c r="AM18" i="26" s="1"/>
  <c r="AM22" i="26"/>
  <c r="BK119" i="1"/>
  <c r="BJ120" i="1"/>
  <c r="BJ73" i="1"/>
  <c r="AW111" i="1"/>
  <c r="AW114" i="1" s="1"/>
  <c r="AN21" i="26"/>
  <c r="AO5" i="26"/>
  <c r="AO15" i="26" s="1"/>
  <c r="BD71" i="1"/>
  <c r="AP13" i="27"/>
  <c r="AQ4" i="27"/>
  <c r="AQ10" i="27" s="1"/>
  <c r="AQ7" i="27"/>
  <c r="AQ5" i="27"/>
  <c r="AQ11" i="27" s="1"/>
  <c r="AL139" i="1"/>
  <c r="AM122" i="1"/>
  <c r="AM124" i="1" s="1"/>
  <c r="AK109" i="1"/>
  <c r="AH89" i="1"/>
  <c r="E30" i="35" s="1"/>
  <c r="AG90" i="1"/>
  <c r="AG91" i="1" s="1"/>
  <c r="BM68" i="1" l="1"/>
  <c r="BM126" i="1"/>
  <c r="AQ16" i="27"/>
  <c r="AQ17" i="27"/>
  <c r="AQ21" i="27"/>
  <c r="AQ13" i="27"/>
  <c r="BD19" i="1"/>
  <c r="AP21" i="26"/>
  <c r="BD18" i="1"/>
  <c r="AN23" i="26"/>
  <c r="AM23" i="26"/>
  <c r="AL23" i="26"/>
  <c r="BK120" i="1"/>
  <c r="BL119" i="1"/>
  <c r="AO6" i="26"/>
  <c r="AO18" i="26" s="1"/>
  <c r="BC20" i="1"/>
  <c r="BK73" i="1"/>
  <c r="AX111" i="1"/>
  <c r="AX114" i="1" s="1"/>
  <c r="AN22" i="26"/>
  <c r="AO21" i="26"/>
  <c r="BE71" i="1"/>
  <c r="AR5" i="27"/>
  <c r="AR11" i="27" s="1"/>
  <c r="AR4" i="27"/>
  <c r="AR10" i="27" s="1"/>
  <c r="AR7" i="27"/>
  <c r="AR21" i="27" s="1"/>
  <c r="AM139" i="1"/>
  <c r="AN122" i="1"/>
  <c r="AN124" i="1" s="1"/>
  <c r="AL109" i="1"/>
  <c r="AI89" i="1"/>
  <c r="F30" i="35" s="1"/>
  <c r="AH90" i="1"/>
  <c r="AH91" i="1" s="1"/>
  <c r="BN68" i="1" l="1"/>
  <c r="BN126" i="1"/>
  <c r="BE24" i="1"/>
  <c r="BF24" i="1"/>
  <c r="BE25" i="1"/>
  <c r="BF25" i="1"/>
  <c r="AR13" i="27"/>
  <c r="AY111" i="1"/>
  <c r="AY114" i="1" s="1"/>
  <c r="AP5" i="26"/>
  <c r="BE19" i="1"/>
  <c r="BM119" i="1"/>
  <c r="BL120" i="1"/>
  <c r="BD20" i="1"/>
  <c r="AP6" i="26"/>
  <c r="AP18" i="26" s="1"/>
  <c r="BL73" i="1"/>
  <c r="AO22" i="26"/>
  <c r="BE18" i="1"/>
  <c r="AQ4" i="26"/>
  <c r="AQ12" i="26" s="1"/>
  <c r="BF71" i="1"/>
  <c r="AS5" i="27"/>
  <c r="AS11" i="27" s="1"/>
  <c r="AS4" i="27"/>
  <c r="AS10" i="27" s="1"/>
  <c r="AS7" i="27"/>
  <c r="AN139" i="1"/>
  <c r="AO122" i="1"/>
  <c r="AO124" i="1" s="1"/>
  <c r="AM109" i="1"/>
  <c r="AJ89" i="1"/>
  <c r="G30" i="35" s="1"/>
  <c r="AI90" i="1"/>
  <c r="AI91" i="1" s="1"/>
  <c r="BO68" i="1" l="1"/>
  <c r="BO126" i="1"/>
  <c r="AS16" i="27"/>
  <c r="BG24" i="1" s="1"/>
  <c r="AS17" i="27"/>
  <c r="BG25" i="1" s="1"/>
  <c r="AP15" i="26"/>
  <c r="AP22" i="26" s="1"/>
  <c r="AS21" i="27"/>
  <c r="AZ111" i="1"/>
  <c r="AZ114" i="1" s="1"/>
  <c r="AQ5" i="26"/>
  <c r="BF19" i="1"/>
  <c r="BE20" i="1"/>
  <c r="BN119" i="1"/>
  <c r="BM120" i="1"/>
  <c r="AQ6" i="26"/>
  <c r="AP23" i="26"/>
  <c r="AO23" i="26"/>
  <c r="BM73" i="1"/>
  <c r="AR4" i="26"/>
  <c r="AR12" i="26" s="1"/>
  <c r="BF18" i="1"/>
  <c r="AS13" i="27"/>
  <c r="BG71" i="1"/>
  <c r="AT5" i="27"/>
  <c r="AT11" i="27" s="1"/>
  <c r="AT7" i="27"/>
  <c r="AT4" i="27"/>
  <c r="AT10" i="27" s="1"/>
  <c r="AO139" i="1"/>
  <c r="AP122" i="1"/>
  <c r="AP124" i="1" s="1"/>
  <c r="AN109" i="1"/>
  <c r="AK89" i="1"/>
  <c r="H30" i="35" s="1"/>
  <c r="AJ90" i="1"/>
  <c r="AJ91" i="1" s="1"/>
  <c r="BP68" i="1" l="1"/>
  <c r="BP126" i="1"/>
  <c r="AT15" i="27"/>
  <c r="BH18" i="1" s="1"/>
  <c r="AT17" i="27"/>
  <c r="BH25" i="1" s="1"/>
  <c r="AT16" i="27"/>
  <c r="BH24" i="1" s="1"/>
  <c r="AQ18" i="26"/>
  <c r="AQ23" i="26" s="1"/>
  <c r="AQ15" i="26"/>
  <c r="AQ22" i="26" s="1"/>
  <c r="BA111" i="1"/>
  <c r="BA114" i="1" s="1"/>
  <c r="AR5" i="26"/>
  <c r="AR15" i="26" s="1"/>
  <c r="AS5" i="26"/>
  <c r="AS15" i="26" s="1"/>
  <c r="BG19" i="1"/>
  <c r="BG20" i="1"/>
  <c r="AR6" i="26"/>
  <c r="AR18" i="26" s="1"/>
  <c r="BF20" i="1"/>
  <c r="AS4" i="26"/>
  <c r="AS12" i="26" s="1"/>
  <c r="BG18" i="1"/>
  <c r="BO119" i="1"/>
  <c r="BN120" i="1"/>
  <c r="BN73" i="1"/>
  <c r="AR21" i="26"/>
  <c r="AQ21" i="26"/>
  <c r="BH71" i="1"/>
  <c r="AT13" i="27"/>
  <c r="AU4" i="27"/>
  <c r="AU10" i="27" s="1"/>
  <c r="AU7" i="27"/>
  <c r="AU5" i="27"/>
  <c r="AU11" i="27" s="1"/>
  <c r="AQ122" i="1"/>
  <c r="AQ124" i="1" s="1"/>
  <c r="AP139" i="1"/>
  <c r="AO109" i="1"/>
  <c r="AL89" i="1"/>
  <c r="I30" i="35" s="1"/>
  <c r="AK90" i="1"/>
  <c r="AK91" i="1" s="1"/>
  <c r="BQ68" i="1" l="1"/>
  <c r="BQ126" i="1"/>
  <c r="BB111" i="1"/>
  <c r="BB114" i="1" s="1"/>
  <c r="AU17" i="27"/>
  <c r="BI25" i="1" s="1"/>
  <c r="AU16" i="27"/>
  <c r="BI24" i="1" s="1"/>
  <c r="AS22" i="26"/>
  <c r="AU13" i="27"/>
  <c r="AU15" i="27"/>
  <c r="AR22" i="26"/>
  <c r="AS6" i="26"/>
  <c r="AS18" i="26" s="1"/>
  <c r="AT4" i="26"/>
  <c r="AT12" i="26" s="1"/>
  <c r="AS21" i="26"/>
  <c r="BO120" i="1"/>
  <c r="BP119" i="1"/>
  <c r="AR23" i="26"/>
  <c r="BO73" i="1"/>
  <c r="BI71" i="1"/>
  <c r="AV4" i="27"/>
  <c r="AV10" i="27" s="1"/>
  <c r="AV7" i="27"/>
  <c r="AV5" i="27"/>
  <c r="AV11" i="27" s="1"/>
  <c r="AR122" i="1"/>
  <c r="AR124" i="1" s="1"/>
  <c r="AQ139" i="1"/>
  <c r="AP109" i="1"/>
  <c r="AM89" i="1"/>
  <c r="J30" i="35" s="1"/>
  <c r="AL90" i="1"/>
  <c r="AL91" i="1" s="1"/>
  <c r="BR68" i="1" l="1"/>
  <c r="BC111" i="1"/>
  <c r="BC114" i="1" s="1"/>
  <c r="BR126" i="1"/>
  <c r="AV16" i="27"/>
  <c r="BJ24" i="1" s="1"/>
  <c r="AV17" i="27"/>
  <c r="BJ25" i="1" s="1"/>
  <c r="BI18" i="1"/>
  <c r="AV15" i="27"/>
  <c r="BK23" i="1" s="1"/>
  <c r="AU4" i="26"/>
  <c r="AT6" i="26"/>
  <c r="AT18" i="26" s="1"/>
  <c r="BH20" i="1"/>
  <c r="AU5" i="26"/>
  <c r="AU15" i="26" s="1"/>
  <c r="AT5" i="26"/>
  <c r="AT15" i="26" s="1"/>
  <c r="BH19" i="1"/>
  <c r="AT21" i="26"/>
  <c r="BQ119" i="1"/>
  <c r="BP120" i="1"/>
  <c r="BP73" i="1"/>
  <c r="AS23" i="26"/>
  <c r="AV13" i="27"/>
  <c r="BJ71" i="1"/>
  <c r="AW4" i="27"/>
  <c r="AW10" i="27" s="1"/>
  <c r="AW7" i="27"/>
  <c r="AW5" i="27"/>
  <c r="AW11" i="27" s="1"/>
  <c r="AR139" i="1"/>
  <c r="AS122" i="1"/>
  <c r="AS124" i="1" s="1"/>
  <c r="AQ109" i="1"/>
  <c r="AN89" i="1"/>
  <c r="K30" i="35" s="1"/>
  <c r="AM90" i="1"/>
  <c r="AM91" i="1" s="1"/>
  <c r="BD111" i="1" l="1"/>
  <c r="BD114" i="1" s="1"/>
  <c r="BS68" i="1"/>
  <c r="BS126" i="1"/>
  <c r="AW17" i="27"/>
  <c r="BK25" i="1" s="1"/>
  <c r="AW16" i="27"/>
  <c r="BK24" i="1" s="1"/>
  <c r="AU12" i="26"/>
  <c r="AU21" i="26" s="1"/>
  <c r="AW15" i="27"/>
  <c r="BL23" i="1" s="1"/>
  <c r="BI19" i="1"/>
  <c r="BJ19" i="1"/>
  <c r="AT22" i="26"/>
  <c r="BR119" i="1"/>
  <c r="BQ120" i="1"/>
  <c r="BQ73" i="1"/>
  <c r="AV4" i="26"/>
  <c r="AV12" i="26" s="1"/>
  <c r="BJ18" i="1"/>
  <c r="AT23" i="26"/>
  <c r="BK71" i="1"/>
  <c r="AW13" i="27"/>
  <c r="AX4" i="27"/>
  <c r="AX10" i="27" s="1"/>
  <c r="AX7" i="27"/>
  <c r="AX5" i="27"/>
  <c r="AX11" i="27" s="1"/>
  <c r="AS139" i="1"/>
  <c r="AT122" i="1"/>
  <c r="AT124" i="1" s="1"/>
  <c r="AR109" i="1"/>
  <c r="AO89" i="1"/>
  <c r="L30" i="35" s="1"/>
  <c r="AN90" i="1"/>
  <c r="AN91" i="1" s="1"/>
  <c r="BE111" i="1" l="1"/>
  <c r="BE114" i="1" s="1"/>
  <c r="BT68" i="1"/>
  <c r="BT126" i="1"/>
  <c r="AX17" i="27"/>
  <c r="BL25" i="1" s="1"/>
  <c r="AX16" i="27"/>
  <c r="BL24" i="1" s="1"/>
  <c r="AX21" i="27"/>
  <c r="AX13" i="27"/>
  <c r="BK19" i="1"/>
  <c r="AV5" i="26"/>
  <c r="AV15" i="26" s="1"/>
  <c r="AU22" i="26"/>
  <c r="BI20" i="1"/>
  <c r="AU6" i="26"/>
  <c r="AU18" i="26" s="1"/>
  <c r="BR120" i="1"/>
  <c r="BS119" i="1"/>
  <c r="BR73" i="1"/>
  <c r="BK18" i="1"/>
  <c r="AW4" i="26"/>
  <c r="AW12" i="26" s="1"/>
  <c r="BL71" i="1"/>
  <c r="AY4" i="27"/>
  <c r="AY10" i="27" s="1"/>
  <c r="AY7" i="27"/>
  <c r="AY5" i="27"/>
  <c r="AY11" i="27" s="1"/>
  <c r="AU122" i="1"/>
  <c r="AU124" i="1" s="1"/>
  <c r="AT139" i="1"/>
  <c r="AS109" i="1"/>
  <c r="AP89" i="1"/>
  <c r="M30" i="35" s="1"/>
  <c r="AO90" i="1"/>
  <c r="AO91" i="1" s="1"/>
  <c r="BF111" i="1" l="1"/>
  <c r="BF114" i="1" s="1"/>
  <c r="BU68" i="1"/>
  <c r="BU126" i="1"/>
  <c r="AY16" i="27"/>
  <c r="AY17" i="27"/>
  <c r="AY21" i="27"/>
  <c r="AY13" i="27"/>
  <c r="AV22" i="26"/>
  <c r="AW5" i="26"/>
  <c r="AY4" i="26"/>
  <c r="AY12" i="26" s="1"/>
  <c r="AV6" i="26"/>
  <c r="AV18" i="26" s="1"/>
  <c r="BJ20" i="1"/>
  <c r="BT119" i="1"/>
  <c r="BS120" i="1"/>
  <c r="BS73" i="1"/>
  <c r="AV21" i="26"/>
  <c r="BL18" i="1"/>
  <c r="AX4" i="26"/>
  <c r="AX12" i="26" s="1"/>
  <c r="AW21" i="26"/>
  <c r="BM71" i="1"/>
  <c r="AZ5" i="27"/>
  <c r="AZ11" i="27" s="1"/>
  <c r="AZ4" i="27"/>
  <c r="AZ10" i="27" s="1"/>
  <c r="AZ7" i="27"/>
  <c r="AZ21" i="27" s="1"/>
  <c r="AV122" i="1"/>
  <c r="AV124" i="1" s="1"/>
  <c r="AU139" i="1"/>
  <c r="AT109" i="1"/>
  <c r="AQ89" i="1"/>
  <c r="N30" i="35" s="1"/>
  <c r="P30" i="35" s="1"/>
  <c r="AP90" i="1"/>
  <c r="AP91" i="1" s="1"/>
  <c r="BG111" i="1" l="1"/>
  <c r="BG114" i="1" s="1"/>
  <c r="BV68" i="1"/>
  <c r="BV126" i="1"/>
  <c r="AW15" i="26"/>
  <c r="AW22" i="26" s="1"/>
  <c r="BM24" i="1"/>
  <c r="BN24" i="1"/>
  <c r="BN25" i="1"/>
  <c r="BM25" i="1"/>
  <c r="BN18" i="1"/>
  <c r="AZ5" i="26"/>
  <c r="AZ15" i="26" s="1"/>
  <c r="BM18" i="1"/>
  <c r="AX5" i="26"/>
  <c r="AX15" i="26" s="1"/>
  <c r="BL19" i="1"/>
  <c r="AV23" i="26"/>
  <c r="BK20" i="1"/>
  <c r="AW6" i="26"/>
  <c r="AW18" i="26" s="1"/>
  <c r="AU23" i="26"/>
  <c r="AZ4" i="26"/>
  <c r="AZ12" i="26" s="1"/>
  <c r="BU119" i="1"/>
  <c r="BT120" i="1"/>
  <c r="BT73" i="1"/>
  <c r="AX21" i="26"/>
  <c r="BN71" i="1"/>
  <c r="BA5" i="27"/>
  <c r="BA11" i="27" s="1"/>
  <c r="BA4" i="27"/>
  <c r="BA10" i="27" s="1"/>
  <c r="BA7" i="27"/>
  <c r="AZ13" i="27"/>
  <c r="AV139" i="1"/>
  <c r="AW122" i="1"/>
  <c r="AW124" i="1" s="1"/>
  <c r="AU109" i="1"/>
  <c r="AR89" i="1"/>
  <c r="AQ90" i="1"/>
  <c r="AQ91" i="1" s="1"/>
  <c r="BH111" i="1" l="1"/>
  <c r="BH114" i="1" s="1"/>
  <c r="BW68" i="1"/>
  <c r="BW126" i="1"/>
  <c r="BA16" i="27"/>
  <c r="BO24" i="1" s="1"/>
  <c r="BA17" i="27"/>
  <c r="BO25" i="1" s="1"/>
  <c r="BA21" i="27"/>
  <c r="BN19" i="1"/>
  <c r="AW23" i="26"/>
  <c r="AX6" i="26"/>
  <c r="AX18" i="26" s="1"/>
  <c r="BL20" i="1"/>
  <c r="AY5" i="26"/>
  <c r="AY15" i="26" s="1"/>
  <c r="BM19" i="1"/>
  <c r="BV119" i="1"/>
  <c r="BU120" i="1"/>
  <c r="BU73" i="1"/>
  <c r="AY21" i="26"/>
  <c r="AZ21" i="26"/>
  <c r="BO71" i="1"/>
  <c r="BA13" i="27"/>
  <c r="BB5" i="27"/>
  <c r="BB11" i="27" s="1"/>
  <c r="BB4" i="27"/>
  <c r="BB10" i="27" s="1"/>
  <c r="BB7" i="27"/>
  <c r="AX122" i="1"/>
  <c r="AX124" i="1" s="1"/>
  <c r="AW139" i="1"/>
  <c r="AV109" i="1"/>
  <c r="AS89" i="1"/>
  <c r="AR90" i="1"/>
  <c r="AR91" i="1" s="1"/>
  <c r="BI111" i="1" l="1"/>
  <c r="BI114" i="1" s="1"/>
  <c r="BX68" i="1"/>
  <c r="BX126" i="1"/>
  <c r="BB16" i="27"/>
  <c r="BP24" i="1" s="1"/>
  <c r="BB17" i="27"/>
  <c r="BP25" i="1" s="1"/>
  <c r="BB21" i="27"/>
  <c r="BB13" i="27"/>
  <c r="AY22" i="26"/>
  <c r="AY6" i="26"/>
  <c r="AY18" i="26" s="1"/>
  <c r="BM20" i="1"/>
  <c r="AX23" i="26"/>
  <c r="AX22" i="26"/>
  <c r="BW119" i="1"/>
  <c r="BV120" i="1"/>
  <c r="BV73" i="1"/>
  <c r="BA5" i="26"/>
  <c r="BA15" i="26" s="1"/>
  <c r="BO19" i="1"/>
  <c r="BA4" i="26"/>
  <c r="BA12" i="26" s="1"/>
  <c r="BO18" i="1"/>
  <c r="BP71" i="1"/>
  <c r="BC5" i="27"/>
  <c r="BC11" i="27" s="1"/>
  <c r="BC7" i="27"/>
  <c r="BC4" i="27"/>
  <c r="BC10" i="27" s="1"/>
  <c r="AY122" i="1"/>
  <c r="AY124" i="1" s="1"/>
  <c r="AX139" i="1"/>
  <c r="AW109" i="1"/>
  <c r="AT89" i="1"/>
  <c r="AS90" i="1"/>
  <c r="AS91" i="1" s="1"/>
  <c r="BJ111" i="1" l="1"/>
  <c r="BJ114" i="1" s="1"/>
  <c r="BY68" i="1"/>
  <c r="BY126" i="1"/>
  <c r="BC16" i="27"/>
  <c r="BC17" i="27"/>
  <c r="BC21" i="27"/>
  <c r="BC13" i="27"/>
  <c r="AZ22" i="26"/>
  <c r="AY23" i="26"/>
  <c r="AZ6" i="26"/>
  <c r="AZ18" i="26" s="1"/>
  <c r="BN20" i="1"/>
  <c r="BX119" i="1"/>
  <c r="BW120" i="1"/>
  <c r="BW73" i="1"/>
  <c r="BP18" i="1"/>
  <c r="BB4" i="26"/>
  <c r="BB12" i="26" s="1"/>
  <c r="BQ71" i="1"/>
  <c r="BD4" i="27"/>
  <c r="BD10" i="27" s="1"/>
  <c r="BD7" i="27"/>
  <c r="BD21" i="27" s="1"/>
  <c r="BD5" i="27"/>
  <c r="BD11" i="27" s="1"/>
  <c r="BK111" i="1"/>
  <c r="BK114" i="1" s="1"/>
  <c r="AZ122" i="1"/>
  <c r="AZ124" i="1" s="1"/>
  <c r="AY139" i="1"/>
  <c r="AX109" i="1"/>
  <c r="AU89" i="1"/>
  <c r="AT90" i="1"/>
  <c r="AT91" i="1" s="1"/>
  <c r="BZ68" i="1" l="1"/>
  <c r="BZ126" i="1"/>
  <c r="BQ24" i="1"/>
  <c r="BR24" i="1"/>
  <c r="BR25" i="1"/>
  <c r="BQ25" i="1"/>
  <c r="BP19" i="1"/>
  <c r="BB5" i="26"/>
  <c r="BB15" i="26" s="1"/>
  <c r="AZ23" i="26"/>
  <c r="BO20" i="1"/>
  <c r="BA6" i="26"/>
  <c r="BA18" i="26" s="1"/>
  <c r="BY119" i="1"/>
  <c r="BX120" i="1"/>
  <c r="BX73" i="1"/>
  <c r="BA22" i="26"/>
  <c r="BB21" i="26"/>
  <c r="BA21" i="26"/>
  <c r="BC4" i="26"/>
  <c r="BC12" i="26" s="1"/>
  <c r="BQ18" i="1"/>
  <c r="BR71" i="1"/>
  <c r="BD13" i="27"/>
  <c r="BE4" i="27"/>
  <c r="BE10" i="27" s="1"/>
  <c r="BE7" i="27"/>
  <c r="BE5" i="27"/>
  <c r="BE11" i="27" s="1"/>
  <c r="BL111" i="1"/>
  <c r="BL114" i="1" s="1"/>
  <c r="AZ139" i="1"/>
  <c r="BA122" i="1"/>
  <c r="BA124" i="1" s="1"/>
  <c r="AY109" i="1"/>
  <c r="AV89" i="1"/>
  <c r="AU90" i="1"/>
  <c r="AU91" i="1" s="1"/>
  <c r="CA68" i="1" l="1"/>
  <c r="CA126" i="1"/>
  <c r="BE17" i="27"/>
  <c r="BS25" i="1" s="1"/>
  <c r="BE16" i="27"/>
  <c r="BS24" i="1" s="1"/>
  <c r="BE21" i="27"/>
  <c r="BQ20" i="1"/>
  <c r="BB22" i="26"/>
  <c r="BA23" i="26"/>
  <c r="BB6" i="26"/>
  <c r="BB18" i="26" s="1"/>
  <c r="BP20" i="1"/>
  <c r="BC5" i="26"/>
  <c r="BC15" i="26" s="1"/>
  <c r="BQ19" i="1"/>
  <c r="BZ119" i="1"/>
  <c r="BY120" i="1"/>
  <c r="BY73" i="1"/>
  <c r="BR18" i="1"/>
  <c r="BD4" i="26"/>
  <c r="BD12" i="26" s="1"/>
  <c r="BS71" i="1"/>
  <c r="BE13" i="27"/>
  <c r="BF4" i="27"/>
  <c r="BF10" i="27" s="1"/>
  <c r="BF7" i="27"/>
  <c r="BF5" i="27"/>
  <c r="BF11" i="27" s="1"/>
  <c r="BM111" i="1"/>
  <c r="BM114" i="1" s="1"/>
  <c r="BA139" i="1"/>
  <c r="BB122" i="1"/>
  <c r="BB124" i="1" s="1"/>
  <c r="AZ109" i="1"/>
  <c r="AW89" i="1"/>
  <c r="AV90" i="1"/>
  <c r="AV91" i="1" s="1"/>
  <c r="CB68" i="1" l="1"/>
  <c r="CB126" i="1"/>
  <c r="BF15" i="27"/>
  <c r="BF17" i="27"/>
  <c r="BT25" i="1" s="1"/>
  <c r="BF16" i="27"/>
  <c r="BT24" i="1" s="1"/>
  <c r="BC6" i="26"/>
  <c r="BC18" i="26" s="1"/>
  <c r="BE5" i="26"/>
  <c r="BE15" i="26" s="1"/>
  <c r="BD5" i="26"/>
  <c r="BD15" i="26" s="1"/>
  <c r="BR19" i="1"/>
  <c r="BB23" i="26"/>
  <c r="CA119" i="1"/>
  <c r="BZ120" i="1"/>
  <c r="BZ73" i="1"/>
  <c r="BE4" i="26"/>
  <c r="BE12" i="26" s="1"/>
  <c r="BS18" i="1"/>
  <c r="BF13" i="27"/>
  <c r="BC21" i="26"/>
  <c r="BT71" i="1"/>
  <c r="BG4" i="27"/>
  <c r="BG10" i="27" s="1"/>
  <c r="BG5" i="27"/>
  <c r="BG11" i="27" s="1"/>
  <c r="BG7" i="27"/>
  <c r="BN111" i="1"/>
  <c r="BN114" i="1" s="1"/>
  <c r="BB139" i="1"/>
  <c r="BC122" i="1"/>
  <c r="BC124" i="1" s="1"/>
  <c r="BA109" i="1"/>
  <c r="AX89" i="1"/>
  <c r="AW90" i="1"/>
  <c r="AW91" i="1" s="1"/>
  <c r="CC68" i="1" l="1"/>
  <c r="CC126" i="1"/>
  <c r="BG16" i="27"/>
  <c r="BU24" i="1" s="1"/>
  <c r="BG17" i="27"/>
  <c r="BU25" i="1" s="1"/>
  <c r="BG13" i="27"/>
  <c r="BG15" i="27"/>
  <c r="BS19" i="1"/>
  <c r="BT19" i="1"/>
  <c r="BD22" i="26"/>
  <c r="BC22" i="26"/>
  <c r="BC23" i="26"/>
  <c r="BR20" i="1"/>
  <c r="BD6" i="26"/>
  <c r="BD18" i="26" s="1"/>
  <c r="CB119" i="1"/>
  <c r="CA120" i="1"/>
  <c r="CA73" i="1"/>
  <c r="BD21" i="26"/>
  <c r="BT18" i="1"/>
  <c r="BF4" i="26"/>
  <c r="BF12" i="26" s="1"/>
  <c r="BU71" i="1"/>
  <c r="BH5" i="27"/>
  <c r="BH11" i="27" s="1"/>
  <c r="BH7" i="27"/>
  <c r="BH4" i="27"/>
  <c r="BH10" i="27" s="1"/>
  <c r="BO111" i="1"/>
  <c r="BO114" i="1" s="1"/>
  <c r="BC139" i="1"/>
  <c r="BD122" i="1"/>
  <c r="BD124" i="1" s="1"/>
  <c r="BB109" i="1"/>
  <c r="AY89" i="1"/>
  <c r="AX90" i="1"/>
  <c r="AX91" i="1" s="1"/>
  <c r="CD68" i="1" l="1"/>
  <c r="CD126" i="1"/>
  <c r="BH16" i="27"/>
  <c r="BV24" i="1" s="1"/>
  <c r="BH17" i="27"/>
  <c r="BV25" i="1" s="1"/>
  <c r="BH15" i="27"/>
  <c r="BW23" i="1" s="1"/>
  <c r="BF5" i="26"/>
  <c r="BF15" i="26" s="1"/>
  <c r="BT20" i="1"/>
  <c r="BF6" i="26"/>
  <c r="BF18" i="26" s="1"/>
  <c r="BE22" i="26"/>
  <c r="BE6" i="26"/>
  <c r="BE18" i="26" s="1"/>
  <c r="BS20" i="1"/>
  <c r="CC119" i="1"/>
  <c r="CB120" i="1"/>
  <c r="CB73" i="1"/>
  <c r="BG4" i="26"/>
  <c r="BG12" i="26" s="1"/>
  <c r="BU18" i="1"/>
  <c r="BE21" i="26"/>
  <c r="BV71" i="1"/>
  <c r="BH13" i="27"/>
  <c r="BI5" i="27"/>
  <c r="BI11" i="27" s="1"/>
  <c r="BI4" i="27"/>
  <c r="BI10" i="27" s="1"/>
  <c r="BI7" i="27"/>
  <c r="BP111" i="1"/>
  <c r="BP114" i="1" s="1"/>
  <c r="BE122" i="1"/>
  <c r="BE124" i="1" s="1"/>
  <c r="BD139" i="1"/>
  <c r="BC109" i="1"/>
  <c r="AZ89" i="1"/>
  <c r="AY90" i="1"/>
  <c r="AY91" i="1" s="1"/>
  <c r="CE68" i="1" l="1"/>
  <c r="CE126" i="1"/>
  <c r="BI16" i="27"/>
  <c r="BW24" i="1" s="1"/>
  <c r="BI17" i="27"/>
  <c r="BW25" i="1" s="1"/>
  <c r="BI13" i="27"/>
  <c r="BI15" i="27"/>
  <c r="BX23" i="1" s="1"/>
  <c r="BE23" i="26"/>
  <c r="BD23" i="26"/>
  <c r="CD119" i="1"/>
  <c r="CC120" i="1"/>
  <c r="BU19" i="1"/>
  <c r="BG5" i="26"/>
  <c r="BG15" i="26" s="1"/>
  <c r="BU20" i="1"/>
  <c r="BG6" i="26"/>
  <c r="BG18" i="26" s="1"/>
  <c r="CC73" i="1"/>
  <c r="BF21" i="26"/>
  <c r="BH4" i="26"/>
  <c r="BH12" i="26" s="1"/>
  <c r="BV18" i="1"/>
  <c r="BF22" i="26"/>
  <c r="BG21" i="26"/>
  <c r="BW71" i="1"/>
  <c r="BJ5" i="27"/>
  <c r="BJ11" i="27" s="1"/>
  <c r="BJ7" i="27"/>
  <c r="BJ4" i="27"/>
  <c r="BJ10" i="27" s="1"/>
  <c r="BQ111" i="1"/>
  <c r="BQ114" i="1" s="1"/>
  <c r="BF122" i="1"/>
  <c r="BF124" i="1" s="1"/>
  <c r="BE139" i="1"/>
  <c r="BD109" i="1"/>
  <c r="BA89" i="1"/>
  <c r="AZ90" i="1"/>
  <c r="AZ91" i="1" s="1"/>
  <c r="CF68" i="1" l="1"/>
  <c r="CF126" i="1"/>
  <c r="BJ17" i="27"/>
  <c r="BX25" i="1" s="1"/>
  <c r="BJ16" i="27"/>
  <c r="BX24" i="1" s="1"/>
  <c r="BJ21" i="27"/>
  <c r="BI5" i="26"/>
  <c r="BI15" i="26" s="1"/>
  <c r="BF23" i="26"/>
  <c r="BW19" i="1"/>
  <c r="BH5" i="26"/>
  <c r="BH15" i="26" s="1"/>
  <c r="BV19" i="1"/>
  <c r="CE119" i="1"/>
  <c r="CD120" i="1"/>
  <c r="BI6" i="26"/>
  <c r="BI18" i="26" s="1"/>
  <c r="BV20" i="1"/>
  <c r="BH6" i="26"/>
  <c r="CD73" i="1"/>
  <c r="BG22" i="26"/>
  <c r="BW18" i="1"/>
  <c r="BI4" i="26"/>
  <c r="BX71" i="1"/>
  <c r="BJ13" i="27"/>
  <c r="BK5" i="27"/>
  <c r="BK11" i="27" s="1"/>
  <c r="BK7" i="27"/>
  <c r="BK4" i="27"/>
  <c r="BK10" i="27" s="1"/>
  <c r="BR111" i="1"/>
  <c r="BR114" i="1" s="1"/>
  <c r="BF139" i="1"/>
  <c r="BG122" i="1"/>
  <c r="BG124" i="1" s="1"/>
  <c r="BE109" i="1"/>
  <c r="BB89" i="1"/>
  <c r="BA90" i="1"/>
  <c r="BA91" i="1" s="1"/>
  <c r="CG68" i="1" l="1"/>
  <c r="CG126" i="1"/>
  <c r="BK17" i="27"/>
  <c r="BK16" i="27"/>
  <c r="BI12" i="26"/>
  <c r="BI21" i="26" s="1"/>
  <c r="BH18" i="26"/>
  <c r="BH23" i="26" s="1"/>
  <c r="BK21" i="27"/>
  <c r="BX19" i="1"/>
  <c r="BW20" i="1"/>
  <c r="BJ5" i="26"/>
  <c r="BJ15" i="26" s="1"/>
  <c r="CE120" i="1"/>
  <c r="CF119" i="1"/>
  <c r="BG23" i="26"/>
  <c r="CE73" i="1"/>
  <c r="BH21" i="26"/>
  <c r="BH22" i="26"/>
  <c r="BX18" i="1"/>
  <c r="BJ4" i="26"/>
  <c r="BJ12" i="26" s="1"/>
  <c r="BY71" i="1"/>
  <c r="BK13" i="27"/>
  <c r="BL4" i="27"/>
  <c r="BL10" i="27" s="1"/>
  <c r="BL7" i="27"/>
  <c r="BL21" i="27" s="1"/>
  <c r="BL5" i="27"/>
  <c r="BL11" i="27" s="1"/>
  <c r="BS111" i="1"/>
  <c r="BS114" i="1" s="1"/>
  <c r="BG139" i="1"/>
  <c r="BH122" i="1"/>
  <c r="BH124" i="1" s="1"/>
  <c r="BF109" i="1"/>
  <c r="BC89" i="1"/>
  <c r="BB90" i="1"/>
  <c r="BB91" i="1" s="1"/>
  <c r="CH68" i="1" l="1"/>
  <c r="CH126" i="1"/>
  <c r="BY25" i="1"/>
  <c r="BZ25" i="1"/>
  <c r="BY24" i="1"/>
  <c r="BZ24" i="1"/>
  <c r="BL13" i="27"/>
  <c r="BY19" i="1"/>
  <c r="BK5" i="26"/>
  <c r="BK15" i="26" s="1"/>
  <c r="BI22" i="26"/>
  <c r="BX20" i="1"/>
  <c r="BJ6" i="26"/>
  <c r="BJ18" i="26" s="1"/>
  <c r="BJ22" i="26"/>
  <c r="CG119" i="1"/>
  <c r="CF120" i="1"/>
  <c r="BI23" i="26"/>
  <c r="CF73" i="1"/>
  <c r="BY18" i="1"/>
  <c r="BK4" i="26"/>
  <c r="BK12" i="26" s="1"/>
  <c r="BZ71" i="1"/>
  <c r="BM4" i="27"/>
  <c r="BM10" i="27" s="1"/>
  <c r="BM7" i="27"/>
  <c r="BM5" i="27"/>
  <c r="BM11" i="27" s="1"/>
  <c r="BT111" i="1"/>
  <c r="BT114" i="1" s="1"/>
  <c r="BH139" i="1"/>
  <c r="BI122" i="1"/>
  <c r="BI124" i="1" s="1"/>
  <c r="BG109" i="1"/>
  <c r="BD89" i="1"/>
  <c r="BC90" i="1"/>
  <c r="BC91" i="1" s="1"/>
  <c r="CI68" i="1" l="1"/>
  <c r="CI126" i="1"/>
  <c r="BM17" i="27"/>
  <c r="CA25" i="1" s="1"/>
  <c r="BM16" i="27"/>
  <c r="CA24" i="1" s="1"/>
  <c r="BM21" i="27"/>
  <c r="BM13" i="27"/>
  <c r="BY20" i="1"/>
  <c r="BK6" i="26"/>
  <c r="BK18" i="26" s="1"/>
  <c r="CH119" i="1"/>
  <c r="CG120" i="1"/>
  <c r="CA18" i="1"/>
  <c r="CG73" i="1"/>
  <c r="BJ21" i="26"/>
  <c r="BK22" i="26"/>
  <c r="BJ23" i="26"/>
  <c r="BZ18" i="1"/>
  <c r="BL4" i="26"/>
  <c r="BL12" i="26" s="1"/>
  <c r="CA71" i="1"/>
  <c r="BN4" i="27"/>
  <c r="BN10" i="27" s="1"/>
  <c r="BN7" i="27"/>
  <c r="BN5" i="27"/>
  <c r="BN11" i="27" s="1"/>
  <c r="BU111" i="1"/>
  <c r="BU114" i="1" s="1"/>
  <c r="BI139" i="1"/>
  <c r="BJ122" i="1"/>
  <c r="BJ124" i="1" s="1"/>
  <c r="BH109" i="1"/>
  <c r="BE89" i="1"/>
  <c r="BD90" i="1"/>
  <c r="BD91" i="1" s="1"/>
  <c r="CJ68" i="1" l="1"/>
  <c r="CJ126" i="1"/>
  <c r="BN17" i="27"/>
  <c r="CB25" i="1" s="1"/>
  <c r="BN16" i="27"/>
  <c r="CB24" i="1" s="1"/>
  <c r="BN21" i="27"/>
  <c r="BN13" i="27"/>
  <c r="CA19" i="1"/>
  <c r="BN4" i="26"/>
  <c r="BN12" i="26" s="1"/>
  <c r="BM4" i="26"/>
  <c r="CH120" i="1"/>
  <c r="CI119" i="1"/>
  <c r="BZ19" i="1"/>
  <c r="BL5" i="26"/>
  <c r="BL15" i="26" s="1"/>
  <c r="CH73" i="1"/>
  <c r="BK21" i="26"/>
  <c r="BL21" i="26"/>
  <c r="BK23" i="26"/>
  <c r="CB71" i="1"/>
  <c r="BO4" i="27"/>
  <c r="BO10" i="27" s="1"/>
  <c r="BO7" i="27"/>
  <c r="BO5" i="27"/>
  <c r="BO11" i="27" s="1"/>
  <c r="BV111" i="1"/>
  <c r="BV114" i="1" s="1"/>
  <c r="BJ139" i="1"/>
  <c r="BK122" i="1"/>
  <c r="BK124" i="1" s="1"/>
  <c r="BI109" i="1"/>
  <c r="BF89" i="1"/>
  <c r="BE90" i="1"/>
  <c r="BE91" i="1" s="1"/>
  <c r="CK68" i="1" l="1"/>
  <c r="CK126" i="1"/>
  <c r="BO16" i="27"/>
  <c r="BO17" i="27"/>
  <c r="BM12" i="26"/>
  <c r="BM21" i="26" s="1"/>
  <c r="BO21" i="27"/>
  <c r="BO13" i="27"/>
  <c r="BM5" i="26"/>
  <c r="BM15" i="26" s="1"/>
  <c r="BZ20" i="1"/>
  <c r="BL6" i="26"/>
  <c r="BL18" i="26" s="1"/>
  <c r="CB18" i="1"/>
  <c r="CI120" i="1"/>
  <c r="CJ119" i="1"/>
  <c r="BL22" i="26"/>
  <c r="CI73" i="1"/>
  <c r="CC71" i="1"/>
  <c r="BP5" i="27"/>
  <c r="BP11" i="27" s="1"/>
  <c r="BP4" i="27"/>
  <c r="BP10" i="27" s="1"/>
  <c r="BP7" i="27"/>
  <c r="BP21" i="27" s="1"/>
  <c r="BW111" i="1"/>
  <c r="BW114" i="1" s="1"/>
  <c r="BL122" i="1"/>
  <c r="BL124" i="1" s="1"/>
  <c r="BK139" i="1"/>
  <c r="BJ109" i="1"/>
  <c r="BG89" i="1"/>
  <c r="BF90" i="1"/>
  <c r="BF91" i="1" s="1"/>
  <c r="CL68" i="1" l="1"/>
  <c r="CL126" i="1"/>
  <c r="CC25" i="1"/>
  <c r="CD25" i="1"/>
  <c r="CD24" i="1"/>
  <c r="CC24" i="1"/>
  <c r="BM6" i="26"/>
  <c r="BM18" i="26" s="1"/>
  <c r="CA20" i="1"/>
  <c r="CB20" i="1"/>
  <c r="CB19" i="1"/>
  <c r="BN5" i="26"/>
  <c r="BN15" i="26" s="1"/>
  <c r="BN21" i="26"/>
  <c r="CC18" i="1"/>
  <c r="BO4" i="26"/>
  <c r="BO12" i="26" s="1"/>
  <c r="CC19" i="1"/>
  <c r="BO5" i="26"/>
  <c r="BO15" i="26" s="1"/>
  <c r="CJ120" i="1"/>
  <c r="CK119" i="1"/>
  <c r="CJ73" i="1"/>
  <c r="BM22" i="26"/>
  <c r="BP13" i="27"/>
  <c r="CD71" i="1"/>
  <c r="BQ5" i="27"/>
  <c r="BQ11" i="27" s="1"/>
  <c r="BQ4" i="27"/>
  <c r="BQ10" i="27" s="1"/>
  <c r="BQ7" i="27"/>
  <c r="BX111" i="1"/>
  <c r="BX114" i="1" s="1"/>
  <c r="BL139" i="1"/>
  <c r="BM122" i="1"/>
  <c r="BM124" i="1" s="1"/>
  <c r="BK109" i="1"/>
  <c r="BH89" i="1"/>
  <c r="BG90" i="1"/>
  <c r="BG91" i="1" s="1"/>
  <c r="CM68" i="1" l="1"/>
  <c r="CM126" i="1"/>
  <c r="BQ16" i="27"/>
  <c r="CE24" i="1" s="1"/>
  <c r="BQ17" i="27"/>
  <c r="CE25" i="1" s="1"/>
  <c r="BQ21" i="27"/>
  <c r="BQ13" i="27"/>
  <c r="CC20" i="1"/>
  <c r="BN6" i="26"/>
  <c r="BM23" i="26"/>
  <c r="BL23" i="26"/>
  <c r="BN22" i="26"/>
  <c r="BO22" i="26"/>
  <c r="BO21" i="26"/>
  <c r="CD19" i="1"/>
  <c r="BP5" i="26"/>
  <c r="CL119" i="1"/>
  <c r="CK120" i="1"/>
  <c r="CK73" i="1"/>
  <c r="CD18" i="1"/>
  <c r="BP4" i="26"/>
  <c r="BP12" i="26" s="1"/>
  <c r="CE71" i="1"/>
  <c r="BR5" i="27"/>
  <c r="BR11" i="27" s="1"/>
  <c r="BR4" i="27"/>
  <c r="BR10" i="27" s="1"/>
  <c r="BR7" i="27"/>
  <c r="BY111" i="1"/>
  <c r="BY114" i="1" s="1"/>
  <c r="BN122" i="1"/>
  <c r="BN124" i="1" s="1"/>
  <c r="BM139" i="1"/>
  <c r="BL109" i="1"/>
  <c r="BI89" i="1"/>
  <c r="BH90" i="1"/>
  <c r="BH91" i="1" s="1"/>
  <c r="CN68" i="1" l="1"/>
  <c r="CN126" i="1"/>
  <c r="BR15" i="27"/>
  <c r="BR4" i="26" s="1"/>
  <c r="BR12" i="26" s="1"/>
  <c r="BR16" i="27"/>
  <c r="CF24" i="1" s="1"/>
  <c r="BR17" i="27"/>
  <c r="CF25" i="1" s="1"/>
  <c r="BN18" i="26"/>
  <c r="BN23" i="26" s="1"/>
  <c r="BP15" i="26"/>
  <c r="BP22" i="26" s="1"/>
  <c r="BO6" i="26"/>
  <c r="BO18" i="26" s="1"/>
  <c r="CM119" i="1"/>
  <c r="CL120" i="1"/>
  <c r="BP6" i="26"/>
  <c r="BP18" i="26" s="1"/>
  <c r="CD20" i="1"/>
  <c r="CL73" i="1"/>
  <c r="CE18" i="1"/>
  <c r="BQ4" i="26"/>
  <c r="BQ12" i="26" s="1"/>
  <c r="BR13" i="27"/>
  <c r="CF71" i="1"/>
  <c r="BS5" i="27"/>
  <c r="BS11" i="27" s="1"/>
  <c r="BS4" i="27"/>
  <c r="BS10" i="27" s="1"/>
  <c r="BS7" i="27"/>
  <c r="BZ111" i="1"/>
  <c r="BZ114" i="1" s="1"/>
  <c r="BN139" i="1"/>
  <c r="BO122" i="1"/>
  <c r="BO124" i="1" s="1"/>
  <c r="BM109" i="1"/>
  <c r="BJ89" i="1"/>
  <c r="BI90" i="1"/>
  <c r="BI91" i="1" s="1"/>
  <c r="CO68" i="1" l="1"/>
  <c r="CO126" i="1"/>
  <c r="BS16" i="27"/>
  <c r="CG24" i="1" s="1"/>
  <c r="BS17" i="27"/>
  <c r="CG25" i="1" s="1"/>
  <c r="BO23" i="26"/>
  <c r="BS15" i="27"/>
  <c r="CF18" i="1"/>
  <c r="BQ5" i="26"/>
  <c r="BQ15" i="26" s="1"/>
  <c r="CE19" i="1"/>
  <c r="CF20" i="1"/>
  <c r="CN119" i="1"/>
  <c r="CM120" i="1"/>
  <c r="CM73" i="1"/>
  <c r="BQ21" i="26"/>
  <c r="BS13" i="27"/>
  <c r="BP21" i="26"/>
  <c r="CG71" i="1"/>
  <c r="BT4" i="27"/>
  <c r="BT10" i="27" s="1"/>
  <c r="BT7" i="27"/>
  <c r="BT5" i="27"/>
  <c r="BT11" i="27" s="1"/>
  <c r="CA111" i="1"/>
  <c r="CA114" i="1" s="1"/>
  <c r="BP122" i="1"/>
  <c r="BP124" i="1" s="1"/>
  <c r="BO139" i="1"/>
  <c r="BN109" i="1"/>
  <c r="BK89" i="1"/>
  <c r="BJ90" i="1"/>
  <c r="BJ91" i="1" s="1"/>
  <c r="CP68" i="1" l="1"/>
  <c r="CP126" i="1"/>
  <c r="BT17" i="27"/>
  <c r="CH25" i="1" s="1"/>
  <c r="BT16" i="27"/>
  <c r="CH24" i="1" s="1"/>
  <c r="CG18" i="1"/>
  <c r="BT13" i="27"/>
  <c r="BT15" i="27"/>
  <c r="CI23" i="1" s="1"/>
  <c r="BR6" i="26"/>
  <c r="BR18" i="26" s="1"/>
  <c r="BS4" i="26"/>
  <c r="BS12" i="26" s="1"/>
  <c r="CG20" i="1"/>
  <c r="BQ6" i="26"/>
  <c r="BQ18" i="26" s="1"/>
  <c r="CE20" i="1"/>
  <c r="CF19" i="1"/>
  <c r="BR5" i="26"/>
  <c r="BR15" i="26" s="1"/>
  <c r="CO119" i="1"/>
  <c r="CN120" i="1"/>
  <c r="BP23" i="26"/>
  <c r="CN73" i="1"/>
  <c r="BR21" i="26"/>
  <c r="BS5" i="26"/>
  <c r="BS15" i="26" s="1"/>
  <c r="CG19" i="1"/>
  <c r="CH71" i="1"/>
  <c r="BU4" i="27"/>
  <c r="BU10" i="27" s="1"/>
  <c r="BU7" i="27"/>
  <c r="BU5" i="27"/>
  <c r="BU11" i="27" s="1"/>
  <c r="CB111" i="1"/>
  <c r="CB114" i="1" s="1"/>
  <c r="BP139" i="1"/>
  <c r="BQ122" i="1"/>
  <c r="BQ124" i="1" s="1"/>
  <c r="BO109" i="1"/>
  <c r="BL89" i="1"/>
  <c r="BK90" i="1"/>
  <c r="BK91" i="1" s="1"/>
  <c r="CQ68" i="1" l="1"/>
  <c r="CQ126" i="1"/>
  <c r="BU16" i="27"/>
  <c r="CI24" i="1" s="1"/>
  <c r="BU17" i="27"/>
  <c r="CI25" i="1" s="1"/>
  <c r="BU13" i="27"/>
  <c r="BU15" i="27"/>
  <c r="CJ23" i="1" s="1"/>
  <c r="BR23" i="26"/>
  <c r="BT4" i="26"/>
  <c r="CH18" i="1"/>
  <c r="BS6" i="26"/>
  <c r="BQ23" i="26"/>
  <c r="BR22" i="26"/>
  <c r="BQ22" i="26"/>
  <c r="CP119" i="1"/>
  <c r="CO120" i="1"/>
  <c r="CO73" i="1"/>
  <c r="BS21" i="26"/>
  <c r="BT5" i="26"/>
  <c r="BT15" i="26" s="1"/>
  <c r="CH19" i="1"/>
  <c r="CI71" i="1"/>
  <c r="BV4" i="27"/>
  <c r="BV10" i="27" s="1"/>
  <c r="BV7" i="27"/>
  <c r="BV5" i="27"/>
  <c r="BV11" i="27" s="1"/>
  <c r="CC111" i="1"/>
  <c r="CC114" i="1" s="1"/>
  <c r="BQ139" i="1"/>
  <c r="BR122" i="1"/>
  <c r="BR124" i="1" s="1"/>
  <c r="BP109" i="1"/>
  <c r="BM89" i="1"/>
  <c r="BL90" i="1"/>
  <c r="BL91" i="1" s="1"/>
  <c r="CR68" i="1" l="1"/>
  <c r="CR126" i="1"/>
  <c r="BV17" i="27"/>
  <c r="CJ25" i="1" s="1"/>
  <c r="BV16" i="27"/>
  <c r="CJ24" i="1" s="1"/>
  <c r="BT12" i="26"/>
  <c r="BT21" i="26" s="1"/>
  <c r="BS18" i="26"/>
  <c r="BS23" i="26" s="1"/>
  <c r="BV21" i="27"/>
  <c r="CI18" i="1"/>
  <c r="CI19" i="1"/>
  <c r="CH20" i="1"/>
  <c r="BT6" i="26"/>
  <c r="CQ119" i="1"/>
  <c r="CP120" i="1"/>
  <c r="CJ18" i="1"/>
  <c r="BU4" i="26"/>
  <c r="CP73" i="1"/>
  <c r="BT22" i="26"/>
  <c r="BS22" i="26"/>
  <c r="CJ71" i="1"/>
  <c r="BV13" i="27"/>
  <c r="BW4" i="27"/>
  <c r="BW10" i="27" s="1"/>
  <c r="BW5" i="27"/>
  <c r="BW11" i="27" s="1"/>
  <c r="BW7" i="27"/>
  <c r="CD111" i="1"/>
  <c r="CD114" i="1" s="1"/>
  <c r="BR139" i="1"/>
  <c r="BS122" i="1"/>
  <c r="BS124" i="1" s="1"/>
  <c r="BQ109" i="1"/>
  <c r="BN89" i="1"/>
  <c r="BM90" i="1"/>
  <c r="BM91" i="1" s="1"/>
  <c r="CS68" i="1" l="1"/>
  <c r="CS126" i="1"/>
  <c r="BW16" i="27"/>
  <c r="BW17" i="27"/>
  <c r="BU12" i="26"/>
  <c r="BU21" i="26" s="1"/>
  <c r="BT18" i="26"/>
  <c r="BT23" i="26" s="1"/>
  <c r="BW21" i="27"/>
  <c r="BW13" i="27"/>
  <c r="BU5" i="26"/>
  <c r="BU6" i="26"/>
  <c r="BU18" i="26" s="1"/>
  <c r="CI20" i="1"/>
  <c r="BV4" i="26"/>
  <c r="BV12" i="26" s="1"/>
  <c r="CR119" i="1"/>
  <c r="CQ120" i="1"/>
  <c r="CQ73" i="1"/>
  <c r="CK71" i="1"/>
  <c r="BX5" i="27"/>
  <c r="BX11" i="27" s="1"/>
  <c r="BX7" i="27"/>
  <c r="BX21" i="27" s="1"/>
  <c r="BX4" i="27"/>
  <c r="BX10" i="27" s="1"/>
  <c r="CE111" i="1"/>
  <c r="CE114" i="1" s="1"/>
  <c r="BT122" i="1"/>
  <c r="BT124" i="1" s="1"/>
  <c r="BS139" i="1"/>
  <c r="BR109" i="1"/>
  <c r="BO89" i="1"/>
  <c r="BN90" i="1"/>
  <c r="BN91" i="1" s="1"/>
  <c r="CT68" i="1" l="1"/>
  <c r="CT126" i="1"/>
  <c r="BU15" i="26"/>
  <c r="BU22" i="26" s="1"/>
  <c r="CK24" i="1"/>
  <c r="CL24" i="1"/>
  <c r="CK25" i="1"/>
  <c r="CL25" i="1"/>
  <c r="BX13" i="27"/>
  <c r="BV5" i="26"/>
  <c r="BV15" i="26" s="1"/>
  <c r="CJ19" i="1"/>
  <c r="CK18" i="1"/>
  <c r="BW4" i="26"/>
  <c r="BW12" i="26" s="1"/>
  <c r="CS119" i="1"/>
  <c r="CR120" i="1"/>
  <c r="CR73" i="1"/>
  <c r="BV21" i="26"/>
  <c r="CL71" i="1"/>
  <c r="BY5" i="27"/>
  <c r="BY11" i="27" s="1"/>
  <c r="BY7" i="27"/>
  <c r="BY4" i="27"/>
  <c r="BY10" i="27" s="1"/>
  <c r="CF111" i="1"/>
  <c r="CF114" i="1" s="1"/>
  <c r="BT139" i="1"/>
  <c r="BU122" i="1"/>
  <c r="BU124" i="1" s="1"/>
  <c r="BS109" i="1"/>
  <c r="BP89" i="1"/>
  <c r="BO90" i="1"/>
  <c r="BO91" i="1" s="1"/>
  <c r="CU68" i="1" l="1"/>
  <c r="CU126" i="1"/>
  <c r="BY16" i="27"/>
  <c r="CM24" i="1" s="1"/>
  <c r="BY17" i="27"/>
  <c r="CM25" i="1" s="1"/>
  <c r="BY21" i="27"/>
  <c r="BX5" i="26"/>
  <c r="BX15" i="26" s="1"/>
  <c r="BV6" i="26"/>
  <c r="BV18" i="26" s="1"/>
  <c r="CJ20" i="1"/>
  <c r="BU23" i="26"/>
  <c r="BW5" i="26"/>
  <c r="BW15" i="26" s="1"/>
  <c r="CK19" i="1"/>
  <c r="BX4" i="26"/>
  <c r="CL18" i="1"/>
  <c r="BV22" i="26"/>
  <c r="CT119" i="1"/>
  <c r="CS120" i="1"/>
  <c r="CS73" i="1"/>
  <c r="BY13" i="27"/>
  <c r="CM71" i="1"/>
  <c r="BZ5" i="27"/>
  <c r="BZ11" i="27" s="1"/>
  <c r="BZ7" i="27"/>
  <c r="BZ4" i="27"/>
  <c r="BZ10" i="27" s="1"/>
  <c r="CG111" i="1"/>
  <c r="CG114" i="1" s="1"/>
  <c r="BV122" i="1"/>
  <c r="BV124" i="1" s="1"/>
  <c r="BU139" i="1"/>
  <c r="BT109" i="1"/>
  <c r="BQ89" i="1"/>
  <c r="BP90" i="1"/>
  <c r="BP91" i="1" s="1"/>
  <c r="CV68" i="1" l="1"/>
  <c r="CV126" i="1"/>
  <c r="BZ17" i="27"/>
  <c r="CN25" i="1" s="1"/>
  <c r="BZ16" i="27"/>
  <c r="CN24" i="1" s="1"/>
  <c r="BX12" i="26"/>
  <c r="BX21" i="26" s="1"/>
  <c r="BZ21" i="27"/>
  <c r="BY5" i="26"/>
  <c r="BY15" i="26" s="1"/>
  <c r="CL20" i="1"/>
  <c r="CL19" i="1"/>
  <c r="BY4" i="26"/>
  <c r="CM18" i="1"/>
  <c r="BW6" i="26"/>
  <c r="BW18" i="26" s="1"/>
  <c r="CK20" i="1"/>
  <c r="BV23" i="26"/>
  <c r="BW21" i="26"/>
  <c r="CU119" i="1"/>
  <c r="CT120" i="1"/>
  <c r="CT73" i="1"/>
  <c r="BZ13" i="27"/>
  <c r="CN71" i="1"/>
  <c r="CA5" i="27"/>
  <c r="CA11" i="27" s="1"/>
  <c r="CA7" i="27"/>
  <c r="CA4" i="27"/>
  <c r="CA10" i="27" s="1"/>
  <c r="CH111" i="1"/>
  <c r="CH114" i="1" s="1"/>
  <c r="BV139" i="1"/>
  <c r="BW122" i="1"/>
  <c r="BW124" i="1" s="1"/>
  <c r="BU109" i="1"/>
  <c r="BR89" i="1"/>
  <c r="BQ90" i="1"/>
  <c r="BQ91" i="1" s="1"/>
  <c r="CW68" i="1" l="1"/>
  <c r="CW126" i="1"/>
  <c r="CA17" i="27"/>
  <c r="CA16" i="27"/>
  <c r="BY12" i="26"/>
  <c r="BY21" i="26" s="1"/>
  <c r="CA21" i="27"/>
  <c r="CA13" i="27"/>
  <c r="CM20" i="1"/>
  <c r="CM19" i="1"/>
  <c r="BX6" i="26"/>
  <c r="BX18" i="26" s="1"/>
  <c r="BW23" i="26"/>
  <c r="BX22" i="26"/>
  <c r="BW22" i="26"/>
  <c r="CU120" i="1"/>
  <c r="CV119" i="1"/>
  <c r="CU73" i="1"/>
  <c r="CN18" i="1"/>
  <c r="BZ4" i="26"/>
  <c r="BZ12" i="26" s="1"/>
  <c r="CO71" i="1"/>
  <c r="CB4" i="27"/>
  <c r="CB10" i="27" s="1"/>
  <c r="CB7" i="27"/>
  <c r="CB21" i="27" s="1"/>
  <c r="CB5" i="27"/>
  <c r="CB11" i="27" s="1"/>
  <c r="CI111" i="1"/>
  <c r="CI114" i="1" s="1"/>
  <c r="BX122" i="1"/>
  <c r="BX124" i="1" s="1"/>
  <c r="BW139" i="1"/>
  <c r="BV109" i="1"/>
  <c r="BS89" i="1"/>
  <c r="BR90" i="1"/>
  <c r="BR91" i="1" s="1"/>
  <c r="CX68" i="1" l="1"/>
  <c r="CX126" i="1"/>
  <c r="CO25" i="1"/>
  <c r="CP25" i="1"/>
  <c r="CP24" i="1"/>
  <c r="CO24" i="1"/>
  <c r="CB13" i="27"/>
  <c r="BY6" i="26"/>
  <c r="BX23" i="26"/>
  <c r="CW119" i="1"/>
  <c r="CV120" i="1"/>
  <c r="CN19" i="1"/>
  <c r="CO19" i="1"/>
  <c r="BZ5" i="26"/>
  <c r="BZ15" i="26" s="1"/>
  <c r="CV73" i="1"/>
  <c r="BZ6" i="26"/>
  <c r="BZ18" i="26" s="1"/>
  <c r="CN20" i="1"/>
  <c r="BY22" i="26"/>
  <c r="CO18" i="1"/>
  <c r="CA4" i="26"/>
  <c r="CA12" i="26" s="1"/>
  <c r="CP71" i="1"/>
  <c r="CC4" i="27"/>
  <c r="CC10" i="27" s="1"/>
  <c r="CC7" i="27"/>
  <c r="CC5" i="27"/>
  <c r="CC11" i="27" s="1"/>
  <c r="CJ111" i="1"/>
  <c r="CJ114" i="1" s="1"/>
  <c r="BX139" i="1"/>
  <c r="BY122" i="1"/>
  <c r="BY124" i="1" s="1"/>
  <c r="BW109" i="1"/>
  <c r="BT89" i="1"/>
  <c r="BS90" i="1"/>
  <c r="BS91" i="1" s="1"/>
  <c r="CY68" i="1" l="1"/>
  <c r="CY126" i="1"/>
  <c r="CC16" i="27"/>
  <c r="CQ24" i="1" s="1"/>
  <c r="CC17" i="27"/>
  <c r="CQ25" i="1" s="1"/>
  <c r="BY18" i="26"/>
  <c r="BY23" i="26" s="1"/>
  <c r="CC21" i="27"/>
  <c r="CQ18" i="1"/>
  <c r="CP18" i="1"/>
  <c r="CB4" i="26"/>
  <c r="CA5" i="26"/>
  <c r="CA15" i="26" s="1"/>
  <c r="CO20" i="1"/>
  <c r="CX119" i="1"/>
  <c r="CW120" i="1"/>
  <c r="CW73" i="1"/>
  <c r="BZ21" i="26"/>
  <c r="BZ22" i="26"/>
  <c r="CQ71" i="1"/>
  <c r="CD4" i="27"/>
  <c r="CD10" i="27" s="1"/>
  <c r="CD7" i="27"/>
  <c r="CD5" i="27"/>
  <c r="CD11" i="27" s="1"/>
  <c r="CC13" i="27"/>
  <c r="CK111" i="1"/>
  <c r="CK114" i="1" s="1"/>
  <c r="BY139" i="1"/>
  <c r="BZ122" i="1"/>
  <c r="BZ124" i="1" s="1"/>
  <c r="BX109" i="1"/>
  <c r="BU89" i="1"/>
  <c r="BT90" i="1"/>
  <c r="BT91" i="1" s="1"/>
  <c r="CD15" i="27" l="1"/>
  <c r="CD16" i="27"/>
  <c r="CR24" i="1" s="1"/>
  <c r="CD17" i="27"/>
  <c r="CR25" i="1" s="1"/>
  <c r="CB12" i="26"/>
  <c r="CB21" i="26" s="1"/>
  <c r="BZ23" i="26"/>
  <c r="CD13" i="27"/>
  <c r="CC4" i="26"/>
  <c r="CC12" i="26" s="1"/>
  <c r="CC5" i="26"/>
  <c r="CC15" i="26" s="1"/>
  <c r="CD4" i="26"/>
  <c r="CD12" i="26" s="1"/>
  <c r="CP19" i="1"/>
  <c r="CB5" i="26"/>
  <c r="CA6" i="26"/>
  <c r="CA18" i="26" s="1"/>
  <c r="CQ20" i="1"/>
  <c r="CY119" i="1"/>
  <c r="CY120" i="1" s="1"/>
  <c r="CX120" i="1"/>
  <c r="CX73" i="1"/>
  <c r="CA21" i="26"/>
  <c r="CA22" i="26"/>
  <c r="CR71" i="1"/>
  <c r="CE4" i="27"/>
  <c r="CE10" i="27" s="1"/>
  <c r="CE7" i="27"/>
  <c r="CE5" i="27"/>
  <c r="CE11" i="27" s="1"/>
  <c r="CL111" i="1"/>
  <c r="CL114" i="1" s="1"/>
  <c r="BZ139" i="1"/>
  <c r="CA122" i="1"/>
  <c r="CA124" i="1" s="1"/>
  <c r="BY109" i="1"/>
  <c r="BV89" i="1"/>
  <c r="BU90" i="1"/>
  <c r="BU91" i="1" s="1"/>
  <c r="CE16" i="27" l="1"/>
  <c r="CS24" i="1" s="1"/>
  <c r="CE17" i="27"/>
  <c r="CS25" i="1" s="1"/>
  <c r="CB15" i="26"/>
  <c r="CB22" i="26" s="1"/>
  <c r="CE15" i="27"/>
  <c r="CR18" i="1"/>
  <c r="CQ19" i="1"/>
  <c r="CC21" i="26"/>
  <c r="CR19" i="1"/>
  <c r="CC22" i="26"/>
  <c r="CC6" i="26"/>
  <c r="CC18" i="26" s="1"/>
  <c r="CB6" i="26"/>
  <c r="CB18" i="26" s="1"/>
  <c r="CP20" i="1"/>
  <c r="CY73" i="1"/>
  <c r="CA23" i="26"/>
  <c r="CS71" i="1"/>
  <c r="CF5" i="27"/>
  <c r="CF11" i="27" s="1"/>
  <c r="CF4" i="27"/>
  <c r="CF10" i="27" s="1"/>
  <c r="CF7" i="27"/>
  <c r="CE13" i="27"/>
  <c r="CM111" i="1"/>
  <c r="CM114" i="1" s="1"/>
  <c r="CA139" i="1"/>
  <c r="CB122" i="1"/>
  <c r="CB124" i="1" s="1"/>
  <c r="BZ109" i="1"/>
  <c r="BW89" i="1"/>
  <c r="BV90" i="1"/>
  <c r="BV91" i="1" s="1"/>
  <c r="CF16" i="27" l="1"/>
  <c r="CT24" i="1" s="1"/>
  <c r="CF17" i="27"/>
  <c r="CT25" i="1" s="1"/>
  <c r="CF15" i="27"/>
  <c r="CU23" i="1" s="1"/>
  <c r="CD6" i="26"/>
  <c r="CD18" i="26" s="1"/>
  <c r="CD5" i="26"/>
  <c r="CC23" i="26"/>
  <c r="CR20" i="1"/>
  <c r="CD21" i="26"/>
  <c r="CB23" i="26"/>
  <c r="CS18" i="1"/>
  <c r="CE4" i="26"/>
  <c r="CE12" i="26" s="1"/>
  <c r="CT71" i="1"/>
  <c r="CF13" i="27"/>
  <c r="CG5" i="27"/>
  <c r="CG11" i="27" s="1"/>
  <c r="CG4" i="27"/>
  <c r="CG10" i="27" s="1"/>
  <c r="CG7" i="27"/>
  <c r="CN111" i="1"/>
  <c r="CN114" i="1" s="1"/>
  <c r="CB139" i="1"/>
  <c r="CC122" i="1"/>
  <c r="CC124" i="1" s="1"/>
  <c r="CA109" i="1"/>
  <c r="BX89" i="1"/>
  <c r="BW90" i="1"/>
  <c r="BW91" i="1" s="1"/>
  <c r="CG16" i="27" l="1"/>
  <c r="CU24" i="1" s="1"/>
  <c r="CG17" i="27"/>
  <c r="CU25" i="1" s="1"/>
  <c r="CD15" i="26"/>
  <c r="CD22" i="26" s="1"/>
  <c r="CG13" i="27"/>
  <c r="CG15" i="27"/>
  <c r="CV23" i="1" s="1"/>
  <c r="CD23" i="26"/>
  <c r="CE6" i="26"/>
  <c r="CE18" i="26" s="1"/>
  <c r="CS20" i="1"/>
  <c r="CT18" i="1"/>
  <c r="CF4" i="26"/>
  <c r="CF12" i="26" s="1"/>
  <c r="CE5" i="26"/>
  <c r="CE15" i="26" s="1"/>
  <c r="CS19" i="1"/>
  <c r="CU71" i="1"/>
  <c r="CH5" i="27"/>
  <c r="CH11" i="27" s="1"/>
  <c r="CH4" i="27"/>
  <c r="CH10" i="27" s="1"/>
  <c r="CH7" i="27"/>
  <c r="CO111" i="1"/>
  <c r="CO114" i="1" s="1"/>
  <c r="CD122" i="1"/>
  <c r="CD124" i="1" s="1"/>
  <c r="CC139" i="1"/>
  <c r="CB109" i="1"/>
  <c r="BY89" i="1"/>
  <c r="BX90" i="1"/>
  <c r="BX91" i="1" s="1"/>
  <c r="CH17" i="27" l="1"/>
  <c r="CV25" i="1" s="1"/>
  <c r="CH16" i="27"/>
  <c r="CV24" i="1" s="1"/>
  <c r="CH21" i="27"/>
  <c r="CH13" i="27"/>
  <c r="CE23" i="26"/>
  <c r="CG5" i="26"/>
  <c r="CG15" i="26" s="1"/>
  <c r="CT19" i="1"/>
  <c r="CF5" i="26"/>
  <c r="CF15" i="26" s="1"/>
  <c r="CF21" i="26"/>
  <c r="CU18" i="1"/>
  <c r="CG4" i="26"/>
  <c r="CG12" i="26" s="1"/>
  <c r="CE21" i="26"/>
  <c r="CV71" i="1"/>
  <c r="CI5" i="27"/>
  <c r="CI11" i="27" s="1"/>
  <c r="CI7" i="27"/>
  <c r="CI4" i="27"/>
  <c r="CI10" i="27" s="1"/>
  <c r="CP111" i="1"/>
  <c r="CP114" i="1" s="1"/>
  <c r="CE122" i="1"/>
  <c r="CE124" i="1" s="1"/>
  <c r="CD139" i="1"/>
  <c r="CC109" i="1"/>
  <c r="BZ89" i="1"/>
  <c r="BY90" i="1"/>
  <c r="BY91" i="1" s="1"/>
  <c r="CI16" i="27" l="1"/>
  <c r="CW19" i="1" s="1"/>
  <c r="CI17" i="27"/>
  <c r="CI21" i="27"/>
  <c r="CI13" i="27"/>
  <c r="CI4" i="26"/>
  <c r="CI12" i="26" s="1"/>
  <c r="CU19" i="1"/>
  <c r="CT20" i="1"/>
  <c r="CF6" i="26"/>
  <c r="CF18" i="26" s="1"/>
  <c r="CV18" i="1"/>
  <c r="CH4" i="26"/>
  <c r="CH12" i="26" s="1"/>
  <c r="CE22" i="26"/>
  <c r="CF22" i="26"/>
  <c r="CG21" i="26"/>
  <c r="CW71" i="1"/>
  <c r="CJ4" i="27"/>
  <c r="CJ10" i="27" s="1"/>
  <c r="CJ7" i="27"/>
  <c r="CJ21" i="27" s="1"/>
  <c r="CJ5" i="27"/>
  <c r="CJ11" i="27" s="1"/>
  <c r="CQ111" i="1"/>
  <c r="CQ114" i="1" s="1"/>
  <c r="CF122" i="1"/>
  <c r="CF124" i="1" s="1"/>
  <c r="CE139" i="1"/>
  <c r="CD109" i="1"/>
  <c r="CA89" i="1"/>
  <c r="BZ90" i="1"/>
  <c r="BZ91" i="1" s="1"/>
  <c r="CW25" i="1" l="1"/>
  <c r="CX25" i="1"/>
  <c r="CW24" i="1"/>
  <c r="CX24" i="1"/>
  <c r="CJ13" i="27"/>
  <c r="CJ5" i="26"/>
  <c r="CJ15" i="26" s="1"/>
  <c r="CW18" i="1"/>
  <c r="CI6" i="26"/>
  <c r="CI18" i="26" s="1"/>
  <c r="CH5" i="26"/>
  <c r="CI5" i="26"/>
  <c r="CI15" i="26" s="1"/>
  <c r="CV19" i="1"/>
  <c r="CU20" i="1"/>
  <c r="CG6" i="26"/>
  <c r="CG18" i="26" s="1"/>
  <c r="CG22" i="26"/>
  <c r="CX71" i="1"/>
  <c r="CK4" i="27"/>
  <c r="CK10" i="27" s="1"/>
  <c r="CK7" i="27"/>
  <c r="CK5" i="27"/>
  <c r="CK11" i="27" s="1"/>
  <c r="CR111" i="1"/>
  <c r="CR114" i="1" s="1"/>
  <c r="CF139" i="1"/>
  <c r="CG122" i="1"/>
  <c r="CG124" i="1" s="1"/>
  <c r="CE109" i="1"/>
  <c r="CB89" i="1"/>
  <c r="CA90" i="1"/>
  <c r="CA91" i="1" s="1"/>
  <c r="CK17" i="27" l="1"/>
  <c r="CY25" i="1" s="1"/>
  <c r="CK16" i="27"/>
  <c r="CY24" i="1" s="1"/>
  <c r="CH15" i="26"/>
  <c r="CH22" i="26" s="1"/>
  <c r="CK21" i="27"/>
  <c r="CK13" i="27"/>
  <c r="CW20" i="1"/>
  <c r="CV20" i="1"/>
  <c r="CH6" i="26"/>
  <c r="CH18" i="26" s="1"/>
  <c r="CJ6" i="26"/>
  <c r="CJ18" i="26" s="1"/>
  <c r="CX19" i="1"/>
  <c r="CI22" i="26"/>
  <c r="CX18" i="1"/>
  <c r="CF23" i="26"/>
  <c r="CJ4" i="26"/>
  <c r="CH21" i="26"/>
  <c r="CI21" i="26"/>
  <c r="CY71" i="1"/>
  <c r="CS111" i="1"/>
  <c r="CS114" i="1" s="1"/>
  <c r="CH122" i="1"/>
  <c r="CH124" i="1" s="1"/>
  <c r="CG139" i="1"/>
  <c r="CF109" i="1"/>
  <c r="CC89" i="1"/>
  <c r="CB90" i="1"/>
  <c r="CB91" i="1" s="1"/>
  <c r="CJ12" i="26" l="1"/>
  <c r="CJ21" i="26" s="1"/>
  <c r="CK5" i="26"/>
  <c r="CK15" i="26" s="1"/>
  <c r="CK22" i="26" s="1"/>
  <c r="CX20" i="1"/>
  <c r="CH23" i="26"/>
  <c r="CK4" i="26"/>
  <c r="CJ22" i="26"/>
  <c r="CK6" i="26"/>
  <c r="CK18" i="26" s="1"/>
  <c r="CY19" i="1"/>
  <c r="CY18" i="1"/>
  <c r="CG23" i="26"/>
  <c r="CI23" i="26"/>
  <c r="CT111" i="1"/>
  <c r="CT114" i="1" s="1"/>
  <c r="CH139" i="1"/>
  <c r="CI122" i="1"/>
  <c r="CI124" i="1" s="1"/>
  <c r="CG109" i="1"/>
  <c r="CD89" i="1"/>
  <c r="CC90" i="1"/>
  <c r="CC91" i="1" s="1"/>
  <c r="CK12" i="26" l="1"/>
  <c r="CK21" i="26" s="1"/>
  <c r="CJ23" i="26"/>
  <c r="CY20" i="1"/>
  <c r="CK23" i="26"/>
  <c r="CU111" i="1"/>
  <c r="CU114" i="1" s="1"/>
  <c r="CJ122" i="1"/>
  <c r="CJ124" i="1" s="1"/>
  <c r="CI139" i="1"/>
  <c r="CH109" i="1"/>
  <c r="CE89" i="1"/>
  <c r="CD90" i="1"/>
  <c r="CD91" i="1" s="1"/>
  <c r="CV111" i="1" l="1"/>
  <c r="CV114" i="1" s="1"/>
  <c r="CJ139" i="1"/>
  <c r="CK122" i="1"/>
  <c r="CK124" i="1" s="1"/>
  <c r="CI109" i="1"/>
  <c r="CF89" i="1"/>
  <c r="CE90" i="1"/>
  <c r="CE91" i="1" s="1"/>
  <c r="CW111" i="1" l="1"/>
  <c r="CW114" i="1" s="1"/>
  <c r="CL122" i="1"/>
  <c r="CL124" i="1" s="1"/>
  <c r="CK139" i="1"/>
  <c r="CJ109" i="1"/>
  <c r="CG89" i="1"/>
  <c r="CF90" i="1"/>
  <c r="CF91" i="1" s="1"/>
  <c r="CX111" i="1" l="1"/>
  <c r="CX114" i="1" s="1"/>
  <c r="CM122" i="1"/>
  <c r="CM124" i="1" s="1"/>
  <c r="CL139" i="1"/>
  <c r="CK109" i="1"/>
  <c r="CH89" i="1"/>
  <c r="CG90" i="1"/>
  <c r="CG91" i="1" s="1"/>
  <c r="CY111" i="1" l="1"/>
  <c r="CY114" i="1" s="1"/>
  <c r="CN122" i="1"/>
  <c r="CN124" i="1" s="1"/>
  <c r="CM139" i="1"/>
  <c r="CL109" i="1"/>
  <c r="CI89" i="1"/>
  <c r="CH90" i="1"/>
  <c r="CH91" i="1" s="1"/>
  <c r="CO122" i="1" l="1"/>
  <c r="CO124" i="1" s="1"/>
  <c r="CN139" i="1"/>
  <c r="CM109" i="1"/>
  <c r="CJ89" i="1"/>
  <c r="CI90" i="1"/>
  <c r="CI91" i="1" s="1"/>
  <c r="CO139" i="1" l="1"/>
  <c r="CP122" i="1"/>
  <c r="CP124" i="1" s="1"/>
  <c r="CN109" i="1"/>
  <c r="CK89" i="1"/>
  <c r="CJ90" i="1"/>
  <c r="CJ91" i="1" s="1"/>
  <c r="CP139" i="1" l="1"/>
  <c r="CQ122" i="1"/>
  <c r="CQ124" i="1" s="1"/>
  <c r="CO109" i="1"/>
  <c r="CL89" i="1"/>
  <c r="CK90" i="1"/>
  <c r="CK91" i="1" s="1"/>
  <c r="CQ139" i="1" l="1"/>
  <c r="CR122" i="1"/>
  <c r="CR124" i="1" s="1"/>
  <c r="CP109" i="1"/>
  <c r="CM89" i="1"/>
  <c r="CL90" i="1"/>
  <c r="CL91" i="1" s="1"/>
  <c r="CR139" i="1" l="1"/>
  <c r="CS122" i="1"/>
  <c r="CS124" i="1" s="1"/>
  <c r="CQ109" i="1"/>
  <c r="CN89" i="1"/>
  <c r="CM90" i="1"/>
  <c r="CM91" i="1" s="1"/>
  <c r="CT122" i="1" l="1"/>
  <c r="CT124" i="1" s="1"/>
  <c r="CS139" i="1"/>
  <c r="CR109" i="1"/>
  <c r="CO89" i="1"/>
  <c r="CN90" i="1"/>
  <c r="CN91" i="1" s="1"/>
  <c r="CT139" i="1" l="1"/>
  <c r="CU122" i="1"/>
  <c r="CU124" i="1" s="1"/>
  <c r="CS109" i="1"/>
  <c r="CP89" i="1"/>
  <c r="CO90" i="1"/>
  <c r="CO91" i="1" s="1"/>
  <c r="CU139" i="1" l="1"/>
  <c r="CV122" i="1"/>
  <c r="CV124" i="1" s="1"/>
  <c r="CT109" i="1"/>
  <c r="CQ89" i="1"/>
  <c r="CP90" i="1"/>
  <c r="CP91" i="1" s="1"/>
  <c r="CV139" i="1" l="1"/>
  <c r="CW122" i="1"/>
  <c r="CW124" i="1" s="1"/>
  <c r="CU109" i="1"/>
  <c r="CR89" i="1"/>
  <c r="CQ90" i="1"/>
  <c r="CQ91" i="1" s="1"/>
  <c r="CW139" i="1" l="1"/>
  <c r="CX122" i="1"/>
  <c r="CX124" i="1" s="1"/>
  <c r="CV109" i="1"/>
  <c r="CS89" i="1"/>
  <c r="CR90" i="1"/>
  <c r="CR91" i="1" s="1"/>
  <c r="CX139" i="1" l="1"/>
  <c r="CY122" i="1"/>
  <c r="CY124" i="1" s="1"/>
  <c r="CW109" i="1"/>
  <c r="CT89" i="1"/>
  <c r="CS90" i="1"/>
  <c r="CS91" i="1" s="1"/>
  <c r="CY139" i="1" l="1"/>
  <c r="CX109" i="1"/>
  <c r="CU89" i="1"/>
  <c r="CT90" i="1"/>
  <c r="CT91" i="1" s="1"/>
  <c r="CY109" i="1" l="1"/>
  <c r="CV89" i="1"/>
  <c r="CU90" i="1"/>
  <c r="CU91" i="1" s="1"/>
  <c r="CW89" i="1" l="1"/>
  <c r="CV90" i="1"/>
  <c r="CV91" i="1" s="1"/>
  <c r="D14" i="5" l="1"/>
  <c r="E14" i="5"/>
  <c r="F14" i="5"/>
  <c r="G14" i="5"/>
  <c r="H14" i="5"/>
  <c r="I14" i="5"/>
  <c r="CX89" i="1"/>
  <c r="CW90" i="1"/>
  <c r="CW91" i="1" s="1"/>
  <c r="CY89" i="1" l="1"/>
  <c r="CX90" i="1"/>
  <c r="CX91" i="1" s="1"/>
  <c r="CY90" i="1" l="1"/>
  <c r="CY91" i="1" s="1"/>
  <c r="D32" i="5"/>
  <c r="E32" i="5"/>
  <c r="F32" i="5"/>
  <c r="G32" i="5"/>
  <c r="H32" i="5"/>
  <c r="I32" i="5"/>
  <c r="G144" i="1" l="1"/>
  <c r="I144" i="1"/>
  <c r="J144" i="1"/>
  <c r="K144" i="1"/>
  <c r="L144" i="1"/>
  <c r="M144" i="1"/>
  <c r="N144" i="1"/>
  <c r="P144" i="1"/>
  <c r="Q144" i="1"/>
  <c r="R144" i="1"/>
  <c r="E138" i="1"/>
  <c r="E140" i="1" l="1"/>
  <c r="E144" i="1" l="1"/>
  <c r="E146" i="1" s="1"/>
  <c r="F144" i="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E26" i="6" l="1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I52" i="1" l="1"/>
  <c r="I53" i="1"/>
  <c r="C27" i="6"/>
  <c r="C28" i="6" s="1"/>
  <c r="D19" i="6" l="1"/>
  <c r="D30" i="6" l="1"/>
  <c r="D31" i="6" s="1"/>
  <c r="E19" i="6"/>
  <c r="E21" i="6" s="1"/>
  <c r="E23" i="6" s="1"/>
  <c r="E30" i="6"/>
  <c r="D21" i="6"/>
  <c r="D23" i="6" s="1"/>
  <c r="E31" i="6" l="1"/>
  <c r="F19" i="6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30" i="6"/>
  <c r="G31" i="6" s="1"/>
  <c r="F21" i="6"/>
  <c r="F23" i="6" s="1"/>
  <c r="H19" i="6" l="1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H24" i="6"/>
  <c r="H27" i="6"/>
  <c r="H28" i="6" s="1"/>
  <c r="I30" i="6"/>
  <c r="I31" i="6" s="1"/>
  <c r="J19" i="6" l="1"/>
  <c r="J21" i="6" s="1"/>
  <c r="J23" i="6" s="1"/>
  <c r="I24" i="6"/>
  <c r="I27" i="6"/>
  <c r="I28" i="6" s="1"/>
  <c r="J30" i="6"/>
  <c r="J31" i="6" s="1"/>
  <c r="K19" i="6" l="1"/>
  <c r="K21" i="6" s="1"/>
  <c r="K23" i="6" s="1"/>
  <c r="J27" i="6"/>
  <c r="J28" i="6" s="1"/>
  <c r="J24" i="6"/>
  <c r="E130" i="1"/>
  <c r="E131" i="1" s="1"/>
  <c r="E133" i="1" s="1"/>
  <c r="K30" i="6"/>
  <c r="K31" i="6" s="1"/>
  <c r="K27" i="6" l="1"/>
  <c r="K28" i="6" s="1"/>
  <c r="K24" i="6"/>
  <c r="L19" i="6"/>
  <c r="L21" i="6" s="1"/>
  <c r="L23" i="6" s="1"/>
  <c r="E148" i="1"/>
  <c r="E149" i="1" s="1"/>
  <c r="L30" i="6" s="1"/>
  <c r="L31" i="6" s="1"/>
  <c r="M19" i="6" l="1"/>
  <c r="M21" i="6" s="1"/>
  <c r="L27" i="6"/>
  <c r="L28" i="6" s="1"/>
  <c r="L24" i="6"/>
  <c r="F148" i="1"/>
  <c r="E150" i="1"/>
  <c r="E23" i="25" l="1"/>
  <c r="E24" i="25" s="1"/>
  <c r="F23" i="25" l="1"/>
  <c r="F24" i="25" s="1"/>
  <c r="G23" i="25" l="1"/>
  <c r="G24" i="25" s="1"/>
  <c r="F12" i="1" l="1"/>
  <c r="M12" i="6"/>
  <c r="F35" i="1" l="1"/>
  <c r="F39" i="1"/>
  <c r="F109" i="1"/>
  <c r="J51" i="1"/>
  <c r="M14" i="6"/>
  <c r="M16" i="6" s="1"/>
  <c r="F61" i="1"/>
  <c r="F84" i="1" s="1"/>
  <c r="F40" i="1" l="1"/>
  <c r="F92" i="1"/>
  <c r="F137" i="1" s="1"/>
  <c r="F41" i="1"/>
  <c r="F47" i="1"/>
  <c r="F138" i="1"/>
  <c r="M23" i="6"/>
  <c r="M17" i="6"/>
  <c r="F43" i="1" l="1"/>
  <c r="F45" i="1" s="1"/>
  <c r="F46" i="1"/>
  <c r="F130" i="1"/>
  <c r="F131" i="1" s="1"/>
  <c r="M24" i="6"/>
  <c r="M27" i="6"/>
  <c r="M28" i="6" s="1"/>
  <c r="F140" i="1"/>
  <c r="F146" i="1" s="1"/>
  <c r="F149" i="1" l="1"/>
  <c r="M30" i="6" s="1"/>
  <c r="M31" i="6" s="1"/>
  <c r="F150" i="1" l="1"/>
  <c r="G148" i="1"/>
  <c r="F115" i="1"/>
  <c r="F116" i="1" s="1"/>
  <c r="F133" i="1" s="1"/>
  <c r="N12" i="6" l="1"/>
  <c r="G12" i="1"/>
  <c r="G35" i="1" l="1"/>
  <c r="G39" i="1"/>
  <c r="J52" i="1"/>
  <c r="G61" i="1"/>
  <c r="P12" i="6"/>
  <c r="P14" i="6" s="1"/>
  <c r="P16" i="6" s="1"/>
  <c r="N14" i="6"/>
  <c r="N16" i="6" s="1"/>
  <c r="G40" i="1" l="1"/>
  <c r="J50" i="1"/>
  <c r="J54" i="1" s="1"/>
  <c r="G47" i="1"/>
  <c r="G84" i="1"/>
  <c r="P17" i="6"/>
  <c r="N17" i="6"/>
  <c r="G92" i="1" l="1"/>
  <c r="G137" i="1" s="1"/>
  <c r="G41" i="1"/>
  <c r="J55" i="1"/>
  <c r="G130" i="1" l="1"/>
  <c r="G131" i="1" s="1"/>
  <c r="G43" i="1"/>
  <c r="G45" i="1" s="1"/>
  <c r="H43" i="1"/>
  <c r="H45" i="1" s="1"/>
  <c r="G46" i="1"/>
  <c r="G109" i="1" l="1"/>
  <c r="G108" i="1"/>
  <c r="G115" i="1" s="1"/>
  <c r="G116" i="1" s="1"/>
  <c r="G133" i="1" s="1"/>
  <c r="G138" i="1" l="1"/>
  <c r="G140" i="1" s="1"/>
  <c r="G146" i="1" s="1"/>
  <c r="G149" i="1" l="1"/>
  <c r="N30" i="6" s="1"/>
  <c r="N31" i="6" s="1"/>
  <c r="H148" i="1" l="1"/>
  <c r="G150" i="1"/>
  <c r="H131" i="1" l="1"/>
  <c r="H109" i="1" l="1"/>
  <c r="H108" i="1"/>
  <c r="H115" i="1" l="1"/>
  <c r="H116" i="1" s="1"/>
  <c r="H133" i="1" s="1"/>
  <c r="H138" i="1"/>
  <c r="H140" i="1" s="1"/>
  <c r="I138" i="1"/>
  <c r="H146" i="1" l="1"/>
  <c r="I109" i="1"/>
  <c r="I61" i="1"/>
  <c r="I84" i="1" s="1"/>
  <c r="I35" i="1"/>
  <c r="I41" i="1" l="1"/>
  <c r="I43" i="1" s="1"/>
  <c r="I45" i="1" s="1"/>
  <c r="I85" i="1"/>
  <c r="I92" i="1"/>
  <c r="J130" i="1" s="1"/>
  <c r="J131" i="1" s="1"/>
  <c r="J133" i="1" s="1"/>
  <c r="H149" i="1"/>
  <c r="I46" i="1" l="1"/>
  <c r="J43" i="1"/>
  <c r="J45" i="1" s="1"/>
  <c r="K43" i="1"/>
  <c r="K45" i="1" s="1"/>
  <c r="K130" i="1"/>
  <c r="K131" i="1" s="1"/>
  <c r="K133" i="1" s="1"/>
  <c r="I137" i="1"/>
  <c r="I140" i="1" s="1"/>
  <c r="I146" i="1" s="1"/>
  <c r="I130" i="1"/>
  <c r="I131" i="1" s="1"/>
  <c r="I133" i="1" s="1"/>
  <c r="H150" i="1"/>
  <c r="I148" i="1"/>
  <c r="J138" i="1"/>
  <c r="I149" i="1" l="1"/>
  <c r="J137" i="1"/>
  <c r="J140" i="1" s="1"/>
  <c r="J146" i="1" s="1"/>
  <c r="I150" i="1" l="1"/>
  <c r="J148" i="1"/>
  <c r="J149" i="1" s="1"/>
  <c r="L130" i="1"/>
  <c r="L131" i="1" s="1"/>
  <c r="L133" i="1" s="1"/>
  <c r="M130" i="1"/>
  <c r="M131" i="1" s="1"/>
  <c r="M133" i="1" s="1"/>
  <c r="O130" i="1" l="1"/>
  <c r="O131" i="1" s="1"/>
  <c r="O133" i="1" s="1"/>
  <c r="Q130" i="1"/>
  <c r="Q131" i="1" s="1"/>
  <c r="Q133" i="1" s="1"/>
  <c r="N130" i="1"/>
  <c r="N131" i="1" s="1"/>
  <c r="N133" i="1" s="1"/>
  <c r="J150" i="1"/>
  <c r="K148" i="1"/>
  <c r="P130" i="1" l="1"/>
  <c r="P131" i="1" s="1"/>
  <c r="P133" i="1" s="1"/>
  <c r="D26" i="5" l="1"/>
  <c r="E26" i="5"/>
  <c r="F26" i="5"/>
  <c r="G26" i="5"/>
  <c r="H26" i="5"/>
  <c r="I26" i="5"/>
  <c r="K138" i="1"/>
  <c r="K35" i="1"/>
  <c r="K140" i="1" l="1"/>
  <c r="K146" i="1" s="1"/>
  <c r="K149" i="1" l="1"/>
  <c r="L137" i="1" l="1"/>
  <c r="K150" i="1"/>
  <c r="L148" i="1"/>
  <c r="L138" i="1"/>
  <c r="N137" i="1" l="1"/>
  <c r="N138" i="1"/>
  <c r="L140" i="1"/>
  <c r="L146" i="1" s="1"/>
  <c r="L149" i="1" l="1"/>
  <c r="N140" i="1"/>
  <c r="N146" i="1" s="1"/>
  <c r="M137" i="1"/>
  <c r="M138" i="1"/>
  <c r="M148" i="1" l="1"/>
  <c r="M140" i="1"/>
  <c r="M146" i="1" s="1"/>
  <c r="L150" i="1"/>
  <c r="M149" i="1" l="1"/>
  <c r="M150" i="1" l="1"/>
  <c r="N148" i="1"/>
  <c r="N149" i="1" s="1"/>
  <c r="O148" i="1" s="1"/>
  <c r="O149" i="1" s="1"/>
  <c r="O150" i="1" s="1"/>
  <c r="N150" i="1" l="1"/>
  <c r="P138" i="1" l="1"/>
  <c r="P41" i="1" l="1"/>
  <c r="Q43" i="1" s="1"/>
  <c r="Q45" i="1" s="1"/>
  <c r="P137" i="1"/>
  <c r="P140" i="1" s="1"/>
  <c r="P146" i="1" s="1"/>
  <c r="P43" i="1" l="1"/>
  <c r="P45" i="1" s="1"/>
  <c r="P46" i="1"/>
  <c r="P148" i="1"/>
  <c r="P149" i="1" s="1"/>
  <c r="P150" i="1" s="1"/>
  <c r="Q148" i="1" l="1"/>
  <c r="I50" i="1" l="1"/>
  <c r="I55" i="1" s="1"/>
  <c r="I54" i="1" l="1"/>
  <c r="Q138" i="1" l="1"/>
  <c r="Q137" i="1" l="1"/>
  <c r="Q140" i="1" s="1"/>
  <c r="Q146" i="1" s="1"/>
  <c r="Q149" i="1" l="1"/>
  <c r="Q150" i="1" l="1"/>
  <c r="R148" i="1"/>
  <c r="E50" i="1" l="1"/>
  <c r="E54" i="1" s="1"/>
  <c r="F50" i="1"/>
  <c r="F54" i="1" s="1"/>
  <c r="E55" i="1" l="1"/>
  <c r="F55" i="1"/>
  <c r="R108" i="1" l="1"/>
  <c r="S138" i="1" s="1"/>
  <c r="S140" i="1" s="1"/>
  <c r="S146" i="1" s="1"/>
  <c r="R138" i="1" l="1"/>
  <c r="R12" i="1"/>
  <c r="R109" i="1" s="1"/>
  <c r="R35" i="1" l="1"/>
  <c r="R61" i="1"/>
  <c r="R39" i="1"/>
  <c r="R40" i="1" s="1"/>
  <c r="R84" i="1" l="1"/>
  <c r="R85" i="1" s="1"/>
  <c r="R92" i="1" l="1"/>
  <c r="R129" i="1" s="1"/>
  <c r="S129" i="1" s="1"/>
  <c r="R41" i="1"/>
  <c r="R46" i="1" s="1"/>
  <c r="T130" i="1"/>
  <c r="T131" i="1" s="1"/>
  <c r="R137" i="1" l="1"/>
  <c r="R140" i="1" s="1"/>
  <c r="R146" i="1" s="1"/>
  <c r="R149" i="1" s="1"/>
  <c r="S148" i="1" s="1"/>
  <c r="S149" i="1" s="1"/>
  <c r="R43" i="1"/>
  <c r="R45" i="1" s="1"/>
  <c r="S130" i="1"/>
  <c r="S131" i="1" s="1"/>
  <c r="R130" i="1"/>
  <c r="R131" i="1" s="1"/>
  <c r="T148" i="1" l="1"/>
  <c r="T149" i="1" s="1"/>
  <c r="U148" i="1" s="1"/>
  <c r="U149" i="1" s="1"/>
  <c r="V148" i="1" s="1"/>
  <c r="U115" i="1"/>
  <c r="U116" i="1" s="1"/>
  <c r="U133" i="1" s="1"/>
  <c r="T115" i="1"/>
  <c r="T116" i="1" s="1"/>
  <c r="T133" i="1" s="1"/>
  <c r="S115" i="1"/>
  <c r="S116" i="1" s="1"/>
  <c r="S133" i="1" s="1"/>
  <c r="S150" i="1"/>
  <c r="R115" i="1"/>
  <c r="R116" i="1" s="1"/>
  <c r="R133" i="1" s="1"/>
  <c r="R150" i="1"/>
  <c r="T150" i="1" l="1"/>
  <c r="U150" i="1"/>
  <c r="K51" i="1" l="1"/>
  <c r="K50" i="1" l="1"/>
  <c r="D12" i="25" l="1"/>
  <c r="D14" i="25" l="1"/>
  <c r="D19" i="25" l="1"/>
  <c r="D20" i="25" s="1"/>
  <c r="S41" i="1" l="1"/>
  <c r="N19" i="6"/>
  <c r="N21" i="6" s="1"/>
  <c r="N23" i="6" s="1"/>
  <c r="T43" i="1" l="1"/>
  <c r="T45" i="1" s="1"/>
  <c r="U43" i="1"/>
  <c r="S43" i="1"/>
  <c r="S45" i="1" s="1"/>
  <c r="S46" i="1"/>
  <c r="N24" i="6"/>
  <c r="N27" i="6"/>
  <c r="N28" i="6" s="1"/>
  <c r="P19" i="6"/>
  <c r="P21" i="6" s="1"/>
  <c r="P23" i="6" s="1"/>
  <c r="P27" i="6" l="1"/>
  <c r="P28" i="6" s="1"/>
  <c r="P24" i="6"/>
  <c r="K52" i="1" l="1"/>
  <c r="K55" i="1" s="1"/>
  <c r="K53" i="1" l="1"/>
  <c r="K54" i="1" s="1"/>
  <c r="L51" i="1" l="1"/>
  <c r="L52" i="1" l="1"/>
  <c r="L53" i="1" l="1"/>
  <c r="L50" i="1" l="1"/>
  <c r="L55" i="1" s="1"/>
  <c r="L54" i="1" l="1"/>
  <c r="M51" i="1" l="1"/>
  <c r="M52" i="1" l="1"/>
  <c r="M53" i="1" l="1"/>
  <c r="M50" i="1" l="1"/>
  <c r="M55" i="1" s="1"/>
  <c r="M54" i="1" l="1"/>
  <c r="N51" i="1" l="1"/>
  <c r="N52" i="1" l="1"/>
  <c r="N53" i="1" l="1"/>
  <c r="N50" i="1" l="1"/>
  <c r="N55" i="1" s="1"/>
  <c r="N54" i="1" l="1"/>
  <c r="P51" i="1" l="1"/>
  <c r="Q51" i="1"/>
  <c r="O51" i="1" l="1"/>
  <c r="Q52" i="1" l="1"/>
  <c r="O52" i="1"/>
  <c r="P52" i="1"/>
  <c r="O53" i="1" l="1"/>
  <c r="O50" i="1" s="1"/>
  <c r="O55" i="1" s="1"/>
  <c r="Q53" i="1"/>
  <c r="Q50" i="1" s="1"/>
  <c r="Q55" i="1" s="1"/>
  <c r="P53" i="1"/>
  <c r="Q54" i="1" l="1"/>
  <c r="P50" i="1"/>
  <c r="P55" i="1" s="1"/>
  <c r="O54" i="1"/>
  <c r="P54" i="1" l="1"/>
  <c r="R51" i="1" l="1"/>
  <c r="S51" i="1"/>
  <c r="T51" i="1" l="1"/>
  <c r="T53" i="1" l="1"/>
  <c r="S52" i="1"/>
  <c r="R52" i="1"/>
  <c r="S53" i="1" l="1"/>
  <c r="S50" i="1" s="1"/>
  <c r="S55" i="1" s="1"/>
  <c r="R53" i="1"/>
  <c r="R50" i="1" s="1"/>
  <c r="R55" i="1" s="1"/>
  <c r="S54" i="1" l="1"/>
  <c r="R54" i="1"/>
  <c r="T52" i="1" l="1"/>
  <c r="T50" i="1" l="1"/>
  <c r="T54" i="1" s="1"/>
  <c r="T55" i="1" l="1"/>
  <c r="U45" i="1" l="1"/>
  <c r="C22" i="20"/>
  <c r="D23" i="25"/>
  <c r="D24" i="25" s="1"/>
  <c r="C23" i="20" l="1"/>
  <c r="D26" i="25"/>
  <c r="D27" i="25" s="1"/>
  <c r="D35" i="25" l="1"/>
  <c r="D30" i="25"/>
  <c r="D31" i="25" s="1"/>
  <c r="F4" i="26" l="1"/>
  <c r="F6" i="26"/>
  <c r="F5" i="26"/>
  <c r="F18" i="27"/>
  <c r="F26" i="26"/>
  <c r="G21" i="26" l="1"/>
  <c r="G26" i="26" s="1"/>
  <c r="K23" i="26"/>
  <c r="G18" i="27"/>
  <c r="H21" i="26" l="1"/>
  <c r="I22" i="26"/>
  <c r="H22" i="26"/>
  <c r="E15" i="25" l="1"/>
  <c r="C15" i="20" s="1"/>
  <c r="F15" i="25" l="1"/>
  <c r="G15" i="25" l="1"/>
  <c r="H18" i="27"/>
  <c r="H26" i="26" l="1"/>
  <c r="V12" i="1" s="1"/>
  <c r="V39" i="1" l="1"/>
  <c r="V42" i="1" s="1"/>
  <c r="V61" i="1"/>
  <c r="V84" i="1" s="1"/>
  <c r="V41" i="1" s="1"/>
  <c r="AE32" i="1"/>
  <c r="V35" i="1"/>
  <c r="V109" i="1"/>
  <c r="C12" i="20"/>
  <c r="E12" i="25"/>
  <c r="E16" i="25" l="1"/>
  <c r="C16" i="20" s="1"/>
  <c r="V46" i="1"/>
  <c r="AF32" i="1"/>
  <c r="AE47" i="1"/>
  <c r="V85" i="1"/>
  <c r="V92" i="1"/>
  <c r="V129" i="1" s="1"/>
  <c r="V40" i="1"/>
  <c r="V43" i="1" s="1"/>
  <c r="E14" i="25"/>
  <c r="C14" i="20"/>
  <c r="C18" i="20" s="1"/>
  <c r="AG32" i="1" l="1"/>
  <c r="AF47" i="1"/>
  <c r="V45" i="1"/>
  <c r="V130" i="1"/>
  <c r="V131" i="1" s="1"/>
  <c r="V133" i="1" s="1"/>
  <c r="V137" i="1"/>
  <c r="V140" i="1" s="1"/>
  <c r="V146" i="1" s="1"/>
  <c r="V149" i="1" s="1"/>
  <c r="E19" i="25"/>
  <c r="E20" i="25" s="1"/>
  <c r="C25" i="20"/>
  <c r="C19" i="20"/>
  <c r="AH32" i="1" l="1"/>
  <c r="AG47" i="1"/>
  <c r="W148" i="1"/>
  <c r="V150" i="1"/>
  <c r="E26" i="25"/>
  <c r="E27" i="25" s="1"/>
  <c r="C29" i="20"/>
  <c r="C30" i="20" s="1"/>
  <c r="C26" i="20"/>
  <c r="AI32" i="1" l="1"/>
  <c r="AH47" i="1"/>
  <c r="E30" i="25"/>
  <c r="E31" i="25" s="1"/>
  <c r="C33" i="20"/>
  <c r="E35" i="25"/>
  <c r="AJ32" i="1" l="1"/>
  <c r="AI47" i="1"/>
  <c r="E33" i="25"/>
  <c r="E40" i="25" s="1"/>
  <c r="C32" i="20"/>
  <c r="L18" i="27"/>
  <c r="L21" i="27" s="1"/>
  <c r="P18" i="27"/>
  <c r="AG18" i="27"/>
  <c r="BE18" i="27"/>
  <c r="K18" i="27"/>
  <c r="K21" i="27" s="1"/>
  <c r="AD18" i="27"/>
  <c r="Y18" i="27"/>
  <c r="Y21" i="27" s="1"/>
  <c r="AB18" i="27"/>
  <c r="I18" i="27"/>
  <c r="AV18" i="27"/>
  <c r="AV21" i="27" s="1"/>
  <c r="AC18" i="27"/>
  <c r="AJ18" i="27"/>
  <c r="AJ21" i="27" s="1"/>
  <c r="J18" i="27"/>
  <c r="U18" i="27"/>
  <c r="S18" i="27"/>
  <c r="CI18" i="27"/>
  <c r="AN18" i="27"/>
  <c r="AL18" i="27"/>
  <c r="O18" i="27"/>
  <c r="BN18" i="27"/>
  <c r="AW18" i="27"/>
  <c r="AW21" i="27" s="1"/>
  <c r="W18" i="27"/>
  <c r="W21" i="27" s="1"/>
  <c r="AF18" i="27"/>
  <c r="BM18" i="27"/>
  <c r="Q18" i="27"/>
  <c r="N18" i="27"/>
  <c r="AQ18" i="27"/>
  <c r="BY18" i="27"/>
  <c r="BZ18" i="27"/>
  <c r="T18" i="27"/>
  <c r="BK18" i="27"/>
  <c r="CK18" i="27"/>
  <c r="CJ18" i="27"/>
  <c r="M18" i="27"/>
  <c r="V18" i="27"/>
  <c r="V21" i="27" s="1"/>
  <c r="AO18" i="27"/>
  <c r="AH18" i="27"/>
  <c r="AH21" i="27" s="1"/>
  <c r="CF18" i="27"/>
  <c r="CF21" i="27" s="1"/>
  <c r="BC18" i="27"/>
  <c r="BQ18" i="27"/>
  <c r="BU18" i="27"/>
  <c r="BU21" i="27" s="1"/>
  <c r="CB18" i="27"/>
  <c r="CE18" i="27"/>
  <c r="CE21" i="27" s="1"/>
  <c r="BF18" i="27"/>
  <c r="BF21" i="27" s="1"/>
  <c r="BI18" i="27"/>
  <c r="BI21" i="27" s="1"/>
  <c r="BD18" i="27"/>
  <c r="BG18" i="27"/>
  <c r="BG21" i="27" s="1"/>
  <c r="AA18" i="27"/>
  <c r="BR18" i="27"/>
  <c r="BR21" i="27" s="1"/>
  <c r="BW18" i="27"/>
  <c r="AM18" i="27"/>
  <c r="R18" i="27"/>
  <c r="X18" i="27"/>
  <c r="X21" i="27" s="1"/>
  <c r="AZ18" i="27"/>
  <c r="AY18" i="27"/>
  <c r="AE18" i="27"/>
  <c r="CA18" i="27"/>
  <c r="AK18" i="27"/>
  <c r="AK21" i="27" s="1"/>
  <c r="Z18" i="27"/>
  <c r="BB18" i="27"/>
  <c r="AX18" i="27"/>
  <c r="BJ18" i="27"/>
  <c r="AT18" i="27"/>
  <c r="AT21" i="27" s="1"/>
  <c r="AI18" i="27"/>
  <c r="AI21" i="27" s="1"/>
  <c r="AS18" i="27"/>
  <c r="BL18" i="27"/>
  <c r="BH18" i="27"/>
  <c r="BH21" i="27" s="1"/>
  <c r="BV18" i="27"/>
  <c r="BA18" i="27"/>
  <c r="CG18" i="27"/>
  <c r="CG21" i="27" s="1"/>
  <c r="BS18" i="27"/>
  <c r="BS21" i="27" s="1"/>
  <c r="CH18" i="27"/>
  <c r="CD18" i="27"/>
  <c r="CD21" i="27" s="1"/>
  <c r="CC18" i="27"/>
  <c r="AR18" i="27"/>
  <c r="BP18" i="27"/>
  <c r="BT18" i="27"/>
  <c r="BT21" i="27" s="1"/>
  <c r="AP18" i="27"/>
  <c r="BO18" i="27"/>
  <c r="BX18" i="27"/>
  <c r="AU18" i="27"/>
  <c r="AU21" i="27" s="1"/>
  <c r="AK32" i="1" l="1"/>
  <c r="AJ47" i="1"/>
  <c r="BJ22" i="27"/>
  <c r="BJ28" i="27" s="1"/>
  <c r="BJ25" i="27"/>
  <c r="BJ24" i="27"/>
  <c r="BJ30" i="27" s="1"/>
  <c r="BJ23" i="27"/>
  <c r="BJ29" i="27" s="1"/>
  <c r="S24" i="27"/>
  <c r="S30" i="27" s="1"/>
  <c r="S22" i="27"/>
  <c r="S28" i="27" s="1"/>
  <c r="S23" i="27"/>
  <c r="S29" i="27" s="1"/>
  <c r="S25" i="27"/>
  <c r="Y22" i="27"/>
  <c r="Y28" i="27" s="1"/>
  <c r="Y25" i="27"/>
  <c r="Y23" i="27"/>
  <c r="Y29" i="27" s="1"/>
  <c r="Y24" i="27"/>
  <c r="Y30" i="27" s="1"/>
  <c r="BR25" i="27"/>
  <c r="BR24" i="27"/>
  <c r="BR30" i="27" s="1"/>
  <c r="BR22" i="27"/>
  <c r="BR28" i="27" s="1"/>
  <c r="BR23" i="27"/>
  <c r="BR29" i="27" s="1"/>
  <c r="BZ22" i="27"/>
  <c r="BZ28" i="27" s="1"/>
  <c r="BZ23" i="27"/>
  <c r="BZ29" i="27" s="1"/>
  <c r="BZ24" i="27"/>
  <c r="BZ30" i="27" s="1"/>
  <c r="BZ25" i="27"/>
  <c r="AR25" i="27"/>
  <c r="AR24" i="27"/>
  <c r="AR30" i="27" s="1"/>
  <c r="AR23" i="27"/>
  <c r="AR29" i="27" s="1"/>
  <c r="AR22" i="27"/>
  <c r="AR28" i="27" s="1"/>
  <c r="BQ22" i="27"/>
  <c r="BQ28" i="27" s="1"/>
  <c r="BQ23" i="27"/>
  <c r="BQ29" i="27" s="1"/>
  <c r="BQ24" i="27"/>
  <c r="BQ30" i="27" s="1"/>
  <c r="BQ25" i="27"/>
  <c r="BV25" i="27"/>
  <c r="BV22" i="27"/>
  <c r="BV28" i="27" s="1"/>
  <c r="BV24" i="27"/>
  <c r="BV30" i="27" s="1"/>
  <c r="BV23" i="27"/>
  <c r="BV29" i="27" s="1"/>
  <c r="BY25" i="27"/>
  <c r="BY23" i="27"/>
  <c r="BY29" i="27" s="1"/>
  <c r="BY22" i="27"/>
  <c r="BY28" i="27" s="1"/>
  <c r="BY24" i="27"/>
  <c r="BY30" i="27" s="1"/>
  <c r="AQ24" i="27"/>
  <c r="AQ30" i="27" s="1"/>
  <c r="AQ25" i="27"/>
  <c r="AQ22" i="27"/>
  <c r="AQ28" i="27" s="1"/>
  <c r="AQ23" i="27"/>
  <c r="AQ29" i="27" s="1"/>
  <c r="BN23" i="27"/>
  <c r="BN29" i="27" s="1"/>
  <c r="BN22" i="27"/>
  <c r="BN28" i="27" s="1"/>
  <c r="BN25" i="27"/>
  <c r="BN24" i="27"/>
  <c r="BN30" i="27" s="1"/>
  <c r="AJ23" i="27"/>
  <c r="AJ29" i="27" s="1"/>
  <c r="AJ22" i="27"/>
  <c r="AJ28" i="27" s="1"/>
  <c r="AJ24" i="27"/>
  <c r="AJ30" i="27" s="1"/>
  <c r="AJ25" i="27"/>
  <c r="T25" i="27"/>
  <c r="T24" i="27"/>
  <c r="T30" i="27" s="1"/>
  <c r="T22" i="27"/>
  <c r="T28" i="27" s="1"/>
  <c r="T23" i="27"/>
  <c r="T29" i="27" s="1"/>
  <c r="AE23" i="27"/>
  <c r="AE29" i="27" s="1"/>
  <c r="AE25" i="27"/>
  <c r="AE24" i="27"/>
  <c r="AE30" i="27" s="1"/>
  <c r="AE22" i="27"/>
  <c r="AE28" i="27" s="1"/>
  <c r="W24" i="27"/>
  <c r="W30" i="27" s="1"/>
  <c r="W23" i="27"/>
  <c r="W29" i="27" s="1"/>
  <c r="W25" i="27"/>
  <c r="W22" i="27"/>
  <c r="W28" i="27" s="1"/>
  <c r="AY24" i="27"/>
  <c r="AY30" i="27" s="1"/>
  <c r="AY25" i="27"/>
  <c r="AY22" i="27"/>
  <c r="AY28" i="27" s="1"/>
  <c r="AY23" i="27"/>
  <c r="AY29" i="27" s="1"/>
  <c r="BI23" i="27"/>
  <c r="BI29" i="27" s="1"/>
  <c r="BI22" i="27"/>
  <c r="BI28" i="27" s="1"/>
  <c r="BI24" i="27"/>
  <c r="BI30" i="27" s="1"/>
  <c r="BI25" i="27"/>
  <c r="N22" i="27"/>
  <c r="N28" i="27" s="1"/>
  <c r="N23" i="27"/>
  <c r="N29" i="27" s="1"/>
  <c r="N24" i="27"/>
  <c r="N30" i="27" s="1"/>
  <c r="O24" i="27"/>
  <c r="O30" i="27" s="1"/>
  <c r="O23" i="27"/>
  <c r="O29" i="27" s="1"/>
  <c r="O22" i="27"/>
  <c r="O28" i="27" s="1"/>
  <c r="AC22" i="27"/>
  <c r="AC28" i="27" s="1"/>
  <c r="AC23" i="27"/>
  <c r="AC29" i="27" s="1"/>
  <c r="AC25" i="27"/>
  <c r="AC24" i="27"/>
  <c r="AC30" i="27" s="1"/>
  <c r="BE23" i="27"/>
  <c r="BE29" i="27" s="1"/>
  <c r="BE22" i="27"/>
  <c r="BE28" i="27" s="1"/>
  <c r="BE24" i="27"/>
  <c r="BE30" i="27" s="1"/>
  <c r="BE25" i="27"/>
  <c r="V24" i="27"/>
  <c r="V30" i="27" s="1"/>
  <c r="V23" i="27"/>
  <c r="V29" i="27" s="1"/>
  <c r="V22" i="27"/>
  <c r="V28" i="27" s="1"/>
  <c r="V25" i="27"/>
  <c r="AX23" i="27"/>
  <c r="AX29" i="27" s="1"/>
  <c r="AX24" i="27"/>
  <c r="AX30" i="27" s="1"/>
  <c r="AX25" i="27"/>
  <c r="AX22" i="27"/>
  <c r="AX28" i="27" s="1"/>
  <c r="U25" i="27"/>
  <c r="U24" i="27"/>
  <c r="U30" i="27" s="1"/>
  <c r="U22" i="27"/>
  <c r="U28" i="27" s="1"/>
  <c r="U23" i="27"/>
  <c r="U29" i="27" s="1"/>
  <c r="BB23" i="27"/>
  <c r="BB29" i="27" s="1"/>
  <c r="BB24" i="27"/>
  <c r="BB30" i="27" s="1"/>
  <c r="BB25" i="27"/>
  <c r="BB22" i="27"/>
  <c r="BB28" i="27" s="1"/>
  <c r="CJ24" i="27"/>
  <c r="CJ30" i="27" s="1"/>
  <c r="CJ25" i="27"/>
  <c r="CJ23" i="27"/>
  <c r="CJ29" i="27" s="1"/>
  <c r="CJ22" i="27"/>
  <c r="CJ28" i="27" s="1"/>
  <c r="CD24" i="27"/>
  <c r="CD30" i="27" s="1"/>
  <c r="CD25" i="27"/>
  <c r="CD22" i="27"/>
  <c r="CD28" i="27" s="1"/>
  <c r="CD23" i="27"/>
  <c r="CD29" i="27" s="1"/>
  <c r="AZ23" i="27"/>
  <c r="AZ29" i="27" s="1"/>
  <c r="AZ25" i="27"/>
  <c r="AZ22" i="27"/>
  <c r="AZ28" i="27" s="1"/>
  <c r="AZ24" i="27"/>
  <c r="AZ30" i="27" s="1"/>
  <c r="BD25" i="27"/>
  <c r="BD23" i="27"/>
  <c r="BD29" i="27" s="1"/>
  <c r="BD24" i="27"/>
  <c r="BD30" i="27" s="1"/>
  <c r="BD22" i="27"/>
  <c r="BD28" i="27" s="1"/>
  <c r="CH25" i="27"/>
  <c r="CH24" i="27"/>
  <c r="CH30" i="27" s="1"/>
  <c r="CH23" i="27"/>
  <c r="CH29" i="27" s="1"/>
  <c r="CH22" i="27"/>
  <c r="CH28" i="27" s="1"/>
  <c r="BL24" i="27"/>
  <c r="BL30" i="27" s="1"/>
  <c r="BL22" i="27"/>
  <c r="BL28" i="27" s="1"/>
  <c r="BL23" i="27"/>
  <c r="BL29" i="27" s="1"/>
  <c r="BL25" i="27"/>
  <c r="AK22" i="27"/>
  <c r="AK28" i="27" s="1"/>
  <c r="AK24" i="27"/>
  <c r="AK30" i="27" s="1"/>
  <c r="AK25" i="27"/>
  <c r="AK23" i="27"/>
  <c r="AK29" i="27" s="1"/>
  <c r="X23" i="27"/>
  <c r="X29" i="27" s="1"/>
  <c r="X22" i="27"/>
  <c r="X28" i="27" s="1"/>
  <c r="X24" i="27"/>
  <c r="X30" i="27" s="1"/>
  <c r="X25" i="27"/>
  <c r="BO23" i="27"/>
  <c r="BO29" i="27" s="1"/>
  <c r="BO22" i="27"/>
  <c r="BO28" i="27" s="1"/>
  <c r="BO25" i="27"/>
  <c r="BO24" i="27"/>
  <c r="BO30" i="27" s="1"/>
  <c r="BS25" i="27"/>
  <c r="BS24" i="27"/>
  <c r="BS30" i="27" s="1"/>
  <c r="BS23" i="27"/>
  <c r="BS29" i="27" s="1"/>
  <c r="BS22" i="27"/>
  <c r="BS28" i="27" s="1"/>
  <c r="AS23" i="27"/>
  <c r="AS29" i="27" s="1"/>
  <c r="AS25" i="27"/>
  <c r="AS22" i="27"/>
  <c r="AS28" i="27" s="1"/>
  <c r="AS24" i="27"/>
  <c r="AS30" i="27" s="1"/>
  <c r="R23" i="27"/>
  <c r="R29" i="27" s="1"/>
  <c r="R24" i="27"/>
  <c r="R30" i="27" s="1"/>
  <c r="R25" i="27"/>
  <c r="R22" i="27"/>
  <c r="R28" i="27" s="1"/>
  <c r="Q22" i="27"/>
  <c r="Q28" i="27" s="1"/>
  <c r="Q23" i="27"/>
  <c r="Q29" i="27" s="1"/>
  <c r="Q24" i="27"/>
  <c r="Q30" i="27" s="1"/>
  <c r="Q25" i="27"/>
  <c r="AL25" i="27"/>
  <c r="AL23" i="27"/>
  <c r="AL29" i="27" s="1"/>
  <c r="AL24" i="27"/>
  <c r="AL30" i="27" s="1"/>
  <c r="AL22" i="27"/>
  <c r="AL28" i="27" s="1"/>
  <c r="AV24" i="27"/>
  <c r="AV30" i="27" s="1"/>
  <c r="AV25" i="27"/>
  <c r="AV22" i="27"/>
  <c r="AV28" i="27" s="1"/>
  <c r="AV23" i="27"/>
  <c r="AV29" i="27" s="1"/>
  <c r="AG24" i="27"/>
  <c r="AG30" i="27" s="1"/>
  <c r="AG22" i="27"/>
  <c r="AG28" i="27" s="1"/>
  <c r="AG25" i="27"/>
  <c r="AG23" i="27"/>
  <c r="AG29" i="27" s="1"/>
  <c r="BP22" i="27"/>
  <c r="BP28" i="27" s="1"/>
  <c r="BP25" i="27"/>
  <c r="BP23" i="27"/>
  <c r="BP29" i="27" s="1"/>
  <c r="BP24" i="27"/>
  <c r="BP30" i="27" s="1"/>
  <c r="AA22" i="27"/>
  <c r="AA28" i="27" s="1"/>
  <c r="AA23" i="27"/>
  <c r="AA29" i="27" s="1"/>
  <c r="AA25" i="27"/>
  <c r="AA24" i="27"/>
  <c r="AA30" i="27" s="1"/>
  <c r="AD22" i="27"/>
  <c r="AD28" i="27" s="1"/>
  <c r="AD25" i="27"/>
  <c r="AD24" i="27"/>
  <c r="AD30" i="27" s="1"/>
  <c r="AD23" i="27"/>
  <c r="AD29" i="27" s="1"/>
  <c r="BG24" i="27"/>
  <c r="BG30" i="27" s="1"/>
  <c r="BG23" i="27"/>
  <c r="BG29" i="27" s="1"/>
  <c r="BG25" i="27"/>
  <c r="BG22" i="27"/>
  <c r="BG28" i="27" s="1"/>
  <c r="K24" i="27"/>
  <c r="K30" i="27" s="1"/>
  <c r="K23" i="27"/>
  <c r="K29" i="27" s="1"/>
  <c r="K22" i="27"/>
  <c r="K28" i="27" s="1"/>
  <c r="BH23" i="27"/>
  <c r="BH29" i="27" s="1"/>
  <c r="BH25" i="27"/>
  <c r="BH22" i="27"/>
  <c r="BH28" i="27" s="1"/>
  <c r="BH24" i="27"/>
  <c r="BH30" i="27" s="1"/>
  <c r="BX23" i="27"/>
  <c r="BX29" i="27" s="1"/>
  <c r="BX24" i="27"/>
  <c r="BX30" i="27" s="1"/>
  <c r="BX25" i="27"/>
  <c r="BX22" i="27"/>
  <c r="BX28" i="27" s="1"/>
  <c r="BF24" i="27"/>
  <c r="BF30" i="27" s="1"/>
  <c r="BF22" i="27"/>
  <c r="BF28" i="27" s="1"/>
  <c r="BF23" i="27"/>
  <c r="BF29" i="27" s="1"/>
  <c r="BF25" i="27"/>
  <c r="AH25" i="27"/>
  <c r="AH22" i="27"/>
  <c r="AH28" i="27" s="1"/>
  <c r="AH24" i="27"/>
  <c r="AH30" i="27" s="1"/>
  <c r="AH23" i="27"/>
  <c r="AH29" i="27" s="1"/>
  <c r="AP23" i="27"/>
  <c r="AP29" i="27" s="1"/>
  <c r="AP22" i="27"/>
  <c r="AP28" i="27" s="1"/>
  <c r="AP24" i="27"/>
  <c r="AP30" i="27" s="1"/>
  <c r="AP25" i="27"/>
  <c r="AI24" i="27"/>
  <c r="AI30" i="27" s="1"/>
  <c r="AI22" i="27"/>
  <c r="AI28" i="27" s="1"/>
  <c r="AI25" i="27"/>
  <c r="AI23" i="27"/>
  <c r="AI29" i="27" s="1"/>
  <c r="CA22" i="27"/>
  <c r="CA28" i="27" s="1"/>
  <c r="CA23" i="27"/>
  <c r="CA29" i="27" s="1"/>
  <c r="CA24" i="27"/>
  <c r="CA30" i="27" s="1"/>
  <c r="CA25" i="27"/>
  <c r="AM25" i="27"/>
  <c r="AM23" i="27"/>
  <c r="AM29" i="27" s="1"/>
  <c r="AM22" i="27"/>
  <c r="AM28" i="27" s="1"/>
  <c r="AM24" i="27"/>
  <c r="AM30" i="27" s="1"/>
  <c r="CE25" i="27"/>
  <c r="CE22" i="27"/>
  <c r="CE28" i="27" s="1"/>
  <c r="CE24" i="27"/>
  <c r="CE30" i="27" s="1"/>
  <c r="CE23" i="27"/>
  <c r="CE29" i="27" s="1"/>
  <c r="AO25" i="27"/>
  <c r="AO24" i="27"/>
  <c r="AO30" i="27" s="1"/>
  <c r="AO23" i="27"/>
  <c r="AO29" i="27" s="1"/>
  <c r="AO22" i="27"/>
  <c r="AO28" i="27" s="1"/>
  <c r="CK24" i="27"/>
  <c r="CK30" i="27" s="1"/>
  <c r="CK25" i="27"/>
  <c r="CK22" i="27"/>
  <c r="CK28" i="27" s="1"/>
  <c r="CK23" i="27"/>
  <c r="CK29" i="27" s="1"/>
  <c r="BM23" i="27"/>
  <c r="BM29" i="27" s="1"/>
  <c r="BM25" i="27"/>
  <c r="BM22" i="27"/>
  <c r="BM28" i="27" s="1"/>
  <c r="BM24" i="27"/>
  <c r="BM30" i="27" s="1"/>
  <c r="AN25" i="27"/>
  <c r="AN22" i="27"/>
  <c r="AN28" i="27" s="1"/>
  <c r="AN23" i="27"/>
  <c r="AN29" i="27" s="1"/>
  <c r="AN24" i="27"/>
  <c r="AN30" i="27" s="1"/>
  <c r="CG24" i="27"/>
  <c r="CG30" i="27" s="1"/>
  <c r="CG25" i="27"/>
  <c r="CG22" i="27"/>
  <c r="CG28" i="27" s="1"/>
  <c r="CG23" i="27"/>
  <c r="CG29" i="27" s="1"/>
  <c r="BU25" i="27"/>
  <c r="BU22" i="27"/>
  <c r="BU28" i="27" s="1"/>
  <c r="BU23" i="27"/>
  <c r="BU29" i="27" s="1"/>
  <c r="BU24" i="27"/>
  <c r="BU30" i="27" s="1"/>
  <c r="BA22" i="27"/>
  <c r="BA28" i="27" s="1"/>
  <c r="BA24" i="27"/>
  <c r="BA30" i="27" s="1"/>
  <c r="BA23" i="27"/>
  <c r="BA29" i="27" s="1"/>
  <c r="BA25" i="27"/>
  <c r="M24" i="27"/>
  <c r="M30" i="27" s="1"/>
  <c r="M23" i="27"/>
  <c r="M29" i="27" s="1"/>
  <c r="M22" i="27"/>
  <c r="M28" i="27" s="1"/>
  <c r="CC25" i="27"/>
  <c r="CC22" i="27"/>
  <c r="CC28" i="27" s="1"/>
  <c r="CC24" i="27"/>
  <c r="CC30" i="27" s="1"/>
  <c r="CC23" i="27"/>
  <c r="CC29" i="27" s="1"/>
  <c r="BC22" i="27"/>
  <c r="BC28" i="27" s="1"/>
  <c r="BC25" i="27"/>
  <c r="BC23" i="27"/>
  <c r="BC29" i="27" s="1"/>
  <c r="BC24" i="27"/>
  <c r="BC30" i="27" s="1"/>
  <c r="AW22" i="27"/>
  <c r="AW28" i="27" s="1"/>
  <c r="AW25" i="27"/>
  <c r="AW23" i="27"/>
  <c r="AW29" i="27" s="1"/>
  <c r="AW24" i="27"/>
  <c r="AW30" i="27" s="1"/>
  <c r="AU25" i="27"/>
  <c r="AU24" i="27"/>
  <c r="AU30" i="27" s="1"/>
  <c r="AU23" i="27"/>
  <c r="AU29" i="27" s="1"/>
  <c r="AU22" i="27"/>
  <c r="AU28" i="27" s="1"/>
  <c r="Z22" i="27"/>
  <c r="Z28" i="27" s="1"/>
  <c r="Z25" i="27"/>
  <c r="Z24" i="27"/>
  <c r="Z30" i="27" s="1"/>
  <c r="Z23" i="27"/>
  <c r="Z29" i="27" s="1"/>
  <c r="CF22" i="27"/>
  <c r="CF28" i="27" s="1"/>
  <c r="CF23" i="27"/>
  <c r="CF29" i="27" s="1"/>
  <c r="CF24" i="27"/>
  <c r="CF30" i="27" s="1"/>
  <c r="CF25" i="27"/>
  <c r="BT25" i="27"/>
  <c r="BT23" i="27"/>
  <c r="BT29" i="27" s="1"/>
  <c r="BT22" i="27"/>
  <c r="BT28" i="27" s="1"/>
  <c r="BT24" i="27"/>
  <c r="BT30" i="27" s="1"/>
  <c r="AT23" i="27"/>
  <c r="AT29" i="27" s="1"/>
  <c r="AT24" i="27"/>
  <c r="AT30" i="27" s="1"/>
  <c r="AT25" i="27"/>
  <c r="AT22" i="27"/>
  <c r="AT28" i="27" s="1"/>
  <c r="BW24" i="27"/>
  <c r="BW30" i="27" s="1"/>
  <c r="BW23" i="27"/>
  <c r="BW29" i="27" s="1"/>
  <c r="BW25" i="27"/>
  <c r="BW22" i="27"/>
  <c r="BW28" i="27" s="1"/>
  <c r="CB23" i="27"/>
  <c r="CB29" i="27" s="1"/>
  <c r="CB25" i="27"/>
  <c r="CB22" i="27"/>
  <c r="CB28" i="27" s="1"/>
  <c r="CB24" i="27"/>
  <c r="CB30" i="27" s="1"/>
  <c r="BK22" i="27"/>
  <c r="BK28" i="27" s="1"/>
  <c r="BK23" i="27"/>
  <c r="BK29" i="27" s="1"/>
  <c r="BK25" i="27"/>
  <c r="BK24" i="27"/>
  <c r="BK30" i="27" s="1"/>
  <c r="AF24" i="27"/>
  <c r="AF30" i="27" s="1"/>
  <c r="AF22" i="27"/>
  <c r="AF28" i="27" s="1"/>
  <c r="AF25" i="27"/>
  <c r="AF23" i="27"/>
  <c r="AF29" i="27" s="1"/>
  <c r="CI23" i="27"/>
  <c r="CI29" i="27" s="1"/>
  <c r="CI25" i="27"/>
  <c r="CI22" i="27"/>
  <c r="CI28" i="27" s="1"/>
  <c r="CI24" i="27"/>
  <c r="CI30" i="27" s="1"/>
  <c r="AB23" i="27"/>
  <c r="AB29" i="27" s="1"/>
  <c r="AB25" i="27"/>
  <c r="AB24" i="27"/>
  <c r="AB30" i="27" s="1"/>
  <c r="AB22" i="27"/>
  <c r="AB28" i="27" s="1"/>
  <c r="L24" i="27"/>
  <c r="L30" i="27" s="1"/>
  <c r="L23" i="27"/>
  <c r="L29" i="27" s="1"/>
  <c r="L22" i="27"/>
  <c r="L28" i="27" s="1"/>
  <c r="J29" i="27"/>
  <c r="J30" i="27"/>
  <c r="J28" i="27"/>
  <c r="J31" i="27"/>
  <c r="P25" i="27"/>
  <c r="P24" i="27"/>
  <c r="P30" i="27" s="1"/>
  <c r="P23" i="27"/>
  <c r="P29" i="27" s="1"/>
  <c r="P22" i="27"/>
  <c r="P28" i="27" s="1"/>
  <c r="J26" i="26"/>
  <c r="X12" i="1" s="1"/>
  <c r="X39" i="1" l="1"/>
  <c r="X61" i="1"/>
  <c r="X109" i="1"/>
  <c r="X42" i="1"/>
  <c r="G16" i="25" s="1"/>
  <c r="X35" i="1"/>
  <c r="X84" i="1"/>
  <c r="X41" i="1" s="1"/>
  <c r="AL32" i="1"/>
  <c r="AK47" i="1"/>
  <c r="BW31" i="27"/>
  <c r="BW34" i="27"/>
  <c r="BW33" i="27"/>
  <c r="AI31" i="27"/>
  <c r="AI34" i="27"/>
  <c r="AI33" i="27"/>
  <c r="BX31" i="27"/>
  <c r="BX34" i="27"/>
  <c r="BX33" i="27"/>
  <c r="AK31" i="27"/>
  <c r="AK34" i="27"/>
  <c r="AK33" i="27"/>
  <c r="CI31" i="27"/>
  <c r="CI34" i="27"/>
  <c r="CI33" i="27"/>
  <c r="Z31" i="27"/>
  <c r="Z33" i="27"/>
  <c r="Z34" i="27"/>
  <c r="AW31" i="27"/>
  <c r="AW33" i="27"/>
  <c r="AW34" i="27"/>
  <c r="CG31" i="27"/>
  <c r="CG34" i="27"/>
  <c r="CG33" i="27"/>
  <c r="AD31" i="27"/>
  <c r="AD33" i="27"/>
  <c r="AD34" i="27"/>
  <c r="BP31" i="27"/>
  <c r="BP34" i="27"/>
  <c r="BP33" i="27"/>
  <c r="AS31" i="27"/>
  <c r="AS34" i="27"/>
  <c r="AS33" i="27"/>
  <c r="AZ31" i="27"/>
  <c r="AZ34" i="27"/>
  <c r="AZ33" i="27"/>
  <c r="CJ31" i="27"/>
  <c r="CJ34" i="27"/>
  <c r="CJ33" i="27"/>
  <c r="AE31" i="27"/>
  <c r="AE33" i="27"/>
  <c r="AE34" i="27"/>
  <c r="AQ31" i="27"/>
  <c r="AQ34" i="27"/>
  <c r="AQ33" i="27"/>
  <c r="P34" i="27"/>
  <c r="AD22" i="1" s="1"/>
  <c r="P33" i="27"/>
  <c r="AD21" i="1" s="1"/>
  <c r="L31" i="27"/>
  <c r="L8" i="26"/>
  <c r="L7" i="26"/>
  <c r="BT31" i="27"/>
  <c r="BT33" i="27"/>
  <c r="BT34" i="27"/>
  <c r="CC31" i="27"/>
  <c r="CC33" i="27"/>
  <c r="CC34" i="27"/>
  <c r="AO31" i="27"/>
  <c r="AO33" i="27"/>
  <c r="AO34" i="27"/>
  <c r="AM31" i="27"/>
  <c r="AM33" i="27"/>
  <c r="AM34" i="27"/>
  <c r="AH31" i="27"/>
  <c r="AH33" i="27"/>
  <c r="AH34" i="27"/>
  <c r="CH31" i="27"/>
  <c r="CH34" i="27"/>
  <c r="CH33" i="27"/>
  <c r="U31" i="27"/>
  <c r="U34" i="27"/>
  <c r="U33" i="27"/>
  <c r="N31" i="27"/>
  <c r="AB21" i="1"/>
  <c r="AB22" i="1"/>
  <c r="BV31" i="27"/>
  <c r="BV33" i="27"/>
  <c r="BV34" i="27"/>
  <c r="AR31" i="27"/>
  <c r="AR34" i="27"/>
  <c r="AR33" i="27"/>
  <c r="BR31" i="27"/>
  <c r="BR34" i="27"/>
  <c r="BR33" i="27"/>
  <c r="V31" i="27"/>
  <c r="V34" i="27"/>
  <c r="V33" i="27"/>
  <c r="AJ31" i="27"/>
  <c r="AJ34" i="27"/>
  <c r="AJ33" i="27"/>
  <c r="BO31" i="27"/>
  <c r="BO34" i="27"/>
  <c r="BO33" i="27"/>
  <c r="K31" i="27"/>
  <c r="AV31" i="27"/>
  <c r="AV34" i="27"/>
  <c r="AV33" i="27"/>
  <c r="AY31" i="27"/>
  <c r="AY34" i="27"/>
  <c r="AY33" i="27"/>
  <c r="CF31" i="27"/>
  <c r="CF34" i="27"/>
  <c r="CF33" i="27"/>
  <c r="CA31" i="27"/>
  <c r="CA34" i="27"/>
  <c r="CA33" i="27"/>
  <c r="AP31" i="27"/>
  <c r="AP33" i="27"/>
  <c r="AP34" i="27"/>
  <c r="BF31" i="27"/>
  <c r="BF33" i="27"/>
  <c r="BF34" i="27"/>
  <c r="X31" i="27"/>
  <c r="X33" i="27"/>
  <c r="X34" i="27"/>
  <c r="BL31" i="27"/>
  <c r="BL34" i="27"/>
  <c r="BL33" i="27"/>
  <c r="BE31" i="27"/>
  <c r="BE33" i="27"/>
  <c r="BE34" i="27"/>
  <c r="AC21" i="1"/>
  <c r="AC22" i="1"/>
  <c r="BI31" i="27"/>
  <c r="BI33" i="27"/>
  <c r="BI34" i="27"/>
  <c r="BQ31" i="27"/>
  <c r="BQ34" i="27"/>
  <c r="BQ33" i="27"/>
  <c r="BZ31" i="27"/>
  <c r="BZ33" i="27"/>
  <c r="BZ34" i="27"/>
  <c r="BA31" i="27"/>
  <c r="BA34" i="27"/>
  <c r="BA33" i="27"/>
  <c r="Q31" i="27"/>
  <c r="Q33" i="27"/>
  <c r="Q34" i="27"/>
  <c r="AF31" i="27"/>
  <c r="AF34" i="27"/>
  <c r="AF33" i="27"/>
  <c r="AT31" i="27"/>
  <c r="AT33" i="27"/>
  <c r="AT34" i="27"/>
  <c r="BG31" i="27"/>
  <c r="BG34" i="27"/>
  <c r="BG33" i="27"/>
  <c r="AA31" i="27"/>
  <c r="AA34" i="27"/>
  <c r="AA33" i="27"/>
  <c r="AG31" i="27"/>
  <c r="AG33" i="27"/>
  <c r="AG34" i="27"/>
  <c r="R31" i="27"/>
  <c r="R33" i="27"/>
  <c r="R34" i="27"/>
  <c r="BB31" i="27"/>
  <c r="BB34" i="27"/>
  <c r="BB33" i="27"/>
  <c r="AX31" i="27"/>
  <c r="AX33" i="27"/>
  <c r="AX34" i="27"/>
  <c r="W31" i="27"/>
  <c r="W34" i="27"/>
  <c r="W33" i="27"/>
  <c r="BN31" i="27"/>
  <c r="BN33" i="27"/>
  <c r="BN34" i="27"/>
  <c r="S31" i="27"/>
  <c r="S34" i="27"/>
  <c r="S33" i="27"/>
  <c r="BK31" i="27"/>
  <c r="BK34" i="27"/>
  <c r="BK33" i="27"/>
  <c r="AC31" i="27"/>
  <c r="AC33" i="27"/>
  <c r="AC34" i="27"/>
  <c r="AB31" i="27"/>
  <c r="AB34" i="27"/>
  <c r="AB33" i="27"/>
  <c r="CB31" i="27"/>
  <c r="CB34" i="27"/>
  <c r="CB33" i="27"/>
  <c r="BC31" i="27"/>
  <c r="BC34" i="27"/>
  <c r="BC33" i="27"/>
  <c r="M31" i="27"/>
  <c r="M34" i="27"/>
  <c r="M33" i="27"/>
  <c r="CK31" i="27"/>
  <c r="CK33" i="27"/>
  <c r="CK34" i="27"/>
  <c r="BH31" i="27"/>
  <c r="BH34" i="27"/>
  <c r="BH33" i="27"/>
  <c r="CD31" i="27"/>
  <c r="CD33" i="27"/>
  <c r="CD34" i="27"/>
  <c r="Y31" i="27"/>
  <c r="Y33" i="27"/>
  <c r="Y34" i="27"/>
  <c r="BJ31" i="27"/>
  <c r="BJ33" i="27"/>
  <c r="BJ34" i="27"/>
  <c r="BM31" i="27"/>
  <c r="BM33" i="27"/>
  <c r="BM34" i="27"/>
  <c r="AU31" i="27"/>
  <c r="AU34" i="27"/>
  <c r="AU33" i="27"/>
  <c r="BU31" i="27"/>
  <c r="BU33" i="27"/>
  <c r="BU34" i="27"/>
  <c r="AN31" i="27"/>
  <c r="AN33" i="27"/>
  <c r="AN34" i="27"/>
  <c r="CE31" i="27"/>
  <c r="CE34" i="27"/>
  <c r="CE33" i="27"/>
  <c r="AL31" i="27"/>
  <c r="AL34" i="27"/>
  <c r="AL33" i="27"/>
  <c r="BS31" i="27"/>
  <c r="BS33" i="27"/>
  <c r="BS34" i="27"/>
  <c r="BD31" i="27"/>
  <c r="BD33" i="27"/>
  <c r="BD34" i="27"/>
  <c r="T31" i="27"/>
  <c r="T34" i="27"/>
  <c r="T33" i="27"/>
  <c r="BY31" i="27"/>
  <c r="BY34" i="27"/>
  <c r="BY33" i="27"/>
  <c r="O31" i="27"/>
  <c r="P31" i="27"/>
  <c r="G12" i="25"/>
  <c r="G14" i="25" s="1"/>
  <c r="I26" i="26"/>
  <c r="W12" i="1" s="1"/>
  <c r="P31" i="31" l="1"/>
  <c r="O8" i="26"/>
  <c r="P30" i="31"/>
  <c r="O7" i="26"/>
  <c r="AA21" i="1"/>
  <c r="AA22" i="1"/>
  <c r="W39" i="1"/>
  <c r="W61" i="1"/>
  <c r="W84" i="1" s="1"/>
  <c r="W41" i="1" s="1"/>
  <c r="X85" i="1"/>
  <c r="X92" i="1"/>
  <c r="X40" i="1"/>
  <c r="X46" i="1"/>
  <c r="AM32" i="1"/>
  <c r="AL47" i="1"/>
  <c r="K8" i="26"/>
  <c r="M7" i="26"/>
  <c r="M35" i="27"/>
  <c r="K7" i="26"/>
  <c r="K35" i="27"/>
  <c r="M8" i="26"/>
  <c r="N8" i="26"/>
  <c r="L35" i="27"/>
  <c r="N7" i="26"/>
  <c r="N35" i="27"/>
  <c r="W35" i="1"/>
  <c r="W109" i="1"/>
  <c r="O35" i="27"/>
  <c r="X138" i="1"/>
  <c r="G19" i="25"/>
  <c r="G20" i="25" s="1"/>
  <c r="F12" i="25"/>
  <c r="AD30" i="31" l="1"/>
  <c r="AE30" i="31"/>
  <c r="AE31" i="31"/>
  <c r="AD31" i="31"/>
  <c r="L26" i="26"/>
  <c r="K22" i="26"/>
  <c r="K26" i="26" s="1"/>
  <c r="W42" i="1"/>
  <c r="F16" i="25" s="1"/>
  <c r="W46" i="1"/>
  <c r="AN32" i="1"/>
  <c r="AM47" i="1"/>
  <c r="W92" i="1"/>
  <c r="W85" i="1"/>
  <c r="W40" i="1"/>
  <c r="P7" i="26"/>
  <c r="X137" i="1"/>
  <c r="X140" i="1" s="1"/>
  <c r="X146" i="1" s="1"/>
  <c r="G26" i="25"/>
  <c r="G27" i="25" s="1"/>
  <c r="F14" i="25"/>
  <c r="X43" i="1" l="1"/>
  <c r="X45" i="1" s="1"/>
  <c r="H4" i="32"/>
  <c r="H4" i="24"/>
  <c r="AO32" i="1"/>
  <c r="AN47" i="1"/>
  <c r="H15" i="25"/>
  <c r="D15" i="20" s="1"/>
  <c r="E15" i="20" s="1"/>
  <c r="H12" i="25"/>
  <c r="H14" i="25" s="1"/>
  <c r="G30" i="25"/>
  <c r="G31" i="25" s="1"/>
  <c r="W43" i="1"/>
  <c r="W45" i="1" s="1"/>
  <c r="W137" i="1"/>
  <c r="W140" i="1" s="1"/>
  <c r="W146" i="1" s="1"/>
  <c r="W149" i="1" s="1"/>
  <c r="W129" i="1"/>
  <c r="X129" i="1" s="1"/>
  <c r="X130" i="1" s="1"/>
  <c r="X131" i="1" s="1"/>
  <c r="X133" i="1" s="1"/>
  <c r="P35" i="27"/>
  <c r="P8" i="26"/>
  <c r="Q7" i="26"/>
  <c r="AE21" i="1"/>
  <c r="F19" i="25"/>
  <c r="F26" i="25" s="1"/>
  <c r="F27" i="25" s="1"/>
  <c r="I12" i="25" l="1"/>
  <c r="I14" i="25" s="1"/>
  <c r="I19" i="25" s="1"/>
  <c r="I20" i="25" s="1"/>
  <c r="Y138" i="1"/>
  <c r="AP32" i="1"/>
  <c r="AO47" i="1"/>
  <c r="H19" i="25"/>
  <c r="E12" i="20"/>
  <c r="D14" i="20"/>
  <c r="W130" i="1"/>
  <c r="W131" i="1" s="1"/>
  <c r="W133" i="1" s="1"/>
  <c r="W150" i="1"/>
  <c r="X148" i="1"/>
  <c r="X149" i="1" s="1"/>
  <c r="R7" i="26"/>
  <c r="AF21" i="1"/>
  <c r="AE22" i="1"/>
  <c r="Q35" i="27"/>
  <c r="Q8" i="26"/>
  <c r="F20" i="25"/>
  <c r="F30" i="25"/>
  <c r="F31" i="25" s="1"/>
  <c r="G35" i="25"/>
  <c r="Z138" i="1" l="1"/>
  <c r="Y80" i="1"/>
  <c r="Y44" i="1" s="1"/>
  <c r="AQ32" i="1"/>
  <c r="AP47" i="1"/>
  <c r="H20" i="25"/>
  <c r="D18" i="20"/>
  <c r="E14" i="20"/>
  <c r="S7" i="26"/>
  <c r="AG21" i="1"/>
  <c r="AF22" i="1"/>
  <c r="R8" i="26"/>
  <c r="S35" i="27"/>
  <c r="R35" i="27"/>
  <c r="X150" i="1"/>
  <c r="F33" i="25"/>
  <c r="F35" i="25"/>
  <c r="Y83" i="1" l="1"/>
  <c r="Y84" i="1" s="1"/>
  <c r="Y41" i="1" s="1"/>
  <c r="H16" i="25"/>
  <c r="D16" i="20" s="1"/>
  <c r="E16" i="20" s="1"/>
  <c r="Y82" i="1"/>
  <c r="Y87" i="1"/>
  <c r="I15" i="25"/>
  <c r="I4" i="32"/>
  <c r="AR32" i="1"/>
  <c r="AQ47" i="1"/>
  <c r="E18" i="20"/>
  <c r="D19" i="20"/>
  <c r="AI21" i="1"/>
  <c r="U7" i="26"/>
  <c r="AG22" i="1"/>
  <c r="S8" i="26"/>
  <c r="AH21" i="1"/>
  <c r="T7" i="26"/>
  <c r="F40" i="25"/>
  <c r="G33" i="25"/>
  <c r="G40" i="25" s="1"/>
  <c r="Y43" i="1" l="1"/>
  <c r="Y45" i="1" s="1"/>
  <c r="M26" i="26"/>
  <c r="Y46" i="1"/>
  <c r="I16" i="25"/>
  <c r="Y92" i="1"/>
  <c r="Y129" i="1" s="1"/>
  <c r="Y130" i="1" s="1"/>
  <c r="Y131" i="1" s="1"/>
  <c r="Y85" i="1"/>
  <c r="H36" i="25"/>
  <c r="I4" i="24"/>
  <c r="AS32" i="1"/>
  <c r="AR47" i="1"/>
  <c r="E19" i="20"/>
  <c r="AJ21" i="1"/>
  <c r="V7" i="26"/>
  <c r="T35" i="27"/>
  <c r="T8" i="26"/>
  <c r="AH22" i="1"/>
  <c r="W7" i="26"/>
  <c r="Y148" i="1"/>
  <c r="Y137" i="1" l="1"/>
  <c r="Y140" i="1" s="1"/>
  <c r="H37" i="25"/>
  <c r="Y143" i="1"/>
  <c r="Y144" i="1" s="1"/>
  <c r="J12" i="25"/>
  <c r="J14" i="25" s="1"/>
  <c r="J19" i="25" s="1"/>
  <c r="J20" i="25" s="1"/>
  <c r="AT32" i="1"/>
  <c r="AS47" i="1"/>
  <c r="AK21" i="1"/>
  <c r="AL21" i="1"/>
  <c r="X7" i="26"/>
  <c r="AM21" i="1"/>
  <c r="AI22" i="1"/>
  <c r="U8" i="26"/>
  <c r="U35" i="27"/>
  <c r="AA138" i="1" l="1"/>
  <c r="Y146" i="1"/>
  <c r="H33" i="25" s="1"/>
  <c r="H40" i="25" s="1"/>
  <c r="N26" i="26"/>
  <c r="J15" i="25"/>
  <c r="J4" i="32"/>
  <c r="AU32" i="1"/>
  <c r="AT47" i="1"/>
  <c r="Y7" i="26"/>
  <c r="AK22" i="1"/>
  <c r="W8" i="26"/>
  <c r="W35" i="27"/>
  <c r="Y8" i="26"/>
  <c r="AN21" i="1"/>
  <c r="Z7" i="26"/>
  <c r="V8" i="26"/>
  <c r="V35" i="27"/>
  <c r="AJ22" i="1"/>
  <c r="Z143" i="1" l="1"/>
  <c r="Z144" i="1" s="1"/>
  <c r="Y149" i="1"/>
  <c r="Z148" i="1" s="1"/>
  <c r="H34" i="25"/>
  <c r="F12" i="20"/>
  <c r="K12" i="25"/>
  <c r="J4" i="24"/>
  <c r="AV32" i="1"/>
  <c r="AU47" i="1"/>
  <c r="AM22" i="1"/>
  <c r="Y35" i="27"/>
  <c r="X8" i="26"/>
  <c r="AL22" i="1"/>
  <c r="X35" i="27"/>
  <c r="AA35" i="27"/>
  <c r="AO21" i="1"/>
  <c r="AA7" i="26"/>
  <c r="Z35" i="27"/>
  <c r="Z8" i="26"/>
  <c r="AN22" i="1"/>
  <c r="P19" i="31" l="1"/>
  <c r="P20" i="31"/>
  <c r="AB138" i="1"/>
  <c r="J16" i="25"/>
  <c r="I37" i="25"/>
  <c r="Y150" i="1"/>
  <c r="Y133" i="1"/>
  <c r="H41" i="25"/>
  <c r="K14" i="25"/>
  <c r="K19" i="25" s="1"/>
  <c r="F14" i="20"/>
  <c r="G14" i="20" s="1"/>
  <c r="G12" i="20"/>
  <c r="AW32" i="1"/>
  <c r="AV47" i="1"/>
  <c r="AO22" i="1"/>
  <c r="AA8" i="26"/>
  <c r="AP21" i="1"/>
  <c r="AB7" i="26"/>
  <c r="P18" i="31" l="1"/>
  <c r="AE18" i="31" s="1"/>
  <c r="AD27" i="1"/>
  <c r="AD26" i="1"/>
  <c r="AE20" i="31"/>
  <c r="AD20" i="31"/>
  <c r="AE19" i="31"/>
  <c r="AD19" i="31"/>
  <c r="I33" i="25"/>
  <c r="I34" i="25"/>
  <c r="F18" i="20"/>
  <c r="K20" i="25"/>
  <c r="AX32" i="1"/>
  <c r="AW47" i="1"/>
  <c r="AP22" i="1"/>
  <c r="AB8" i="26"/>
  <c r="AQ21" i="1"/>
  <c r="AC7" i="26"/>
  <c r="AR21" i="1"/>
  <c r="AD7" i="26"/>
  <c r="AB35" i="27"/>
  <c r="AD18" i="31" l="1"/>
  <c r="AD29" i="1"/>
  <c r="AD17" i="1"/>
  <c r="AD15" i="1" s="1"/>
  <c r="AD28" i="1"/>
  <c r="AD16" i="1"/>
  <c r="P23" i="31"/>
  <c r="P17" i="31"/>
  <c r="F19" i="20"/>
  <c r="G19" i="20" s="1"/>
  <c r="G18" i="20"/>
  <c r="I41" i="25"/>
  <c r="AY32" i="1"/>
  <c r="AX47" i="1"/>
  <c r="AD35" i="27"/>
  <c r="AD8" i="26"/>
  <c r="AR22" i="1"/>
  <c r="AE7" i="26"/>
  <c r="AS21" i="1"/>
  <c r="AC8" i="26"/>
  <c r="AQ22" i="1"/>
  <c r="AC35" i="27"/>
  <c r="AD14" i="1" l="1"/>
  <c r="AD33" i="1" s="1"/>
  <c r="AE17" i="31"/>
  <c r="AD17" i="31"/>
  <c r="AE23" i="31"/>
  <c r="AD23" i="31"/>
  <c r="P16" i="31"/>
  <c r="L12" i="25"/>
  <c r="AZ32" i="1"/>
  <c r="AY47" i="1"/>
  <c r="AF35" i="27"/>
  <c r="AT22" i="1"/>
  <c r="AF8" i="26"/>
  <c r="AU22" i="1"/>
  <c r="AV21" i="1"/>
  <c r="AH7" i="26"/>
  <c r="AE8" i="26"/>
  <c r="AS22" i="1"/>
  <c r="AE35" i="27"/>
  <c r="AG7" i="26"/>
  <c r="AU21" i="1"/>
  <c r="AF7" i="26"/>
  <c r="AT21" i="1"/>
  <c r="AG8" i="26"/>
  <c r="AD16" i="31" l="1"/>
  <c r="AE16" i="31"/>
  <c r="P24" i="31"/>
  <c r="AC138" i="1"/>
  <c r="P25" i="26"/>
  <c r="L14" i="25"/>
  <c r="L19" i="25" s="1"/>
  <c r="BA32" i="1"/>
  <c r="AZ47" i="1"/>
  <c r="AH8" i="26"/>
  <c r="AG35" i="27"/>
  <c r="AW21" i="1"/>
  <c r="AI7" i="26"/>
  <c r="AX21" i="1"/>
  <c r="AJ7" i="26"/>
  <c r="AH35" i="27"/>
  <c r="AV22" i="1"/>
  <c r="AD24" i="31" l="1"/>
  <c r="AE24" i="31"/>
  <c r="L4" i="24"/>
  <c r="L15" i="25"/>
  <c r="L20" i="25"/>
  <c r="P24" i="26"/>
  <c r="BB32" i="1"/>
  <c r="BA47" i="1"/>
  <c r="BA21" i="1"/>
  <c r="AM7" i="26"/>
  <c r="AL7" i="26"/>
  <c r="AZ21" i="1"/>
  <c r="AY21" i="1"/>
  <c r="AK7" i="26"/>
  <c r="AI35" i="27"/>
  <c r="AI8" i="26"/>
  <c r="AW22" i="1"/>
  <c r="L16" i="25" l="1"/>
  <c r="P21" i="31"/>
  <c r="L4" i="32"/>
  <c r="P26" i="26"/>
  <c r="AD10" i="1" s="1"/>
  <c r="AD12" i="1" s="1"/>
  <c r="AD107" i="1" s="1"/>
  <c r="AD108" i="1" s="1"/>
  <c r="BC32" i="1"/>
  <c r="BB47" i="1"/>
  <c r="BB21" i="1"/>
  <c r="AN7" i="26"/>
  <c r="AK8" i="26"/>
  <c r="AY22" i="1"/>
  <c r="AK35" i="27"/>
  <c r="AJ35" i="27"/>
  <c r="AJ8" i="26"/>
  <c r="AX22" i="1"/>
  <c r="AD35" i="1" l="1"/>
  <c r="AD39" i="1"/>
  <c r="P43" i="31"/>
  <c r="AD21" i="31"/>
  <c r="AE21" i="31"/>
  <c r="AE27" i="1"/>
  <c r="AE26" i="1"/>
  <c r="Q24" i="26" s="1"/>
  <c r="M12" i="25"/>
  <c r="BD32" i="1"/>
  <c r="BC47" i="1"/>
  <c r="AO7" i="26"/>
  <c r="BC21" i="1"/>
  <c r="AZ22" i="1"/>
  <c r="AL8" i="26"/>
  <c r="AL35" i="27"/>
  <c r="AD42" i="1" l="1"/>
  <c r="AD40" i="1"/>
  <c r="AE43" i="31"/>
  <c r="AD43" i="31"/>
  <c r="M15" i="25"/>
  <c r="M4" i="24"/>
  <c r="AE16" i="1"/>
  <c r="AD138" i="1"/>
  <c r="M14" i="25"/>
  <c r="M19" i="25" s="1"/>
  <c r="Q25" i="26"/>
  <c r="BE32" i="1"/>
  <c r="BD47" i="1"/>
  <c r="BD21" i="1"/>
  <c r="AP7" i="26"/>
  <c r="AM35" i="27"/>
  <c r="BA22" i="1"/>
  <c r="AM8" i="26"/>
  <c r="M4" i="32" l="1"/>
  <c r="AD58" i="1" s="1"/>
  <c r="AD59" i="1" s="1"/>
  <c r="AD61" i="1" s="1"/>
  <c r="M16" i="25"/>
  <c r="Q26" i="26"/>
  <c r="AE10" i="1" s="1"/>
  <c r="M20" i="25"/>
  <c r="BF32" i="1"/>
  <c r="BE47" i="1"/>
  <c r="BE21" i="1"/>
  <c r="AQ7" i="26"/>
  <c r="AN35" i="27"/>
  <c r="BB22" i="1"/>
  <c r="AN8" i="26"/>
  <c r="N12" i="25" l="1"/>
  <c r="AE12" i="1"/>
  <c r="D13" i="5"/>
  <c r="D15" i="5" s="1"/>
  <c r="H12" i="20"/>
  <c r="BG32" i="1"/>
  <c r="BF47" i="1"/>
  <c r="BF21" i="1"/>
  <c r="AR7" i="26"/>
  <c r="AP35" i="27"/>
  <c r="BD22" i="1"/>
  <c r="AP8" i="26"/>
  <c r="AO35" i="27"/>
  <c r="AO8" i="26"/>
  <c r="BC22" i="1"/>
  <c r="H14" i="20" l="1"/>
  <c r="I12" i="20"/>
  <c r="K12" i="20"/>
  <c r="K14" i="20" s="1"/>
  <c r="K18" i="20" s="1"/>
  <c r="K19" i="20" s="1"/>
  <c r="AE107" i="1"/>
  <c r="AE108" i="1" s="1"/>
  <c r="AE138" i="1" s="1"/>
  <c r="N14" i="25"/>
  <c r="N19" i="25" s="1"/>
  <c r="P12" i="25"/>
  <c r="P14" i="25" s="1"/>
  <c r="P20" i="25" s="1"/>
  <c r="BH32" i="1"/>
  <c r="BG47" i="1"/>
  <c r="AS7" i="26"/>
  <c r="BG21" i="1"/>
  <c r="BF22" i="1"/>
  <c r="AR35" i="27"/>
  <c r="AR8" i="26"/>
  <c r="AQ35" i="27"/>
  <c r="BE22" i="1"/>
  <c r="AQ8" i="26"/>
  <c r="N20" i="25" l="1"/>
  <c r="P19" i="25"/>
  <c r="I14" i="20"/>
  <c r="H18" i="20"/>
  <c r="BI32" i="1"/>
  <c r="BH47" i="1"/>
  <c r="BI21" i="1"/>
  <c r="AU7" i="26"/>
  <c r="AT7" i="26"/>
  <c r="BH21" i="1"/>
  <c r="BG22" i="1"/>
  <c r="AS8" i="26"/>
  <c r="AS35" i="27"/>
  <c r="H19" i="20" l="1"/>
  <c r="I19" i="20" s="1"/>
  <c r="I18" i="20"/>
  <c r="BJ32" i="1"/>
  <c r="BI47" i="1"/>
  <c r="BK21" i="1"/>
  <c r="AW7" i="26"/>
  <c r="AV7" i="26"/>
  <c r="BJ21" i="1"/>
  <c r="AT35" i="27"/>
  <c r="AT8" i="26"/>
  <c r="BH22" i="1"/>
  <c r="BK32" i="1" l="1"/>
  <c r="BJ47" i="1"/>
  <c r="AY7" i="26"/>
  <c r="BM21" i="1"/>
  <c r="AX7" i="26"/>
  <c r="BL21" i="1"/>
  <c r="BI22" i="1"/>
  <c r="AU35" i="27"/>
  <c r="AU8" i="26"/>
  <c r="BL32" i="1" l="1"/>
  <c r="BK47" i="1"/>
  <c r="BA7" i="26"/>
  <c r="BO21" i="1"/>
  <c r="AZ7" i="26"/>
  <c r="BN21" i="1"/>
  <c r="AW8" i="26"/>
  <c r="AW35" i="27"/>
  <c r="BK22" i="1"/>
  <c r="AV35" i="27"/>
  <c r="AV8" i="26"/>
  <c r="BJ22" i="1"/>
  <c r="BM32" i="1" l="1"/>
  <c r="BL47" i="1"/>
  <c r="BC7" i="26"/>
  <c r="BQ21" i="1"/>
  <c r="BB7" i="26"/>
  <c r="BP21" i="1"/>
  <c r="AY8" i="26"/>
  <c r="BM22" i="1"/>
  <c r="AY35" i="27"/>
  <c r="BL22" i="1"/>
  <c r="AX35" i="27"/>
  <c r="AX8" i="26"/>
  <c r="BN32" i="1" l="1"/>
  <c r="BM47" i="1"/>
  <c r="BR21" i="1"/>
  <c r="BD7" i="26"/>
  <c r="AZ35" i="27"/>
  <c r="BN22" i="1"/>
  <c r="AZ8" i="26"/>
  <c r="BO32" i="1" l="1"/>
  <c r="BN47" i="1"/>
  <c r="BS21" i="1"/>
  <c r="BE7" i="26"/>
  <c r="BB35" i="27"/>
  <c r="BP22" i="1"/>
  <c r="BB8" i="26"/>
  <c r="BO22" i="1"/>
  <c r="BA8" i="26"/>
  <c r="BA35" i="27"/>
  <c r="BP32" i="1" l="1"/>
  <c r="BO47" i="1"/>
  <c r="BT21" i="1"/>
  <c r="BF7" i="26"/>
  <c r="BE35" i="27"/>
  <c r="BS22" i="1"/>
  <c r="BE8" i="26"/>
  <c r="BC35" i="27"/>
  <c r="BQ22" i="1"/>
  <c r="BC8" i="26"/>
  <c r="BR22" i="1"/>
  <c r="BD8" i="26"/>
  <c r="BD35" i="27"/>
  <c r="BQ32" i="1" l="1"/>
  <c r="BP47" i="1"/>
  <c r="BG7" i="26"/>
  <c r="BU21" i="1"/>
  <c r="BT22" i="1"/>
  <c r="BF35" i="27"/>
  <c r="BF8" i="26"/>
  <c r="BU22" i="1"/>
  <c r="BG8" i="26"/>
  <c r="BG35" i="27"/>
  <c r="BR32" i="1" l="1"/>
  <c r="BQ47" i="1"/>
  <c r="BV21" i="1"/>
  <c r="BH7" i="26"/>
  <c r="BH8" i="26"/>
  <c r="BH35" i="27"/>
  <c r="BV22" i="1"/>
  <c r="BS32" i="1" l="1"/>
  <c r="BR47" i="1"/>
  <c r="BW21" i="1"/>
  <c r="BI7" i="26"/>
  <c r="BI35" i="27"/>
  <c r="BW22" i="1"/>
  <c r="BI8" i="26"/>
  <c r="BT32" i="1" l="1"/>
  <c r="BS47" i="1"/>
  <c r="BX21" i="1"/>
  <c r="BJ7" i="26"/>
  <c r="BY22" i="1"/>
  <c r="BK35" i="27"/>
  <c r="BK8" i="26"/>
  <c r="BX22" i="1"/>
  <c r="BJ8" i="26"/>
  <c r="BJ35" i="27"/>
  <c r="BU32" i="1" l="1"/>
  <c r="BT47" i="1"/>
  <c r="BK7" i="26"/>
  <c r="BY21" i="1"/>
  <c r="BV32" i="1" l="1"/>
  <c r="BU47" i="1"/>
  <c r="BL7" i="26"/>
  <c r="BZ21" i="1"/>
  <c r="BL35" i="27"/>
  <c r="BW32" i="1" l="1"/>
  <c r="BV47" i="1"/>
  <c r="BM35" i="27"/>
  <c r="BZ22" i="1"/>
  <c r="BL8" i="26"/>
  <c r="BM7" i="26"/>
  <c r="CA21" i="1"/>
  <c r="BX32" i="1" l="1"/>
  <c r="BW47" i="1"/>
  <c r="CB22" i="1"/>
  <c r="BN8" i="26"/>
  <c r="BO7" i="26"/>
  <c r="CC21" i="1"/>
  <c r="BN7" i="26"/>
  <c r="CB21" i="1"/>
  <c r="BN35" i="27"/>
  <c r="CA22" i="1"/>
  <c r="BM8" i="26"/>
  <c r="BY32" i="1" l="1"/>
  <c r="BX47" i="1"/>
  <c r="CD21" i="1"/>
  <c r="BP7" i="26"/>
  <c r="BO8" i="26"/>
  <c r="CC22" i="1"/>
  <c r="BP35" i="27"/>
  <c r="BO35" i="27"/>
  <c r="BZ32" i="1" l="1"/>
  <c r="BY47" i="1"/>
  <c r="BQ7" i="26"/>
  <c r="CE21" i="1"/>
  <c r="BP8" i="26"/>
  <c r="CD22" i="1"/>
  <c r="CA32" i="1" l="1"/>
  <c r="BZ47" i="1"/>
  <c r="CE22" i="1"/>
  <c r="BQ35" i="27"/>
  <c r="BQ8" i="26"/>
  <c r="BR7" i="26"/>
  <c r="CF21" i="1"/>
  <c r="CB32" i="1" l="1"/>
  <c r="CA47" i="1"/>
  <c r="BT7" i="26"/>
  <c r="CH21" i="1"/>
  <c r="CG22" i="1"/>
  <c r="BS8" i="26"/>
  <c r="CG21" i="1"/>
  <c r="BS7" i="26"/>
  <c r="BS35" i="27"/>
  <c r="CF22" i="1"/>
  <c r="BR35" i="27"/>
  <c r="BR8" i="26"/>
  <c r="CC32" i="1" l="1"/>
  <c r="CB47" i="1"/>
  <c r="BT8" i="26"/>
  <c r="CH22" i="1"/>
  <c r="BT35" i="27"/>
  <c r="BU7" i="26"/>
  <c r="CI21" i="1"/>
  <c r="CD32" i="1" l="1"/>
  <c r="CC47" i="1"/>
  <c r="BU8" i="26"/>
  <c r="CI22" i="1"/>
  <c r="BU35" i="27"/>
  <c r="BV7" i="26"/>
  <c r="CJ21" i="1"/>
  <c r="CE32" i="1" l="1"/>
  <c r="CD47" i="1"/>
  <c r="BV8" i="26"/>
  <c r="CJ22" i="1"/>
  <c r="CK22" i="1"/>
  <c r="BW8" i="26"/>
  <c r="CM21" i="1"/>
  <c r="CK21" i="1"/>
  <c r="BW7" i="26"/>
  <c r="BW35" i="27"/>
  <c r="BX7" i="26"/>
  <c r="CL21" i="1"/>
  <c r="BV35" i="27"/>
  <c r="CF32" i="1" l="1"/>
  <c r="CE47" i="1"/>
  <c r="BY7" i="26"/>
  <c r="BZ7" i="26"/>
  <c r="CB7" i="26"/>
  <c r="CN21" i="1"/>
  <c r="CL22" i="1"/>
  <c r="BX8" i="26"/>
  <c r="BX35" i="27"/>
  <c r="CA7" i="26"/>
  <c r="CO21" i="1"/>
  <c r="CG32" i="1" l="1"/>
  <c r="CF47" i="1"/>
  <c r="CP21" i="1"/>
  <c r="CN22" i="1"/>
  <c r="BZ8" i="26"/>
  <c r="BZ35" i="27"/>
  <c r="CM22" i="1"/>
  <c r="BY8" i="26"/>
  <c r="BY35" i="27"/>
  <c r="CC7" i="26"/>
  <c r="CQ21" i="1"/>
  <c r="CH32" i="1" l="1"/>
  <c r="CG47" i="1"/>
  <c r="CR21" i="1"/>
  <c r="CD7" i="26"/>
  <c r="CA8" i="26"/>
  <c r="CO22" i="1"/>
  <c r="CA35" i="27"/>
  <c r="CI32" i="1" l="1"/>
  <c r="CH47" i="1"/>
  <c r="CB8" i="26"/>
  <c r="CP22" i="1"/>
  <c r="CB35" i="27"/>
  <c r="CE7" i="26"/>
  <c r="CS21" i="1"/>
  <c r="CJ32" i="1" l="1"/>
  <c r="CI47" i="1"/>
  <c r="CD8" i="26"/>
  <c r="CR22" i="1"/>
  <c r="CD35" i="27"/>
  <c r="CT21" i="1"/>
  <c r="CF7" i="26"/>
  <c r="CC8" i="26"/>
  <c r="CC35" i="27"/>
  <c r="CQ22" i="1"/>
  <c r="CG7" i="26"/>
  <c r="CU21" i="1"/>
  <c r="CK32" i="1" l="1"/>
  <c r="CJ47" i="1"/>
  <c r="CV21" i="1"/>
  <c r="CH7" i="26"/>
  <c r="CE8" i="26"/>
  <c r="CE35" i="27"/>
  <c r="CS22" i="1"/>
  <c r="CL32" i="1" l="1"/>
  <c r="CK47" i="1"/>
  <c r="CJ7" i="26"/>
  <c r="CX21" i="1"/>
  <c r="CT22" i="1"/>
  <c r="CF8" i="26"/>
  <c r="CF35" i="27"/>
  <c r="CG8" i="26"/>
  <c r="CU22" i="1"/>
  <c r="CG35" i="27"/>
  <c r="CW21" i="1"/>
  <c r="CI7" i="26"/>
  <c r="CM32" i="1" l="1"/>
  <c r="CL47" i="1"/>
  <c r="CV22" i="1"/>
  <c r="CH8" i="26"/>
  <c r="CH35" i="27"/>
  <c r="CY21" i="1"/>
  <c r="CK7" i="26"/>
  <c r="CN32" i="1" l="1"/>
  <c r="CM47" i="1"/>
  <c r="CI8" i="26"/>
  <c r="CW22" i="1"/>
  <c r="CI35" i="27"/>
  <c r="CO32" i="1" l="1"/>
  <c r="CN47" i="1"/>
  <c r="CJ8" i="26"/>
  <c r="CX22" i="1"/>
  <c r="CJ35" i="27"/>
  <c r="CP32" i="1" l="1"/>
  <c r="CO47" i="1"/>
  <c r="CK8" i="26"/>
  <c r="CY22" i="1"/>
  <c r="CK35" i="27"/>
  <c r="CQ32" i="1" l="1"/>
  <c r="CP47" i="1"/>
  <c r="CR32" i="1" l="1"/>
  <c r="CQ47" i="1"/>
  <c r="CS32" i="1" l="1"/>
  <c r="CR47" i="1"/>
  <c r="CT32" i="1" l="1"/>
  <c r="CS47" i="1"/>
  <c r="CU32" i="1" l="1"/>
  <c r="CT47" i="1"/>
  <c r="CV32" i="1" l="1"/>
  <c r="CU47" i="1"/>
  <c r="CW32" i="1" l="1"/>
  <c r="CV47" i="1"/>
  <c r="CX32" i="1" l="1"/>
  <c r="CW47" i="1"/>
  <c r="CY32" i="1" l="1"/>
  <c r="CX47" i="1"/>
  <c r="CY47" i="1" l="1"/>
  <c r="AE28" i="1"/>
  <c r="AE17" i="1"/>
  <c r="AE15" i="1" s="1"/>
  <c r="AE29" i="1"/>
  <c r="AF26" i="1" l="1"/>
  <c r="AF27" i="1"/>
  <c r="AE14" i="1"/>
  <c r="AE33" i="1" s="1"/>
  <c r="D16" i="5"/>
  <c r="AF16" i="1" l="1"/>
  <c r="AE38" i="1"/>
  <c r="AE39" i="1"/>
  <c r="AE42" i="1" s="1"/>
  <c r="D17" i="5" s="1"/>
  <c r="R24" i="26"/>
  <c r="R25" i="26"/>
  <c r="N4" i="24"/>
  <c r="AE35" i="1"/>
  <c r="N4" i="32"/>
  <c r="AE58" i="1" s="1"/>
  <c r="AE59" i="1" s="1"/>
  <c r="AE61" i="1" s="1"/>
  <c r="N15" i="25"/>
  <c r="H15" i="20" s="1"/>
  <c r="AE40" i="1" l="1"/>
  <c r="R26" i="26"/>
  <c r="AF10" i="1" s="1"/>
  <c r="C12" i="35" s="1"/>
  <c r="AF29" i="1"/>
  <c r="AF28" i="1"/>
  <c r="AF17" i="1"/>
  <c r="AF15" i="1" s="1"/>
  <c r="C14" i="35" l="1"/>
  <c r="AG26" i="1"/>
  <c r="AG27" i="1"/>
  <c r="AF14" i="1"/>
  <c r="N16" i="25"/>
  <c r="AF12" i="1"/>
  <c r="AF33" i="1" l="1"/>
  <c r="O4" i="32" s="1"/>
  <c r="AF58" i="1" s="1"/>
  <c r="C19" i="35" s="1"/>
  <c r="C20" i="35" s="1"/>
  <c r="C21" i="35" s="1"/>
  <c r="C15" i="35"/>
  <c r="H16" i="20"/>
  <c r="AG16" i="1"/>
  <c r="AF39" i="1"/>
  <c r="AF42" i="1" s="1"/>
  <c r="C16" i="35" s="1"/>
  <c r="AF38" i="1"/>
  <c r="AF107" i="1"/>
  <c r="AF108" i="1" s="1"/>
  <c r="AF138" i="1" s="1"/>
  <c r="S25" i="26"/>
  <c r="S24" i="26"/>
  <c r="AF35" i="1"/>
  <c r="O4" i="24" l="1"/>
  <c r="AF59" i="1"/>
  <c r="AF61" i="1" s="1"/>
  <c r="AF40" i="1"/>
  <c r="AG17" i="1"/>
  <c r="AG15" i="1" s="1"/>
  <c r="S26" i="26"/>
  <c r="AG10" i="1" s="1"/>
  <c r="D12" i="35" s="1"/>
  <c r="AG29" i="1"/>
  <c r="AG28" i="1"/>
  <c r="D14" i="35" l="1"/>
  <c r="AH26" i="1"/>
  <c r="AH27" i="1"/>
  <c r="T25" i="26" s="1"/>
  <c r="AG14" i="1"/>
  <c r="AG12" i="1"/>
  <c r="AG33" i="1" l="1"/>
  <c r="P4" i="24" s="1"/>
  <c r="D15" i="35"/>
  <c r="AG39" i="1"/>
  <c r="AG42" i="1" s="1"/>
  <c r="D16" i="35" s="1"/>
  <c r="AH16" i="1"/>
  <c r="T24" i="26"/>
  <c r="T26" i="26" s="1"/>
  <c r="AH10" i="1" s="1"/>
  <c r="E12" i="35" s="1"/>
  <c r="AG38" i="1"/>
  <c r="AG107" i="1"/>
  <c r="AG108" i="1" s="1"/>
  <c r="AG138" i="1" s="1"/>
  <c r="AG35" i="1" l="1"/>
  <c r="P4" i="32"/>
  <c r="AG58" i="1" s="1"/>
  <c r="D19" i="35" s="1"/>
  <c r="D20" i="35" s="1"/>
  <c r="D21" i="35" s="1"/>
  <c r="E14" i="35"/>
  <c r="AH17" i="1"/>
  <c r="AH15" i="1" s="1"/>
  <c r="AH28" i="1"/>
  <c r="AH29" i="1"/>
  <c r="AG40" i="1"/>
  <c r="AH12" i="1"/>
  <c r="AG59" i="1" l="1"/>
  <c r="AG61" i="1" s="1"/>
  <c r="AH14" i="1"/>
  <c r="E15" i="35" s="1"/>
  <c r="AI26" i="1"/>
  <c r="U24" i="26" s="1"/>
  <c r="AI27" i="1"/>
  <c r="AH38" i="1"/>
  <c r="AH107" i="1"/>
  <c r="AH108" i="1" s="1"/>
  <c r="AH138" i="1" s="1"/>
  <c r="AH39" i="1" l="1"/>
  <c r="AH42" i="1" s="1"/>
  <c r="E16" i="35" s="1"/>
  <c r="AH33" i="1"/>
  <c r="Q4" i="32" s="1"/>
  <c r="AH58" i="1" s="1"/>
  <c r="E19" i="35" s="1"/>
  <c r="E20" i="35" s="1"/>
  <c r="E21" i="35" s="1"/>
  <c r="AI16" i="1"/>
  <c r="AI29" i="1"/>
  <c r="U25" i="26"/>
  <c r="AI17" i="1"/>
  <c r="AI15" i="1" s="1"/>
  <c r="AI28" i="1"/>
  <c r="AH59" i="1" l="1"/>
  <c r="AH61" i="1" s="1"/>
  <c r="AH35" i="1"/>
  <c r="Q4" i="24"/>
  <c r="AH40" i="1"/>
  <c r="AJ26" i="1"/>
  <c r="V24" i="26" s="1"/>
  <c r="AJ27" i="1"/>
  <c r="V25" i="26" s="1"/>
  <c r="AI14" i="1"/>
  <c r="AI38" i="1"/>
  <c r="U26" i="26"/>
  <c r="AI10" i="1" s="1"/>
  <c r="F12" i="35" s="1"/>
  <c r="AI33" i="1" l="1"/>
  <c r="R4" i="24" s="1"/>
  <c r="F15" i="35"/>
  <c r="F14" i="35"/>
  <c r="AJ16" i="1"/>
  <c r="V26" i="26"/>
  <c r="AJ10" i="1" s="1"/>
  <c r="G12" i="35" s="1"/>
  <c r="G14" i="35" s="1"/>
  <c r="AI12" i="1"/>
  <c r="AJ29" i="1"/>
  <c r="AJ28" i="1"/>
  <c r="AJ17" i="1"/>
  <c r="AJ15" i="1" s="1"/>
  <c r="R4" i="32" l="1"/>
  <c r="AI58" i="1" s="1"/>
  <c r="F19" i="35" s="1"/>
  <c r="F20" i="35" s="1"/>
  <c r="F21" i="35" s="1"/>
  <c r="AI39" i="1"/>
  <c r="AI42" i="1" s="1"/>
  <c r="F16" i="35" s="1"/>
  <c r="AK27" i="1"/>
  <c r="AK26" i="1"/>
  <c r="AJ14" i="1"/>
  <c r="AJ12" i="1"/>
  <c r="AI107" i="1"/>
  <c r="AI108" i="1" s="1"/>
  <c r="AI138" i="1" s="1"/>
  <c r="AI35" i="1"/>
  <c r="AI59" i="1" l="1"/>
  <c r="AI61" i="1" s="1"/>
  <c r="AJ33" i="1"/>
  <c r="AJ35" i="1" s="1"/>
  <c r="G15" i="35"/>
  <c r="AK16" i="1"/>
  <c r="AJ107" i="1"/>
  <c r="AJ108" i="1" s="1"/>
  <c r="AJ138" i="1" s="1"/>
  <c r="AJ39" i="1"/>
  <c r="AJ42" i="1" s="1"/>
  <c r="G16" i="35" s="1"/>
  <c r="AJ38" i="1"/>
  <c r="AI40" i="1"/>
  <c r="W25" i="26"/>
  <c r="W24" i="26"/>
  <c r="S4" i="32" l="1"/>
  <c r="AJ58" i="1" s="1"/>
  <c r="G19" i="35" s="1"/>
  <c r="G20" i="35" s="1"/>
  <c r="G21" i="35" s="1"/>
  <c r="S4" i="24"/>
  <c r="AJ40" i="1"/>
  <c r="AK28" i="1"/>
  <c r="AK29" i="1"/>
  <c r="AK17" i="1"/>
  <c r="AK15" i="1" s="1"/>
  <c r="W26" i="26"/>
  <c r="AK10" i="1" s="1"/>
  <c r="H12" i="35" s="1"/>
  <c r="H14" i="35" s="1"/>
  <c r="AJ59" i="1" l="1"/>
  <c r="AJ61" i="1" s="1"/>
  <c r="AL27" i="1"/>
  <c r="X25" i="26" s="1"/>
  <c r="AL26" i="1"/>
  <c r="X24" i="26" s="1"/>
  <c r="AK14" i="1"/>
  <c r="H15" i="35" s="1"/>
  <c r="AK12" i="1"/>
  <c r="AK38" i="1" l="1"/>
  <c r="AK33" i="1"/>
  <c r="T4" i="24" s="1"/>
  <c r="AL16" i="1"/>
  <c r="AK39" i="1"/>
  <c r="AL28" i="1"/>
  <c r="AL17" i="1"/>
  <c r="AL15" i="1" s="1"/>
  <c r="AL29" i="1"/>
  <c r="X26" i="26"/>
  <c r="AL10" i="1" s="1"/>
  <c r="I12" i="35" s="1"/>
  <c r="I14" i="35" s="1"/>
  <c r="AK107" i="1"/>
  <c r="AK108" i="1" s="1"/>
  <c r="AK138" i="1" s="1"/>
  <c r="AK40" i="1" l="1"/>
  <c r="AK42" i="1"/>
  <c r="H16" i="35" s="1"/>
  <c r="AM27" i="1"/>
  <c r="Y25" i="26" s="1"/>
  <c r="AM26" i="1"/>
  <c r="Y24" i="26" s="1"/>
  <c r="T4" i="32"/>
  <c r="AK58" i="1" s="1"/>
  <c r="AK35" i="1"/>
  <c r="AL14" i="1"/>
  <c r="AL12" i="1"/>
  <c r="AK59" i="1" l="1"/>
  <c r="AK61" i="1" s="1"/>
  <c r="H19" i="35"/>
  <c r="AL33" i="1"/>
  <c r="I15" i="35"/>
  <c r="AM16" i="1"/>
  <c r="AL39" i="1"/>
  <c r="AL42" i="1" s="1"/>
  <c r="I16" i="35" s="1"/>
  <c r="AL38" i="1"/>
  <c r="AL107" i="1"/>
  <c r="AL108" i="1" s="1"/>
  <c r="AL138" i="1" s="1"/>
  <c r="AM29" i="1"/>
  <c r="AM17" i="1"/>
  <c r="AM15" i="1" s="1"/>
  <c r="Y26" i="26"/>
  <c r="AM10" i="1" s="1"/>
  <c r="J12" i="35" s="1"/>
  <c r="J14" i="35" s="1"/>
  <c r="AM28" i="1"/>
  <c r="U4" i="24"/>
  <c r="AL35" i="1"/>
  <c r="U4" i="32"/>
  <c r="AL58" i="1" s="1"/>
  <c r="AL59" i="1" l="1"/>
  <c r="AL61" i="1" s="1"/>
  <c r="I19" i="35"/>
  <c r="I20" i="35" s="1"/>
  <c r="I21" i="35" s="1"/>
  <c r="H20" i="35"/>
  <c r="H21" i="35" s="1"/>
  <c r="AN26" i="1"/>
  <c r="AN27" i="1"/>
  <c r="Z25" i="26" s="1"/>
  <c r="AM14" i="1"/>
  <c r="AL40" i="1"/>
  <c r="AM12" i="1"/>
  <c r="AM38" i="1"/>
  <c r="AM33" i="1" l="1"/>
  <c r="AM35" i="1" s="1"/>
  <c r="J15" i="35"/>
  <c r="AN16" i="1"/>
  <c r="AM39" i="1"/>
  <c r="AM40" i="1" s="1"/>
  <c r="AM107" i="1"/>
  <c r="AM108" i="1" s="1"/>
  <c r="AM138" i="1" s="1"/>
  <c r="Z24" i="26"/>
  <c r="AM42" i="1" l="1"/>
  <c r="J16" i="35" s="1"/>
  <c r="V4" i="32"/>
  <c r="AM58" i="1" s="1"/>
  <c r="V4" i="24"/>
  <c r="AN17" i="1"/>
  <c r="AN15" i="1" s="1"/>
  <c r="AN28" i="1"/>
  <c r="AN29" i="1"/>
  <c r="Z26" i="26"/>
  <c r="AN10" i="1" s="1"/>
  <c r="K12" i="35" s="1"/>
  <c r="K14" i="35" s="1"/>
  <c r="AM59" i="1" l="1"/>
  <c r="AM61" i="1" s="1"/>
  <c r="J19" i="35"/>
  <c r="AO26" i="1"/>
  <c r="AA24" i="26" s="1"/>
  <c r="AO27" i="1"/>
  <c r="AA25" i="26" s="1"/>
  <c r="AN14" i="1"/>
  <c r="AN38" i="1"/>
  <c r="AN12" i="1"/>
  <c r="AN33" i="1" l="1"/>
  <c r="W4" i="24" s="1"/>
  <c r="K15" i="35"/>
  <c r="J20" i="35"/>
  <c r="J21" i="35" s="1"/>
  <c r="AO16" i="1"/>
  <c r="AN107" i="1"/>
  <c r="AN108" i="1" s="1"/>
  <c r="AN138" i="1" s="1"/>
  <c r="AN39" i="1"/>
  <c r="AN42" i="1" s="1"/>
  <c r="K16" i="35" s="1"/>
  <c r="AO29" i="1"/>
  <c r="AO28" i="1"/>
  <c r="AA26" i="26"/>
  <c r="AO10" i="1" s="1"/>
  <c r="AO17" i="1"/>
  <c r="AO15" i="1" s="1"/>
  <c r="W4" i="32" l="1"/>
  <c r="AN58" i="1" s="1"/>
  <c r="AN59" i="1" s="1"/>
  <c r="AN61" i="1" s="1"/>
  <c r="AN35" i="1"/>
  <c r="AO12" i="1"/>
  <c r="AO107" i="1" s="1"/>
  <c r="AO108" i="1" s="1"/>
  <c r="AO138" i="1" s="1"/>
  <c r="L12" i="35"/>
  <c r="L14" i="35" s="1"/>
  <c r="AP26" i="1"/>
  <c r="AB24" i="26" s="1"/>
  <c r="AP27" i="1"/>
  <c r="AB25" i="26" s="1"/>
  <c r="AO14" i="1"/>
  <c r="AO38" i="1"/>
  <c r="AN40" i="1"/>
  <c r="K19" i="35" l="1"/>
  <c r="K20" i="35" s="1"/>
  <c r="K21" i="35" s="1"/>
  <c r="AO33" i="1"/>
  <c r="X4" i="24" s="1"/>
  <c r="L15" i="35"/>
  <c r="AP16" i="1"/>
  <c r="AO39" i="1"/>
  <c r="AO42" i="1" s="1"/>
  <c r="L16" i="35" s="1"/>
  <c r="AB26" i="26"/>
  <c r="AP10" i="1" s="1"/>
  <c r="M12" i="35" s="1"/>
  <c r="M14" i="35" s="1"/>
  <c r="AP29" i="1"/>
  <c r="AP17" i="1"/>
  <c r="AP15" i="1" s="1"/>
  <c r="AP28" i="1"/>
  <c r="X4" i="32" l="1"/>
  <c r="AO58" i="1" s="1"/>
  <c r="AO59" i="1" s="1"/>
  <c r="AO61" i="1" s="1"/>
  <c r="AO35" i="1"/>
  <c r="AO40" i="1"/>
  <c r="AQ26" i="1"/>
  <c r="AQ27" i="1"/>
  <c r="AP14" i="1"/>
  <c r="AP12" i="1"/>
  <c r="L19" i="35" l="1"/>
  <c r="L20" i="35" s="1"/>
  <c r="L21" i="35" s="1"/>
  <c r="AP33" i="1"/>
  <c r="Y4" i="24" s="1"/>
  <c r="M15" i="35"/>
  <c r="AQ16" i="1"/>
  <c r="AP39" i="1"/>
  <c r="AP42" i="1" s="1"/>
  <c r="M16" i="35" s="1"/>
  <c r="AP38" i="1"/>
  <c r="AP107" i="1"/>
  <c r="AP108" i="1" s="1"/>
  <c r="AP138" i="1" s="1"/>
  <c r="AC24" i="26"/>
  <c r="AC25" i="26"/>
  <c r="Y4" i="32" l="1"/>
  <c r="AP58" i="1" s="1"/>
  <c r="AP59" i="1" s="1"/>
  <c r="AP61" i="1" s="1"/>
  <c r="AP35" i="1"/>
  <c r="AP40" i="1"/>
  <c r="AC26" i="26"/>
  <c r="AQ10" i="1" s="1"/>
  <c r="N12" i="35" s="1"/>
  <c r="AQ17" i="1"/>
  <c r="AQ15" i="1" s="1"/>
  <c r="AQ28" i="1"/>
  <c r="AQ29" i="1"/>
  <c r="M19" i="35" l="1"/>
  <c r="M20" i="35" s="1"/>
  <c r="M21" i="35" s="1"/>
  <c r="N14" i="35"/>
  <c r="P12" i="35"/>
  <c r="P14" i="35" s="1"/>
  <c r="AR26" i="1"/>
  <c r="AR27" i="1"/>
  <c r="AQ12" i="1"/>
  <c r="AQ14" i="1"/>
  <c r="N15" i="35" s="1"/>
  <c r="P15" i="35" s="1"/>
  <c r="E16" i="5"/>
  <c r="AQ38" i="1" l="1"/>
  <c r="AQ33" i="1"/>
  <c r="Z4" i="24" s="1"/>
  <c r="AR16" i="1"/>
  <c r="AQ107" i="1"/>
  <c r="AQ108" i="1" s="1"/>
  <c r="AQ138" i="1" s="1"/>
  <c r="AQ39" i="1"/>
  <c r="AQ42" i="1" s="1"/>
  <c r="N16" i="35" s="1"/>
  <c r="P16" i="35" s="1"/>
  <c r="AD25" i="26"/>
  <c r="AQ35" i="1" l="1"/>
  <c r="Z4" i="32"/>
  <c r="AQ58" i="1" s="1"/>
  <c r="AQ40" i="1"/>
  <c r="E17" i="5"/>
  <c r="AR29" i="1"/>
  <c r="AR17" i="1"/>
  <c r="AR15" i="1" s="1"/>
  <c r="AR28" i="1"/>
  <c r="AD24" i="26"/>
  <c r="AQ59" i="1" l="1"/>
  <c r="AQ61" i="1" s="1"/>
  <c r="N19" i="35"/>
  <c r="AS27" i="1"/>
  <c r="AE25" i="26" s="1"/>
  <c r="AS26" i="1"/>
  <c r="AE24" i="26" s="1"/>
  <c r="AR14" i="1"/>
  <c r="AD26" i="26"/>
  <c r="AR10" i="1" s="1"/>
  <c r="P19" i="35" l="1"/>
  <c r="N20" i="35"/>
  <c r="AR38" i="1"/>
  <c r="AR33" i="1"/>
  <c r="AA4" i="24" s="1"/>
  <c r="AS16" i="1"/>
  <c r="AE26" i="26"/>
  <c r="AS10" i="1" s="1"/>
  <c r="AR12" i="1"/>
  <c r="AS29" i="1"/>
  <c r="AS28" i="1"/>
  <c r="AS17" i="1"/>
  <c r="AS15" i="1" s="1"/>
  <c r="P20" i="35" l="1"/>
  <c r="P21" i="35" s="1"/>
  <c r="N21" i="35"/>
  <c r="AR39" i="1"/>
  <c r="AR42" i="1" s="1"/>
  <c r="AA4" i="32"/>
  <c r="AR58" i="1" s="1"/>
  <c r="AT27" i="1"/>
  <c r="AT26" i="1"/>
  <c r="AS14" i="1"/>
  <c r="AS33" i="1" s="1"/>
  <c r="AS12" i="1"/>
  <c r="AS38" i="1"/>
  <c r="AR107" i="1"/>
  <c r="AR108" i="1" s="1"/>
  <c r="AR138" i="1" s="1"/>
  <c r="AR35" i="1"/>
  <c r="AR59" i="1" l="1"/>
  <c r="AR61" i="1" s="1"/>
  <c r="AT16" i="1"/>
  <c r="AS39" i="1"/>
  <c r="AS42" i="1" s="1"/>
  <c r="AS107" i="1"/>
  <c r="AS108" i="1" s="1"/>
  <c r="AS138" i="1" s="1"/>
  <c r="AR40" i="1"/>
  <c r="AF24" i="26"/>
  <c r="AF25" i="26"/>
  <c r="AB4" i="32"/>
  <c r="AS58" i="1" s="1"/>
  <c r="AS59" i="1" s="1"/>
  <c r="AS61" i="1" s="1"/>
  <c r="AS35" i="1"/>
  <c r="AB4" i="24"/>
  <c r="AS40" i="1" l="1"/>
  <c r="AF26" i="26"/>
  <c r="AT10" i="1" s="1"/>
  <c r="AT17" i="1"/>
  <c r="AT15" i="1" s="1"/>
  <c r="AT28" i="1"/>
  <c r="AT29" i="1"/>
  <c r="AU27" i="1" l="1"/>
  <c r="AU26" i="1"/>
  <c r="AT14" i="1"/>
  <c r="AT33" i="1" s="1"/>
  <c r="AT12" i="1"/>
  <c r="AU16" i="1" l="1"/>
  <c r="AT39" i="1"/>
  <c r="AT42" i="1" s="1"/>
  <c r="AT38" i="1"/>
  <c r="AT107" i="1"/>
  <c r="AT108" i="1" s="1"/>
  <c r="AT138" i="1" s="1"/>
  <c r="AG24" i="26"/>
  <c r="AT35" i="1"/>
  <c r="AC4" i="32"/>
  <c r="AT58" i="1" s="1"/>
  <c r="AC4" i="24"/>
  <c r="AT59" i="1" l="1"/>
  <c r="AT61" i="1" s="1"/>
  <c r="AT40" i="1"/>
  <c r="AU28" i="1"/>
  <c r="AG25" i="26"/>
  <c r="AG26" i="26" s="1"/>
  <c r="AU10" i="1" s="1"/>
  <c r="AU29" i="1"/>
  <c r="AU17" i="1"/>
  <c r="AU15" i="1" s="1"/>
  <c r="AV26" i="1" l="1"/>
  <c r="AV27" i="1"/>
  <c r="AU14" i="1"/>
  <c r="AU33" i="1" s="1"/>
  <c r="AU38" i="1"/>
  <c r="AU12" i="1"/>
  <c r="AU39" i="1" l="1"/>
  <c r="AU42" i="1" s="1"/>
  <c r="AV16" i="1"/>
  <c r="AU107" i="1"/>
  <c r="AU108" i="1" s="1"/>
  <c r="AU138" i="1" s="1"/>
  <c r="AH24" i="26"/>
  <c r="AH25" i="26"/>
  <c r="AD4" i="24"/>
  <c r="AU35" i="1"/>
  <c r="AD4" i="32"/>
  <c r="AU58" i="1" s="1"/>
  <c r="AU59" i="1" l="1"/>
  <c r="AU61" i="1" s="1"/>
  <c r="AU40" i="1"/>
  <c r="AH26" i="26"/>
  <c r="AV10" i="1" s="1"/>
  <c r="AV17" i="1"/>
  <c r="AV15" i="1" s="1"/>
  <c r="AV28" i="1"/>
  <c r="AV29" i="1"/>
  <c r="AW26" i="1" l="1"/>
  <c r="AW27" i="1"/>
  <c r="AV14" i="1"/>
  <c r="AV33" i="1" s="1"/>
  <c r="AV12" i="1"/>
  <c r="AV39" i="1" l="1"/>
  <c r="AV42" i="1" s="1"/>
  <c r="AW16" i="1"/>
  <c r="AV38" i="1"/>
  <c r="AV107" i="1"/>
  <c r="AV108" i="1" s="1"/>
  <c r="AV138" i="1" s="1"/>
  <c r="AI25" i="26"/>
  <c r="AI24" i="26"/>
  <c r="AV35" i="1"/>
  <c r="AE4" i="24"/>
  <c r="AE4" i="32"/>
  <c r="AV58" i="1" s="1"/>
  <c r="AV59" i="1" l="1"/>
  <c r="AV61" i="1" s="1"/>
  <c r="AV40" i="1"/>
  <c r="AI26" i="26"/>
  <c r="AW10" i="1" s="1"/>
  <c r="AW17" i="1"/>
  <c r="AW15" i="1" s="1"/>
  <c r="AW28" i="1"/>
  <c r="AW29" i="1"/>
  <c r="AX26" i="1" l="1"/>
  <c r="AX27" i="1"/>
  <c r="AW14" i="1"/>
  <c r="AW33" i="1" s="1"/>
  <c r="AW12" i="1"/>
  <c r="AW39" i="1" l="1"/>
  <c r="AW42" i="1" s="1"/>
  <c r="AX16" i="1"/>
  <c r="AW38" i="1"/>
  <c r="AW107" i="1"/>
  <c r="AW108" i="1" s="1"/>
  <c r="AW138" i="1" s="1"/>
  <c r="AJ24" i="26"/>
  <c r="AJ25" i="26"/>
  <c r="AW40" i="1" l="1"/>
  <c r="AJ26" i="26"/>
  <c r="AX10" i="1" s="1"/>
  <c r="AW35" i="1"/>
  <c r="AF4" i="24"/>
  <c r="AF4" i="32"/>
  <c r="AW58" i="1" s="1"/>
  <c r="AX29" i="1"/>
  <c r="AX17" i="1"/>
  <c r="AX15" i="1" s="1"/>
  <c r="AX28" i="1"/>
  <c r="AW59" i="1" l="1"/>
  <c r="AW61" i="1" s="1"/>
  <c r="AY26" i="1"/>
  <c r="AY27" i="1"/>
  <c r="AX14" i="1"/>
  <c r="AX33" i="1" s="1"/>
  <c r="AX12" i="1"/>
  <c r="AY16" i="1" l="1"/>
  <c r="AX107" i="1"/>
  <c r="AX108" i="1" s="1"/>
  <c r="AX138" i="1" s="1"/>
  <c r="AX39" i="1"/>
  <c r="AX42" i="1" s="1"/>
  <c r="AX38" i="1"/>
  <c r="AK25" i="26"/>
  <c r="AX40" i="1" l="1"/>
  <c r="AY29" i="1"/>
  <c r="AK24" i="26"/>
  <c r="AG4" i="24"/>
  <c r="AG4" i="32"/>
  <c r="AX58" i="1" s="1"/>
  <c r="AX59" i="1" s="1"/>
  <c r="AX61" i="1" s="1"/>
  <c r="AX35" i="1"/>
  <c r="AY28" i="1"/>
  <c r="AY17" i="1"/>
  <c r="AY15" i="1" s="1"/>
  <c r="AZ26" i="1" l="1"/>
  <c r="AZ27" i="1"/>
  <c r="AY14" i="1"/>
  <c r="AY33" i="1" s="1"/>
  <c r="AK26" i="26"/>
  <c r="AY10" i="1" s="1"/>
  <c r="AZ16" i="1" l="1"/>
  <c r="AY38" i="1"/>
  <c r="AY12" i="1"/>
  <c r="AL25" i="26"/>
  <c r="AL24" i="26"/>
  <c r="AY39" i="1" l="1"/>
  <c r="AY42" i="1" s="1"/>
  <c r="AY107" i="1"/>
  <c r="AY108" i="1" s="1"/>
  <c r="AY138" i="1" s="1"/>
  <c r="AL26" i="26"/>
  <c r="AZ10" i="1" s="1"/>
  <c r="AZ28" i="1"/>
  <c r="AZ17" i="1"/>
  <c r="AZ15" i="1" s="1"/>
  <c r="AZ29" i="1"/>
  <c r="AY35" i="1"/>
  <c r="AH4" i="24"/>
  <c r="AH4" i="32"/>
  <c r="AY58" i="1" s="1"/>
  <c r="AY59" i="1" s="1"/>
  <c r="AY61" i="1" s="1"/>
  <c r="AY40" i="1" l="1"/>
  <c r="BA27" i="1"/>
  <c r="BA26" i="1"/>
  <c r="AZ14" i="1"/>
  <c r="AZ33" i="1" s="1"/>
  <c r="AZ12" i="1"/>
  <c r="AZ38" i="1"/>
  <c r="BA16" i="1" l="1"/>
  <c r="AZ39" i="1"/>
  <c r="AZ42" i="1" s="1"/>
  <c r="AZ107" i="1"/>
  <c r="AZ108" i="1" s="1"/>
  <c r="AZ138" i="1" s="1"/>
  <c r="AM25" i="26"/>
  <c r="AM24" i="26"/>
  <c r="AZ35" i="1"/>
  <c r="AI4" i="24"/>
  <c r="AI4" i="32"/>
  <c r="AZ58" i="1" s="1"/>
  <c r="AZ59" i="1" s="1"/>
  <c r="AZ61" i="1" s="1"/>
  <c r="AZ40" i="1" l="1"/>
  <c r="BA29" i="1"/>
  <c r="AM26" i="26"/>
  <c r="BA10" i="1" s="1"/>
  <c r="BA28" i="1"/>
  <c r="BA17" i="1"/>
  <c r="BA15" i="1" s="1"/>
  <c r="BB27" i="1" l="1"/>
  <c r="AN25" i="26" s="1"/>
  <c r="BB26" i="1"/>
  <c r="AN24" i="26" s="1"/>
  <c r="BA14" i="1"/>
  <c r="BA33" i="1" s="1"/>
  <c r="BA38" i="1"/>
  <c r="BA12" i="1"/>
  <c r="BB16" i="1" l="1"/>
  <c r="BA107" i="1"/>
  <c r="BA108" i="1" s="1"/>
  <c r="BA138" i="1" s="1"/>
  <c r="BA39" i="1"/>
  <c r="BA42" i="1" s="1"/>
  <c r="AN26" i="26"/>
  <c r="BB10" i="1" s="1"/>
  <c r="BB28" i="1"/>
  <c r="BB17" i="1"/>
  <c r="BB15" i="1" s="1"/>
  <c r="BB29" i="1"/>
  <c r="BA35" i="1"/>
  <c r="AJ4" i="24"/>
  <c r="AJ4" i="32"/>
  <c r="BA58" i="1" s="1"/>
  <c r="BA59" i="1" s="1"/>
  <c r="BA61" i="1" s="1"/>
  <c r="BC27" i="1" l="1"/>
  <c r="BC26" i="1"/>
  <c r="BA40" i="1"/>
  <c r="BB14" i="1"/>
  <c r="BB33" i="1" s="1"/>
  <c r="BB12" i="1"/>
  <c r="BC16" i="1" l="1"/>
  <c r="BB39" i="1"/>
  <c r="BB42" i="1" s="1"/>
  <c r="BB38" i="1"/>
  <c r="BB107" i="1"/>
  <c r="BB108" i="1" s="1"/>
  <c r="BB138" i="1" s="1"/>
  <c r="AO24" i="26"/>
  <c r="AO25" i="26"/>
  <c r="AK4" i="24"/>
  <c r="BB35" i="1"/>
  <c r="AK4" i="32"/>
  <c r="BB58" i="1" s="1"/>
  <c r="BB59" i="1" s="1"/>
  <c r="BB61" i="1" s="1"/>
  <c r="BB40" i="1" l="1"/>
  <c r="AO26" i="26"/>
  <c r="BC10" i="1" s="1"/>
  <c r="BC29" i="1"/>
  <c r="BC17" i="1"/>
  <c r="BC15" i="1" s="1"/>
  <c r="BC28" i="1"/>
  <c r="BD26" i="1" l="1"/>
  <c r="BD27" i="1"/>
  <c r="BC12" i="1"/>
  <c r="BC14" i="1"/>
  <c r="F16" i="5"/>
  <c r="BC38" i="1" l="1"/>
  <c r="BC33" i="1"/>
  <c r="BC35" i="1" s="1"/>
  <c r="BD16" i="1"/>
  <c r="BC107" i="1"/>
  <c r="BC108" i="1" s="1"/>
  <c r="BC138" i="1" s="1"/>
  <c r="BC39" i="1"/>
  <c r="AP25" i="26"/>
  <c r="AP24" i="26"/>
  <c r="AL4" i="32" l="1"/>
  <c r="BC58" i="1" s="1"/>
  <c r="BC59" i="1" s="1"/>
  <c r="BC61" i="1" s="1"/>
  <c r="AL4" i="24"/>
  <c r="BC42" i="1"/>
  <c r="F17" i="5" s="1"/>
  <c r="BC40" i="1"/>
  <c r="AP26" i="26"/>
  <c r="BD10" i="1" s="1"/>
  <c r="BD28" i="1"/>
  <c r="BD29" i="1"/>
  <c r="BD17" i="1"/>
  <c r="BD15" i="1" s="1"/>
  <c r="BE26" i="1" l="1"/>
  <c r="BE27" i="1"/>
  <c r="BD14" i="1"/>
  <c r="BD33" i="1" s="1"/>
  <c r="BD12" i="1"/>
  <c r="BD39" i="1" l="1"/>
  <c r="BD42" i="1" s="1"/>
  <c r="BE16" i="1"/>
  <c r="BD38" i="1"/>
  <c r="BD107" i="1"/>
  <c r="BD108" i="1" s="1"/>
  <c r="BD138" i="1" s="1"/>
  <c r="AQ25" i="26"/>
  <c r="AQ24" i="26"/>
  <c r="BD35" i="1"/>
  <c r="AM4" i="24"/>
  <c r="AM4" i="32"/>
  <c r="BD58" i="1" s="1"/>
  <c r="BD59" i="1" l="1"/>
  <c r="BD61" i="1" s="1"/>
  <c r="BD40" i="1"/>
  <c r="AQ26" i="26"/>
  <c r="BE10" i="1" s="1"/>
  <c r="BE29" i="1"/>
  <c r="BE17" i="1"/>
  <c r="BE15" i="1" s="1"/>
  <c r="BE28" i="1"/>
  <c r="BF26" i="1" l="1"/>
  <c r="BF27" i="1"/>
  <c r="BE14" i="1"/>
  <c r="BE33" i="1" s="1"/>
  <c r="BE12" i="1"/>
  <c r="BE39" i="1" l="1"/>
  <c r="BE42" i="1" s="1"/>
  <c r="BF16" i="1"/>
  <c r="BE38" i="1"/>
  <c r="BE107" i="1"/>
  <c r="BE108" i="1" s="1"/>
  <c r="BE138" i="1" s="1"/>
  <c r="AR25" i="26"/>
  <c r="AR24" i="26"/>
  <c r="AN4" i="24"/>
  <c r="AN4" i="32"/>
  <c r="BE58" i="1" s="1"/>
  <c r="BE35" i="1"/>
  <c r="BE59" i="1" l="1"/>
  <c r="BE61" i="1" s="1"/>
  <c r="BE40" i="1"/>
  <c r="AR26" i="26"/>
  <c r="BF10" i="1" s="1"/>
  <c r="BF17" i="1"/>
  <c r="BF15" i="1" s="1"/>
  <c r="BF29" i="1"/>
  <c r="BF28" i="1"/>
  <c r="BG26" i="1" l="1"/>
  <c r="BG27" i="1"/>
  <c r="BF14" i="1"/>
  <c r="BF33" i="1" s="1"/>
  <c r="BF12" i="1"/>
  <c r="BF39" i="1" l="1"/>
  <c r="BF42" i="1" s="1"/>
  <c r="BG16" i="1"/>
  <c r="BF38" i="1"/>
  <c r="BF107" i="1"/>
  <c r="BF108" i="1" s="1"/>
  <c r="BF138" i="1" s="1"/>
  <c r="AS25" i="26"/>
  <c r="AS24" i="26"/>
  <c r="AO4" i="24"/>
  <c r="BF35" i="1"/>
  <c r="AO4" i="32"/>
  <c r="BF58" i="1" s="1"/>
  <c r="BF59" i="1" l="1"/>
  <c r="BF61" i="1" s="1"/>
  <c r="BF40" i="1"/>
  <c r="BG17" i="1"/>
  <c r="BG15" i="1" s="1"/>
  <c r="BG28" i="1"/>
  <c r="AS26" i="26"/>
  <c r="BG10" i="1" s="1"/>
  <c r="BG29" i="1"/>
  <c r="BH26" i="1" l="1"/>
  <c r="AT24" i="26" s="1"/>
  <c r="BH27" i="1"/>
  <c r="AT25" i="26" s="1"/>
  <c r="BG14" i="1"/>
  <c r="BG33" i="1" s="1"/>
  <c r="AP4" i="32" s="1"/>
  <c r="BG58" i="1" s="1"/>
  <c r="BG12" i="1"/>
  <c r="BG59" i="1" l="1"/>
  <c r="BG61" i="1" s="1"/>
  <c r="BG39" i="1"/>
  <c r="BG42" i="1" s="1"/>
  <c r="BH16" i="1"/>
  <c r="BG38" i="1"/>
  <c r="AP4" i="24"/>
  <c r="BG35" i="1"/>
  <c r="AT26" i="26"/>
  <c r="BH10" i="1" s="1"/>
  <c r="BG107" i="1"/>
  <c r="BG108" i="1" s="1"/>
  <c r="BG138" i="1" s="1"/>
  <c r="BH29" i="1"/>
  <c r="BH17" i="1"/>
  <c r="BH15" i="1" s="1"/>
  <c r="BH28" i="1"/>
  <c r="BI27" i="1" l="1"/>
  <c r="BI26" i="1"/>
  <c r="BH14" i="1"/>
  <c r="BH33" i="1" s="1"/>
  <c r="BG40" i="1"/>
  <c r="BH12" i="1"/>
  <c r="BI16" i="1" l="1"/>
  <c r="BH39" i="1"/>
  <c r="BH42" i="1" s="1"/>
  <c r="BH38" i="1"/>
  <c r="BH107" i="1"/>
  <c r="BH108" i="1" s="1"/>
  <c r="BH138" i="1" s="1"/>
  <c r="AU25" i="26"/>
  <c r="AU24" i="26"/>
  <c r="BH35" i="1"/>
  <c r="AQ4" i="32"/>
  <c r="BH58" i="1" s="1"/>
  <c r="AQ4" i="24"/>
  <c r="BH59" i="1" l="1"/>
  <c r="BH61" i="1" s="1"/>
  <c r="BH40" i="1"/>
  <c r="AU26" i="26"/>
  <c r="BI10" i="1" s="1"/>
  <c r="BI17" i="1"/>
  <c r="BI15" i="1" s="1"/>
  <c r="BI28" i="1"/>
  <c r="BI29" i="1"/>
  <c r="BJ27" i="1" l="1"/>
  <c r="BJ26" i="1"/>
  <c r="BI14" i="1"/>
  <c r="BI33" i="1" s="1"/>
  <c r="BI12" i="1"/>
  <c r="BJ16" i="1" l="1"/>
  <c r="BI39" i="1"/>
  <c r="BI42" i="1" s="1"/>
  <c r="BI38" i="1"/>
  <c r="BI107" i="1"/>
  <c r="BI108" i="1" s="1"/>
  <c r="BI138" i="1" s="1"/>
  <c r="AV24" i="26"/>
  <c r="AV25" i="26"/>
  <c r="BI40" i="1" l="1"/>
  <c r="AV26" i="26"/>
  <c r="BJ10" i="1" s="1"/>
  <c r="BJ29" i="1"/>
  <c r="BJ28" i="1"/>
  <c r="BJ17" i="1"/>
  <c r="BJ15" i="1" s="1"/>
  <c r="BI35" i="1"/>
  <c r="AR4" i="24"/>
  <c r="AR4" i="32"/>
  <c r="BI58" i="1" s="1"/>
  <c r="BI59" i="1" s="1"/>
  <c r="BI61" i="1" s="1"/>
  <c r="BK27" i="1" l="1"/>
  <c r="BK26" i="1"/>
  <c r="BJ14" i="1"/>
  <c r="BJ12" i="1"/>
  <c r="BJ38" i="1" l="1"/>
  <c r="BJ33" i="1"/>
  <c r="BK16" i="1"/>
  <c r="BJ107" i="1"/>
  <c r="BJ108" i="1" s="1"/>
  <c r="BJ138" i="1" s="1"/>
  <c r="BJ39" i="1"/>
  <c r="BJ42" i="1" s="1"/>
  <c r="AW24" i="26"/>
  <c r="AW25" i="26"/>
  <c r="BJ40" i="1" l="1"/>
  <c r="AW26" i="26"/>
  <c r="BK10" i="1" s="1"/>
  <c r="BK29" i="1"/>
  <c r="BK17" i="1"/>
  <c r="BK15" i="1" s="1"/>
  <c r="BK28" i="1"/>
  <c r="AS4" i="24"/>
  <c r="BJ35" i="1"/>
  <c r="AS4" i="32"/>
  <c r="BJ58" i="1" s="1"/>
  <c r="BJ59" i="1" s="1"/>
  <c r="BJ61" i="1" s="1"/>
  <c r="BL26" i="1" l="1"/>
  <c r="AX24" i="26" s="1"/>
  <c r="BL27" i="1"/>
  <c r="AX25" i="26" s="1"/>
  <c r="BK14" i="1"/>
  <c r="BK33" i="1" s="1"/>
  <c r="BK12" i="1"/>
  <c r="BL16" i="1" l="1"/>
  <c r="BK39" i="1"/>
  <c r="BK42" i="1" s="1"/>
  <c r="BK38" i="1"/>
  <c r="BK107" i="1"/>
  <c r="BK108" i="1" s="1"/>
  <c r="BK138" i="1" s="1"/>
  <c r="AX26" i="26"/>
  <c r="BL10" i="1" s="1"/>
  <c r="BL28" i="1"/>
  <c r="BL17" i="1"/>
  <c r="BL15" i="1" s="1"/>
  <c r="BL29" i="1"/>
  <c r="AT4" i="24"/>
  <c r="BK35" i="1"/>
  <c r="AT4" i="32"/>
  <c r="BK58" i="1" s="1"/>
  <c r="BK59" i="1" s="1"/>
  <c r="BK61" i="1" s="1"/>
  <c r="BM26" i="1" l="1"/>
  <c r="BM27" i="1"/>
  <c r="BK40" i="1"/>
  <c r="BL14" i="1"/>
  <c r="BL33" i="1" s="1"/>
  <c r="BL12" i="1"/>
  <c r="BM16" i="1" l="1"/>
  <c r="BL39" i="1"/>
  <c r="BL42" i="1" s="1"/>
  <c r="BL107" i="1"/>
  <c r="BL108" i="1" s="1"/>
  <c r="BL138" i="1" s="1"/>
  <c r="BL38" i="1"/>
  <c r="AY25" i="26"/>
  <c r="AY24" i="26"/>
  <c r="BL35" i="1"/>
  <c r="AU4" i="24"/>
  <c r="AU4" i="32"/>
  <c r="BL58" i="1" s="1"/>
  <c r="BL59" i="1" s="1"/>
  <c r="BL61" i="1" s="1"/>
  <c r="BL40" i="1" l="1"/>
  <c r="AY26" i="26"/>
  <c r="BM10" i="1" s="1"/>
  <c r="BM29" i="1"/>
  <c r="BM28" i="1"/>
  <c r="BM17" i="1"/>
  <c r="BM15" i="1" s="1"/>
  <c r="BN26" i="1" l="1"/>
  <c r="BN27" i="1"/>
  <c r="BM14" i="1"/>
  <c r="BM33" i="1" s="1"/>
  <c r="BM12" i="1"/>
  <c r="BN16" i="1" l="1"/>
  <c r="BM39" i="1"/>
  <c r="BM42" i="1" s="1"/>
  <c r="BM38" i="1"/>
  <c r="BM107" i="1"/>
  <c r="BM108" i="1" s="1"/>
  <c r="BM138" i="1" s="1"/>
  <c r="AZ24" i="26"/>
  <c r="AZ25" i="26"/>
  <c r="AV4" i="32"/>
  <c r="BM58" i="1" s="1"/>
  <c r="BM59" i="1" s="1"/>
  <c r="BM61" i="1" s="1"/>
  <c r="BM35" i="1"/>
  <c r="AV4" i="24"/>
  <c r="BM40" i="1" l="1"/>
  <c r="AZ26" i="26"/>
  <c r="BN10" i="1" s="1"/>
  <c r="BN29" i="1"/>
  <c r="BN17" i="1"/>
  <c r="BN15" i="1" s="1"/>
  <c r="BN28" i="1"/>
  <c r="BO26" i="1" l="1"/>
  <c r="BO27" i="1"/>
  <c r="BN14" i="1"/>
  <c r="BN33" i="1" s="1"/>
  <c r="BN12" i="1"/>
  <c r="BO16" i="1" l="1"/>
  <c r="BN107" i="1"/>
  <c r="BN108" i="1" s="1"/>
  <c r="BN138" i="1" s="1"/>
  <c r="BN39" i="1"/>
  <c r="BN42" i="1" s="1"/>
  <c r="BN38" i="1"/>
  <c r="BA25" i="26"/>
  <c r="BA24" i="26"/>
  <c r="BN35" i="1"/>
  <c r="AW4" i="32"/>
  <c r="BN58" i="1" s="1"/>
  <c r="BN59" i="1" s="1"/>
  <c r="BN61" i="1" s="1"/>
  <c r="AW4" i="24"/>
  <c r="BN40" i="1" l="1"/>
  <c r="BO28" i="1"/>
  <c r="BA26" i="26"/>
  <c r="BO10" i="1" s="1"/>
  <c r="BO17" i="1"/>
  <c r="BO15" i="1" s="1"/>
  <c r="BO29" i="1"/>
  <c r="BP26" i="1" l="1"/>
  <c r="BP27" i="1"/>
  <c r="BO12" i="1"/>
  <c r="BO14" i="1"/>
  <c r="G16" i="5"/>
  <c r="BO38" i="1" l="1"/>
  <c r="BO33" i="1"/>
  <c r="AX4" i="24" s="1"/>
  <c r="BP16" i="1"/>
  <c r="BO107" i="1"/>
  <c r="BO108" i="1" s="1"/>
  <c r="BO138" i="1" s="1"/>
  <c r="BO39" i="1"/>
  <c r="BO42" i="1" s="1"/>
  <c r="BB25" i="26"/>
  <c r="BB24" i="26"/>
  <c r="BO35" i="1" l="1"/>
  <c r="AX4" i="32"/>
  <c r="BO58" i="1" s="1"/>
  <c r="BO59" i="1" s="1"/>
  <c r="BO61" i="1" s="1"/>
  <c r="BP29" i="1"/>
  <c r="BP28" i="1"/>
  <c r="BP17" i="1"/>
  <c r="BP15" i="1" s="1"/>
  <c r="BB26" i="26"/>
  <c r="BP10" i="1" s="1"/>
  <c r="BO40" i="1"/>
  <c r="G17" i="5"/>
  <c r="BQ27" i="1" l="1"/>
  <c r="BC25" i="26" s="1"/>
  <c r="BQ26" i="1"/>
  <c r="BP14" i="1"/>
  <c r="BP33" i="1" s="1"/>
  <c r="AY4" i="24" s="1"/>
  <c r="BP12" i="1"/>
  <c r="BQ16" i="1" l="1"/>
  <c r="AY4" i="32"/>
  <c r="BP58" i="1" s="1"/>
  <c r="BC24" i="26"/>
  <c r="BC26" i="26" s="1"/>
  <c r="BQ10" i="1" s="1"/>
  <c r="BP39" i="1"/>
  <c r="BP42" i="1" s="1"/>
  <c r="BP38" i="1"/>
  <c r="BP35" i="1"/>
  <c r="BP107" i="1"/>
  <c r="BP108" i="1" s="1"/>
  <c r="BP138" i="1" s="1"/>
  <c r="BQ29" i="1"/>
  <c r="BQ17" i="1"/>
  <c r="BQ15" i="1" s="1"/>
  <c r="BQ28" i="1"/>
  <c r="BP59" i="1" l="1"/>
  <c r="BP61" i="1" s="1"/>
  <c r="BR27" i="1"/>
  <c r="BR26" i="1"/>
  <c r="BP40" i="1"/>
  <c r="BQ14" i="1"/>
  <c r="BQ33" i="1" s="1"/>
  <c r="BQ38" i="1"/>
  <c r="BQ12" i="1"/>
  <c r="BR16" i="1" l="1"/>
  <c r="BQ39" i="1"/>
  <c r="BQ42" i="1" s="1"/>
  <c r="BQ107" i="1"/>
  <c r="BQ108" i="1" s="1"/>
  <c r="BQ138" i="1" s="1"/>
  <c r="BD24" i="26"/>
  <c r="AZ4" i="32"/>
  <c r="BQ58" i="1" s="1"/>
  <c r="AZ4" i="24"/>
  <c r="BQ35" i="1"/>
  <c r="BQ59" i="1" l="1"/>
  <c r="BQ61" i="1" s="1"/>
  <c r="BQ40" i="1"/>
  <c r="BR29" i="1"/>
  <c r="BD25" i="26"/>
  <c r="BR28" i="1"/>
  <c r="BR17" i="1"/>
  <c r="BR15" i="1" s="1"/>
  <c r="BS27" i="1" l="1"/>
  <c r="BE25" i="26" s="1"/>
  <c r="BS26" i="1"/>
  <c r="BE24" i="26" s="1"/>
  <c r="BD26" i="26"/>
  <c r="BR10" i="1" s="1"/>
  <c r="BR14" i="1"/>
  <c r="BR38" i="1" l="1"/>
  <c r="BR33" i="1"/>
  <c r="BA4" i="24" s="1"/>
  <c r="BS16" i="1"/>
  <c r="BE26" i="26"/>
  <c r="BS10" i="1" s="1"/>
  <c r="BR12" i="1"/>
  <c r="BS29" i="1"/>
  <c r="BS28" i="1"/>
  <c r="BS17" i="1"/>
  <c r="BS15" i="1" s="1"/>
  <c r="BR39" i="1" l="1"/>
  <c r="BR42" i="1" s="1"/>
  <c r="BA4" i="32"/>
  <c r="BR58" i="1" s="1"/>
  <c r="BT26" i="1"/>
  <c r="BT27" i="1"/>
  <c r="BS14" i="1"/>
  <c r="BS12" i="1"/>
  <c r="BR107" i="1"/>
  <c r="BR108" i="1" s="1"/>
  <c r="BR138" i="1" s="1"/>
  <c r="BR35" i="1"/>
  <c r="BR59" i="1" l="1"/>
  <c r="BR61" i="1" s="1"/>
  <c r="BS38" i="1"/>
  <c r="BS33" i="1"/>
  <c r="BB4" i="32" s="1"/>
  <c r="BS58" i="1" s="1"/>
  <c r="BS59" i="1" s="1"/>
  <c r="BS61" i="1" s="1"/>
  <c r="BT16" i="1"/>
  <c r="BS39" i="1"/>
  <c r="BS42" i="1" s="1"/>
  <c r="BS107" i="1"/>
  <c r="BS108" i="1" s="1"/>
  <c r="BS138" i="1" s="1"/>
  <c r="BR40" i="1"/>
  <c r="BF25" i="26"/>
  <c r="BF24" i="26"/>
  <c r="BB4" i="24" l="1"/>
  <c r="BS35" i="1"/>
  <c r="BS40" i="1"/>
  <c r="BF26" i="26"/>
  <c r="BT10" i="1" s="1"/>
  <c r="BT29" i="1"/>
  <c r="BT17" i="1"/>
  <c r="BT15" i="1" s="1"/>
  <c r="BT28" i="1"/>
  <c r="BU26" i="1" l="1"/>
  <c r="BU27" i="1"/>
  <c r="BT14" i="1"/>
  <c r="BT33" i="1" s="1"/>
  <c r="BT38" i="1"/>
  <c r="BT12" i="1"/>
  <c r="BU16" i="1" l="1"/>
  <c r="BT39" i="1"/>
  <c r="BT42" i="1" s="1"/>
  <c r="BT107" i="1"/>
  <c r="BT108" i="1" s="1"/>
  <c r="BT138" i="1" s="1"/>
  <c r="BG25" i="26"/>
  <c r="BC4" i="24"/>
  <c r="BT35" i="1"/>
  <c r="BC4" i="32"/>
  <c r="BT58" i="1" s="1"/>
  <c r="BT59" i="1" l="1"/>
  <c r="BT61" i="1" s="1"/>
  <c r="BT40" i="1"/>
  <c r="BU17" i="1"/>
  <c r="BU15" i="1" s="1"/>
  <c r="BG24" i="26"/>
  <c r="BU29" i="1"/>
  <c r="BU28" i="1"/>
  <c r="BV26" i="1" l="1"/>
  <c r="BH24" i="26" s="1"/>
  <c r="BV27" i="1"/>
  <c r="BU14" i="1"/>
  <c r="BG26" i="26"/>
  <c r="BU10" i="1" s="1"/>
  <c r="BU38" i="1" l="1"/>
  <c r="BU33" i="1"/>
  <c r="BD4" i="24" s="1"/>
  <c r="BV16" i="1"/>
  <c r="BU12" i="1"/>
  <c r="BV29" i="1"/>
  <c r="BH25" i="26"/>
  <c r="BV28" i="1"/>
  <c r="BV17" i="1"/>
  <c r="BV15" i="1" s="1"/>
  <c r="BU39" i="1" l="1"/>
  <c r="BU42" i="1" s="1"/>
  <c r="BD4" i="32"/>
  <c r="BU58" i="1" s="1"/>
  <c r="BW26" i="1"/>
  <c r="BI24" i="26" s="1"/>
  <c r="BW27" i="1"/>
  <c r="BI25" i="26" s="1"/>
  <c r="BV14" i="1"/>
  <c r="BV33" i="1" s="1"/>
  <c r="BH26" i="26"/>
  <c r="BV10" i="1" s="1"/>
  <c r="BU107" i="1"/>
  <c r="BU108" i="1" s="1"/>
  <c r="BU138" i="1" s="1"/>
  <c r="BU35" i="1"/>
  <c r="BU59" i="1" l="1"/>
  <c r="BU61" i="1" s="1"/>
  <c r="BW16" i="1"/>
  <c r="BV38" i="1"/>
  <c r="BV12" i="1"/>
  <c r="BU40" i="1"/>
  <c r="BI26" i="26"/>
  <c r="BW10" i="1" s="1"/>
  <c r="BW17" i="1"/>
  <c r="BW15" i="1" s="1"/>
  <c r="BW29" i="1"/>
  <c r="BW28" i="1"/>
  <c r="BX26" i="1" l="1"/>
  <c r="BX27" i="1"/>
  <c r="BV107" i="1"/>
  <c r="BV108" i="1" s="1"/>
  <c r="BV138" i="1" s="1"/>
  <c r="BV39" i="1"/>
  <c r="BV42" i="1" s="1"/>
  <c r="BW14" i="1"/>
  <c r="BW33" i="1" s="1"/>
  <c r="BW12" i="1"/>
  <c r="BW38" i="1"/>
  <c r="BE4" i="24"/>
  <c r="BV35" i="1"/>
  <c r="BE4" i="32"/>
  <c r="BV58" i="1" s="1"/>
  <c r="BV59" i="1" s="1"/>
  <c r="BV61" i="1" s="1"/>
  <c r="BV40" i="1" l="1"/>
  <c r="BX16" i="1"/>
  <c r="BW107" i="1"/>
  <c r="BW108" i="1" s="1"/>
  <c r="BW138" i="1" s="1"/>
  <c r="BW39" i="1"/>
  <c r="BW42" i="1" s="1"/>
  <c r="BJ25" i="26"/>
  <c r="BJ24" i="26"/>
  <c r="BW40" i="1" l="1"/>
  <c r="BJ26" i="26"/>
  <c r="BX10" i="1" s="1"/>
  <c r="BX28" i="1"/>
  <c r="BW35" i="1"/>
  <c r="BF4" i="24"/>
  <c r="BF4" i="32"/>
  <c r="BW58" i="1" s="1"/>
  <c r="BW59" i="1" s="1"/>
  <c r="BW61" i="1" s="1"/>
  <c r="BX29" i="1"/>
  <c r="BX17" i="1"/>
  <c r="BX15" i="1" s="1"/>
  <c r="BY27" i="1" l="1"/>
  <c r="BY26" i="1"/>
  <c r="BX14" i="1"/>
  <c r="BX33" i="1" s="1"/>
  <c r="BX12" i="1"/>
  <c r="BX38" i="1"/>
  <c r="BY16" i="1" l="1"/>
  <c r="BX107" i="1"/>
  <c r="BX108" i="1" s="1"/>
  <c r="BX138" i="1" s="1"/>
  <c r="BX39" i="1"/>
  <c r="BX42" i="1" s="1"/>
  <c r="BK25" i="26"/>
  <c r="BG4" i="24"/>
  <c r="BG4" i="32"/>
  <c r="BX58" i="1" s="1"/>
  <c r="BX59" i="1" s="1"/>
  <c r="BX61" i="1" s="1"/>
  <c r="BX35" i="1"/>
  <c r="BX40" i="1" l="1"/>
  <c r="BY28" i="1"/>
  <c r="BY17" i="1"/>
  <c r="BY15" i="1" s="1"/>
  <c r="BK24" i="26"/>
  <c r="BY29" i="1"/>
  <c r="BZ27" i="1" l="1"/>
  <c r="BL25" i="26" s="1"/>
  <c r="BZ26" i="1"/>
  <c r="BL24" i="26" s="1"/>
  <c r="BY14" i="1"/>
  <c r="BY33" i="1" s="1"/>
  <c r="BH4" i="24" s="1"/>
  <c r="BK26" i="26"/>
  <c r="BY10" i="1" s="1"/>
  <c r="BZ16" i="1" l="1"/>
  <c r="BY38" i="1"/>
  <c r="BY12" i="1"/>
  <c r="BH4" i="32"/>
  <c r="BY58" i="1" s="1"/>
  <c r="BY59" i="1" s="1"/>
  <c r="BZ29" i="1"/>
  <c r="BL26" i="26"/>
  <c r="BZ10" i="1" s="1"/>
  <c r="BZ17" i="1"/>
  <c r="BZ15" i="1" s="1"/>
  <c r="BZ28" i="1"/>
  <c r="BY61" i="1" l="1"/>
  <c r="CA27" i="1"/>
  <c r="CA26" i="1"/>
  <c r="BY35" i="1"/>
  <c r="BY39" i="1"/>
  <c r="BY40" i="1" s="1"/>
  <c r="BZ14" i="1"/>
  <c r="BZ33" i="1" s="1"/>
  <c r="BY107" i="1"/>
  <c r="BY108" i="1" s="1"/>
  <c r="BY138" i="1" s="1"/>
  <c r="BZ12" i="1"/>
  <c r="CA16" i="1" l="1"/>
  <c r="BY42" i="1"/>
  <c r="BZ39" i="1"/>
  <c r="BZ107" i="1"/>
  <c r="BZ108" i="1" s="1"/>
  <c r="BZ138" i="1" s="1"/>
  <c r="BZ38" i="1"/>
  <c r="BM24" i="26"/>
  <c r="BM25" i="26"/>
  <c r="BI4" i="24"/>
  <c r="BZ35" i="1"/>
  <c r="BI4" i="32"/>
  <c r="BZ58" i="1" s="1"/>
  <c r="BZ59" i="1" s="1"/>
  <c r="BZ61" i="1" s="1"/>
  <c r="BZ40" i="1" l="1"/>
  <c r="BZ42" i="1"/>
  <c r="BM26" i="26"/>
  <c r="CA10" i="1" s="1"/>
  <c r="CA17" i="1"/>
  <c r="CA15" i="1" s="1"/>
  <c r="CA28" i="1"/>
  <c r="CA29" i="1"/>
  <c r="CB26" i="1" l="1"/>
  <c r="CB27" i="1"/>
  <c r="CA12" i="1"/>
  <c r="CA14" i="1"/>
  <c r="H16" i="5"/>
  <c r="CA38" i="1" l="1"/>
  <c r="CA33" i="1"/>
  <c r="BJ4" i="32" s="1"/>
  <c r="CA58" i="1" s="1"/>
  <c r="CA59" i="1" s="1"/>
  <c r="CA61" i="1" s="1"/>
  <c r="CB16" i="1"/>
  <c r="CA107" i="1"/>
  <c r="CA108" i="1" s="1"/>
  <c r="CA138" i="1" s="1"/>
  <c r="CA39" i="1"/>
  <c r="CA40" i="1" s="1"/>
  <c r="BN25" i="26"/>
  <c r="BN24" i="26"/>
  <c r="CA35" i="1" l="1"/>
  <c r="BJ4" i="24"/>
  <c r="CA42" i="1"/>
  <c r="H17" i="5" s="1"/>
  <c r="BN26" i="26"/>
  <c r="CB10" i="1" s="1"/>
  <c r="CB17" i="1"/>
  <c r="CB15" i="1" s="1"/>
  <c r="CB29" i="1"/>
  <c r="CB28" i="1"/>
  <c r="CC26" i="1" l="1"/>
  <c r="CC27" i="1"/>
  <c r="CB14" i="1"/>
  <c r="CB12" i="1"/>
  <c r="CB38" i="1" l="1"/>
  <c r="CB33" i="1"/>
  <c r="CB35" i="1" s="1"/>
  <c r="CB39" i="1"/>
  <c r="CB42" i="1" s="1"/>
  <c r="CC16" i="1"/>
  <c r="CB107" i="1"/>
  <c r="CB108" i="1" s="1"/>
  <c r="CB138" i="1" s="1"/>
  <c r="BO25" i="26"/>
  <c r="BO24" i="26"/>
  <c r="BK4" i="32" l="1"/>
  <c r="CB58" i="1" s="1"/>
  <c r="BK4" i="24"/>
  <c r="CB40" i="1"/>
  <c r="BO26" i="26"/>
  <c r="CC10" i="1" s="1"/>
  <c r="CC28" i="1"/>
  <c r="CC29" i="1"/>
  <c r="CC17" i="1"/>
  <c r="CC15" i="1" s="1"/>
  <c r="CB59" i="1" l="1"/>
  <c r="CB61" i="1" s="1"/>
  <c r="CD26" i="1"/>
  <c r="BP24" i="26" s="1"/>
  <c r="CD27" i="1"/>
  <c r="CC14" i="1"/>
  <c r="CC12" i="1"/>
  <c r="CC38" i="1" l="1"/>
  <c r="CC33" i="1"/>
  <c r="BL4" i="32" s="1"/>
  <c r="CC58" i="1" s="1"/>
  <c r="CC39" i="1"/>
  <c r="CC42" i="1" s="1"/>
  <c r="CD16" i="1"/>
  <c r="CD17" i="1"/>
  <c r="CD15" i="1" s="1"/>
  <c r="CD29" i="1"/>
  <c r="CD28" i="1"/>
  <c r="BP25" i="26"/>
  <c r="BP26" i="26" s="1"/>
  <c r="CD10" i="1" s="1"/>
  <c r="CC107" i="1"/>
  <c r="CC108" i="1" s="1"/>
  <c r="CC138" i="1" s="1"/>
  <c r="CC59" i="1" l="1"/>
  <c r="CC61" i="1" s="1"/>
  <c r="BL4" i="24"/>
  <c r="CC35" i="1"/>
  <c r="CE26" i="1"/>
  <c r="BQ24" i="26" s="1"/>
  <c r="CE27" i="1"/>
  <c r="CD14" i="1"/>
  <c r="CD33" i="1" s="1"/>
  <c r="BM4" i="32" s="1"/>
  <c r="CD58" i="1" s="1"/>
  <c r="CD59" i="1" s="1"/>
  <c r="CD38" i="1"/>
  <c r="CC40" i="1"/>
  <c r="CD12" i="1"/>
  <c r="CD61" i="1" l="1"/>
  <c r="BM4" i="24"/>
  <c r="CE16" i="1"/>
  <c r="CD35" i="1"/>
  <c r="CD39" i="1"/>
  <c r="CD42" i="1" s="1"/>
  <c r="BQ25" i="26"/>
  <c r="BQ26" i="26" s="1"/>
  <c r="CE10" i="1" s="1"/>
  <c r="CD107" i="1"/>
  <c r="CD108" i="1" s="1"/>
  <c r="CD138" i="1" s="1"/>
  <c r="CE17" i="1" l="1"/>
  <c r="CE15" i="1" s="1"/>
  <c r="CE28" i="1"/>
  <c r="CE29" i="1"/>
  <c r="CD40" i="1"/>
  <c r="CE12" i="1"/>
  <c r="CF26" i="1" l="1"/>
  <c r="BR24" i="26" s="1"/>
  <c r="CF27" i="1"/>
  <c r="BR25" i="26" s="1"/>
  <c r="CE14" i="1"/>
  <c r="CE107" i="1"/>
  <c r="CE108" i="1" s="1"/>
  <c r="CE138" i="1" s="1"/>
  <c r="CE38" i="1" l="1"/>
  <c r="CE33" i="1"/>
  <c r="BN4" i="32" s="1"/>
  <c r="CE58" i="1" s="1"/>
  <c r="CF16" i="1"/>
  <c r="CE39" i="1"/>
  <c r="BR26" i="26"/>
  <c r="CF10" i="1" s="1"/>
  <c r="CF29" i="1"/>
  <c r="CF28" i="1"/>
  <c r="CF17" i="1"/>
  <c r="CF15" i="1" s="1"/>
  <c r="CE59" i="1" l="1"/>
  <c r="CE61" i="1" s="1"/>
  <c r="BN4" i="24"/>
  <c r="CE35" i="1"/>
  <c r="CG27" i="1"/>
  <c r="CG26" i="1"/>
  <c r="CE42" i="1"/>
  <c r="CE40" i="1"/>
  <c r="CF14" i="1"/>
  <c r="CF12" i="1"/>
  <c r="CF39" i="1" l="1"/>
  <c r="CF42" i="1" s="1"/>
  <c r="CF38" i="1"/>
  <c r="CF33" i="1"/>
  <c r="CF35" i="1" s="1"/>
  <c r="CG16" i="1"/>
  <c r="CF107" i="1"/>
  <c r="CF108" i="1" s="1"/>
  <c r="CF138" i="1" s="1"/>
  <c r="BS25" i="26"/>
  <c r="BS24" i="26"/>
  <c r="CF40" i="1" l="1"/>
  <c r="BO4" i="32"/>
  <c r="CF58" i="1" s="1"/>
  <c r="BO4" i="24"/>
  <c r="BS26" i="26"/>
  <c r="CG10" i="1" s="1"/>
  <c r="CG28" i="1"/>
  <c r="CG17" i="1"/>
  <c r="CG15" i="1" s="1"/>
  <c r="CG29" i="1"/>
  <c r="CF59" i="1" l="1"/>
  <c r="CF61" i="1" s="1"/>
  <c r="CH27" i="1"/>
  <c r="CH26" i="1"/>
  <c r="CG14" i="1"/>
  <c r="CG12" i="1"/>
  <c r="CG107" i="1" l="1"/>
  <c r="CG108" i="1" s="1"/>
  <c r="CG138" i="1" s="1"/>
  <c r="CG38" i="1"/>
  <c r="CG33" i="1"/>
  <c r="CH16" i="1"/>
  <c r="CG39" i="1"/>
  <c r="CG42" i="1" s="1"/>
  <c r="BT25" i="26"/>
  <c r="CH17" i="1" l="1"/>
  <c r="CH15" i="1" s="1"/>
  <c r="CG40" i="1"/>
  <c r="CH28" i="1"/>
  <c r="BT24" i="26"/>
  <c r="CH29" i="1"/>
  <c r="CG35" i="1"/>
  <c r="BP4" i="24"/>
  <c r="BP4" i="32"/>
  <c r="CG58" i="1" s="1"/>
  <c r="CG59" i="1" l="1"/>
  <c r="CG61" i="1" s="1"/>
  <c r="CI27" i="1"/>
  <c r="BU25" i="26" s="1"/>
  <c r="CI26" i="1"/>
  <c r="CH14" i="1"/>
  <c r="CH33" i="1" s="1"/>
  <c r="CH38" i="1"/>
  <c r="BT26" i="26"/>
  <c r="CH10" i="1" s="1"/>
  <c r="CI16" i="1" l="1"/>
  <c r="BU24" i="26"/>
  <c r="BU26" i="26" s="1"/>
  <c r="CI10" i="1" s="1"/>
  <c r="CH12" i="1"/>
  <c r="CI17" i="1"/>
  <c r="CI15" i="1" s="1"/>
  <c r="BQ4" i="24"/>
  <c r="BQ4" i="32"/>
  <c r="CH58" i="1" s="1"/>
  <c r="CH59" i="1" s="1"/>
  <c r="CI29" i="1"/>
  <c r="CI28" i="1"/>
  <c r="CH35" i="1" l="1"/>
  <c r="CH61" i="1"/>
  <c r="CH107" i="1"/>
  <c r="CH108" i="1" s="1"/>
  <c r="CH138" i="1" s="1"/>
  <c r="CJ26" i="1"/>
  <c r="CJ27" i="1"/>
  <c r="CH39" i="1"/>
  <c r="CH42" i="1" s="1"/>
  <c r="CI14" i="1"/>
  <c r="CI33" i="1" s="1"/>
  <c r="CI12" i="1"/>
  <c r="CJ16" i="1" l="1"/>
  <c r="CH40" i="1"/>
  <c r="CI107" i="1"/>
  <c r="CI108" i="1" s="1"/>
  <c r="CI138" i="1" s="1"/>
  <c r="CI39" i="1"/>
  <c r="CI42" i="1" s="1"/>
  <c r="CI38" i="1"/>
  <c r="BV24" i="26"/>
  <c r="BV25" i="26"/>
  <c r="CI35" i="1"/>
  <c r="BR4" i="24"/>
  <c r="BR4" i="32"/>
  <c r="CI58" i="1" s="1"/>
  <c r="CI59" i="1" s="1"/>
  <c r="CI61" i="1" s="1"/>
  <c r="CI40" i="1" l="1"/>
  <c r="BV26" i="26"/>
  <c r="CJ10" i="1" s="1"/>
  <c r="CJ29" i="1"/>
  <c r="CJ17" i="1"/>
  <c r="CJ15" i="1" s="1"/>
  <c r="CJ28" i="1"/>
  <c r="CK26" i="1" l="1"/>
  <c r="CK27" i="1"/>
  <c r="CJ14" i="1"/>
  <c r="CJ33" i="1" s="1"/>
  <c r="CJ12" i="1"/>
  <c r="CK16" i="1" l="1"/>
  <c r="CJ39" i="1"/>
  <c r="CJ42" i="1" s="1"/>
  <c r="CJ38" i="1"/>
  <c r="CJ107" i="1"/>
  <c r="CJ108" i="1" s="1"/>
  <c r="CJ138" i="1" s="1"/>
  <c r="BW25" i="26"/>
  <c r="BW24" i="26"/>
  <c r="CJ35" i="1"/>
  <c r="BS4" i="24"/>
  <c r="BS4" i="32"/>
  <c r="CJ58" i="1" s="1"/>
  <c r="CJ59" i="1" s="1"/>
  <c r="CJ61" i="1" s="1"/>
  <c r="CJ40" i="1" l="1"/>
  <c r="CK17" i="1"/>
  <c r="CK15" i="1" s="1"/>
  <c r="CK29" i="1"/>
  <c r="BW26" i="26"/>
  <c r="CK10" i="1" s="1"/>
  <c r="CK28" i="1"/>
  <c r="CL26" i="1" l="1"/>
  <c r="BX24" i="26" s="1"/>
  <c r="CL27" i="1"/>
  <c r="CK14" i="1"/>
  <c r="CK33" i="1" s="1"/>
  <c r="BT4" i="24" s="1"/>
  <c r="CK12" i="1"/>
  <c r="CK38" i="1"/>
  <c r="CL16" i="1" l="1"/>
  <c r="CK107" i="1"/>
  <c r="CK108" i="1" s="1"/>
  <c r="CK138" i="1" s="1"/>
  <c r="CK39" i="1"/>
  <c r="CK42" i="1" s="1"/>
  <c r="CL28" i="1"/>
  <c r="BT4" i="32"/>
  <c r="CK58" i="1" s="1"/>
  <c r="CK59" i="1" s="1"/>
  <c r="CK61" i="1" s="1"/>
  <c r="CK35" i="1"/>
  <c r="CL29" i="1"/>
  <c r="CL17" i="1"/>
  <c r="CL15" i="1" s="1"/>
  <c r="BX25" i="26"/>
  <c r="BX26" i="26" s="1"/>
  <c r="CL10" i="1" s="1"/>
  <c r="CM26" i="1" l="1"/>
  <c r="BY24" i="26" s="1"/>
  <c r="CM27" i="1"/>
  <c r="BY25" i="26" s="1"/>
  <c r="CL14" i="1"/>
  <c r="CK40" i="1"/>
  <c r="CL12" i="1"/>
  <c r="CL38" i="1" l="1"/>
  <c r="CL33" i="1"/>
  <c r="BU4" i="24" s="1"/>
  <c r="CM16" i="1"/>
  <c r="CL39" i="1"/>
  <c r="CL42" i="1" s="1"/>
  <c r="CL107" i="1"/>
  <c r="CL108" i="1" s="1"/>
  <c r="CL138" i="1" s="1"/>
  <c r="BY26" i="26"/>
  <c r="CM10" i="1" s="1"/>
  <c r="CM29" i="1"/>
  <c r="CM28" i="1"/>
  <c r="CM17" i="1"/>
  <c r="CM15" i="1" s="1"/>
  <c r="CL35" i="1" l="1"/>
  <c r="BU4" i="32"/>
  <c r="CL58" i="1" s="1"/>
  <c r="CL59" i="1" s="1"/>
  <c r="CL61" i="1" s="1"/>
  <c r="CN26" i="1"/>
  <c r="CN27" i="1"/>
  <c r="CL40" i="1"/>
  <c r="CM12" i="1"/>
  <c r="CM14" i="1"/>
  <c r="I16" i="5"/>
  <c r="CM38" i="1" l="1"/>
  <c r="CM33" i="1"/>
  <c r="BV4" i="24" s="1"/>
  <c r="CN16" i="1"/>
  <c r="CM39" i="1"/>
  <c r="CM42" i="1" s="1"/>
  <c r="CM107" i="1"/>
  <c r="CM108" i="1" s="1"/>
  <c r="CM138" i="1" s="1"/>
  <c r="BZ25" i="26"/>
  <c r="BZ24" i="26"/>
  <c r="BV4" i="32" l="1"/>
  <c r="CM58" i="1" s="1"/>
  <c r="CM59" i="1" s="1"/>
  <c r="CM61" i="1" s="1"/>
  <c r="CM35" i="1"/>
  <c r="CM40" i="1"/>
  <c r="I17" i="5"/>
  <c r="BZ26" i="26"/>
  <c r="CN10" i="1" s="1"/>
  <c r="CN17" i="1"/>
  <c r="CN15" i="1" s="1"/>
  <c r="CN29" i="1"/>
  <c r="CN28" i="1"/>
  <c r="CO27" i="1" l="1"/>
  <c r="CO26" i="1"/>
  <c r="CN14" i="1"/>
  <c r="CN12" i="1"/>
  <c r="CN38" i="1" l="1"/>
  <c r="CN33" i="1"/>
  <c r="BW4" i="24" s="1"/>
  <c r="CO16" i="1"/>
  <c r="CN39" i="1"/>
  <c r="CN42" i="1" s="1"/>
  <c r="CN107" i="1"/>
  <c r="CN108" i="1" s="1"/>
  <c r="CN138" i="1" s="1"/>
  <c r="CA25" i="26"/>
  <c r="CA24" i="26"/>
  <c r="BW4" i="32" l="1"/>
  <c r="CN58" i="1" s="1"/>
  <c r="CN59" i="1" s="1"/>
  <c r="CN61" i="1" s="1"/>
  <c r="CN35" i="1"/>
  <c r="CN40" i="1"/>
  <c r="CA26" i="26"/>
  <c r="CO10" i="1" s="1"/>
  <c r="CO29" i="1"/>
  <c r="CO17" i="1"/>
  <c r="CO15" i="1" s="1"/>
  <c r="CO28" i="1"/>
  <c r="CP27" i="1" l="1"/>
  <c r="CP26" i="1"/>
  <c r="CO14" i="1"/>
  <c r="CO12" i="1"/>
  <c r="CO38" i="1" l="1"/>
  <c r="CO33" i="1"/>
  <c r="BX4" i="24" s="1"/>
  <c r="CP16" i="1"/>
  <c r="CO39" i="1"/>
  <c r="CO42" i="1" s="1"/>
  <c r="CO107" i="1"/>
  <c r="CO108" i="1" s="1"/>
  <c r="CO138" i="1" s="1"/>
  <c r="CB24" i="26"/>
  <c r="CB25" i="26"/>
  <c r="BX4" i="32" l="1"/>
  <c r="CO58" i="1" s="1"/>
  <c r="CO59" i="1" s="1"/>
  <c r="CO61" i="1" s="1"/>
  <c r="CO35" i="1"/>
  <c r="CO40" i="1"/>
  <c r="CP28" i="1"/>
  <c r="CB26" i="26"/>
  <c r="CP10" i="1" s="1"/>
  <c r="CP29" i="1"/>
  <c r="CP17" i="1"/>
  <c r="CP15" i="1" s="1"/>
  <c r="CQ27" i="1" l="1"/>
  <c r="CQ26" i="1"/>
  <c r="CP14" i="1"/>
  <c r="CP12" i="1"/>
  <c r="CQ16" i="1" l="1"/>
  <c r="CP38" i="1"/>
  <c r="CP33" i="1"/>
  <c r="CP35" i="1" s="1"/>
  <c r="CP107" i="1"/>
  <c r="CP108" i="1" s="1"/>
  <c r="CP138" i="1" s="1"/>
  <c r="CP39" i="1"/>
  <c r="CP42" i="1" s="1"/>
  <c r="CC24" i="26"/>
  <c r="CC25" i="26"/>
  <c r="BY4" i="32" l="1"/>
  <c r="CP58" i="1" s="1"/>
  <c r="CP59" i="1" s="1"/>
  <c r="CP61" i="1" s="1"/>
  <c r="BY4" i="24"/>
  <c r="CP40" i="1"/>
  <c r="CQ17" i="1"/>
  <c r="CQ15" i="1" s="1"/>
  <c r="CC26" i="26"/>
  <c r="CQ10" i="1" s="1"/>
  <c r="CQ29" i="1"/>
  <c r="CQ28" i="1"/>
  <c r="CR26" i="1" l="1"/>
  <c r="CR27" i="1"/>
  <c r="CQ14" i="1"/>
  <c r="CQ33" i="1" s="1"/>
  <c r="CQ12" i="1"/>
  <c r="CQ38" i="1"/>
  <c r="CR16" i="1" l="1"/>
  <c r="CQ107" i="1"/>
  <c r="CQ108" i="1" s="1"/>
  <c r="CQ138" i="1" s="1"/>
  <c r="CQ39" i="1"/>
  <c r="CQ42" i="1" s="1"/>
  <c r="CQ35" i="1"/>
  <c r="BZ4" i="24"/>
  <c r="BZ4" i="32"/>
  <c r="CQ58" i="1" s="1"/>
  <c r="CQ59" i="1" s="1"/>
  <c r="CQ61" i="1" s="1"/>
  <c r="CD24" i="26"/>
  <c r="CD25" i="26"/>
  <c r="CQ40" i="1" l="1"/>
  <c r="CD26" i="26"/>
  <c r="CR10" i="1" s="1"/>
  <c r="CR29" i="1"/>
  <c r="CR28" i="1"/>
  <c r="CR17" i="1"/>
  <c r="CR15" i="1" s="1"/>
  <c r="CS26" i="1" l="1"/>
  <c r="CS27" i="1"/>
  <c r="CE25" i="26" s="1"/>
  <c r="CR14" i="1"/>
  <c r="CR12" i="1"/>
  <c r="CR38" i="1" l="1"/>
  <c r="CR33" i="1"/>
  <c r="CR35" i="1" s="1"/>
  <c r="CS16" i="1"/>
  <c r="CR39" i="1"/>
  <c r="CR42" i="1" s="1"/>
  <c r="CR107" i="1"/>
  <c r="CR108" i="1" s="1"/>
  <c r="CR138" i="1" s="1"/>
  <c r="CE24" i="26"/>
  <c r="CA4" i="32" l="1"/>
  <c r="CR58" i="1" s="1"/>
  <c r="CR59" i="1" s="1"/>
  <c r="CR61" i="1" s="1"/>
  <c r="CA4" i="24"/>
  <c r="CR40" i="1"/>
  <c r="CE26" i="26"/>
  <c r="CS10" i="1" s="1"/>
  <c r="CS29" i="1"/>
  <c r="CS17" i="1"/>
  <c r="CS15" i="1" s="1"/>
  <c r="CS28" i="1"/>
  <c r="CT26" i="1" l="1"/>
  <c r="CT27" i="1"/>
  <c r="CS12" i="1"/>
  <c r="CS14" i="1"/>
  <c r="CS38" i="1" l="1"/>
  <c r="CS33" i="1"/>
  <c r="CS107" i="1"/>
  <c r="CS108" i="1" s="1"/>
  <c r="CS138" i="1" s="1"/>
  <c r="CT16" i="1"/>
  <c r="CS39" i="1"/>
  <c r="CS42" i="1" s="1"/>
  <c r="CF24" i="26"/>
  <c r="CF25" i="26"/>
  <c r="CS40" i="1" l="1"/>
  <c r="CF26" i="26"/>
  <c r="CT10" i="1" s="1"/>
  <c r="CB4" i="24"/>
  <c r="CS35" i="1"/>
  <c r="CB4" i="32"/>
  <c r="CS58" i="1" s="1"/>
  <c r="CS59" i="1" s="1"/>
  <c r="CS61" i="1" s="1"/>
  <c r="CT29" i="1"/>
  <c r="CT17" i="1"/>
  <c r="CT15" i="1" s="1"/>
  <c r="CT28" i="1"/>
  <c r="CU26" i="1" l="1"/>
  <c r="CU27" i="1"/>
  <c r="CT14" i="1"/>
  <c r="CT33" i="1" s="1"/>
  <c r="CT12" i="1"/>
  <c r="CT38" i="1"/>
  <c r="CU16" i="1" l="1"/>
  <c r="CT39" i="1"/>
  <c r="CT42" i="1" s="1"/>
  <c r="CT107" i="1"/>
  <c r="CT108" i="1" s="1"/>
  <c r="CT138" i="1" s="1"/>
  <c r="CG25" i="26"/>
  <c r="CG24" i="26"/>
  <c r="CT40" i="1" l="1"/>
  <c r="CG26" i="26"/>
  <c r="CU10" i="1" s="1"/>
  <c r="CT35" i="1"/>
  <c r="CC4" i="24"/>
  <c r="CC4" i="32"/>
  <c r="CT58" i="1" s="1"/>
  <c r="CT59" i="1" s="1"/>
  <c r="CT61" i="1" s="1"/>
  <c r="CU28" i="1"/>
  <c r="CU17" i="1"/>
  <c r="CU15" i="1" s="1"/>
  <c r="CU29" i="1"/>
  <c r="CV26" i="1" l="1"/>
  <c r="CV27" i="1"/>
  <c r="CU14" i="1"/>
  <c r="CU33" i="1" s="1"/>
  <c r="CU12" i="1"/>
  <c r="CV16" i="1" l="1"/>
  <c r="CU39" i="1"/>
  <c r="CU42" i="1" s="1"/>
  <c r="CU38" i="1"/>
  <c r="CU107" i="1"/>
  <c r="CU108" i="1" s="1"/>
  <c r="CU138" i="1" s="1"/>
  <c r="CH25" i="26"/>
  <c r="CH24" i="26"/>
  <c r="CU40" i="1" l="1"/>
  <c r="CH26" i="26"/>
  <c r="CV10" i="1" s="1"/>
  <c r="CU35" i="1"/>
  <c r="CD4" i="32"/>
  <c r="CU58" i="1" s="1"/>
  <c r="CU59" i="1" s="1"/>
  <c r="CU61" i="1" s="1"/>
  <c r="CD4" i="24"/>
  <c r="CV17" i="1"/>
  <c r="CV15" i="1" s="1"/>
  <c r="CV28" i="1"/>
  <c r="CV29" i="1"/>
  <c r="CW27" i="1" l="1"/>
  <c r="CW26" i="1"/>
  <c r="CV14" i="1"/>
  <c r="CV33" i="1" s="1"/>
  <c r="CV12" i="1"/>
  <c r="CW16" i="1" l="1"/>
  <c r="CV107" i="1"/>
  <c r="CV108" i="1" s="1"/>
  <c r="CV138" i="1" s="1"/>
  <c r="CV39" i="1"/>
  <c r="CV42" i="1" s="1"/>
  <c r="CV38" i="1"/>
  <c r="CI25" i="26"/>
  <c r="CE4" i="24"/>
  <c r="CE4" i="32"/>
  <c r="CV58" i="1" s="1"/>
  <c r="CV59" i="1" s="1"/>
  <c r="CV61" i="1" s="1"/>
  <c r="CV35" i="1"/>
  <c r="CV40" i="1" l="1"/>
  <c r="CW17" i="1"/>
  <c r="CW15" i="1" s="1"/>
  <c r="CW28" i="1"/>
  <c r="CW29" i="1"/>
  <c r="CI24" i="26"/>
  <c r="CX27" i="1" l="1"/>
  <c r="CJ25" i="26" s="1"/>
  <c r="CX26" i="1"/>
  <c r="CJ24" i="26" s="1"/>
  <c r="CW14" i="1"/>
  <c r="CI26" i="26"/>
  <c r="CW10" i="1" s="1"/>
  <c r="CX16" i="1" l="1"/>
  <c r="CW38" i="1"/>
  <c r="CW33" i="1"/>
  <c r="CF4" i="32" s="1"/>
  <c r="CW58" i="1" s="1"/>
  <c r="CW59" i="1" s="1"/>
  <c r="CW12" i="1"/>
  <c r="CJ26" i="26"/>
  <c r="CX10" i="1" s="1"/>
  <c r="CX17" i="1"/>
  <c r="CX15" i="1" s="1"/>
  <c r="CX28" i="1"/>
  <c r="CX29" i="1"/>
  <c r="CW61" i="1" l="1"/>
  <c r="CF4" i="24"/>
  <c r="CY27" i="1"/>
  <c r="CY26" i="1"/>
  <c r="CW35" i="1"/>
  <c r="CW39" i="1"/>
  <c r="CW42" i="1" s="1"/>
  <c r="CX14" i="1"/>
  <c r="CW107" i="1"/>
  <c r="CW108" i="1" s="1"/>
  <c r="CW138" i="1" s="1"/>
  <c r="CX12" i="1"/>
  <c r="CY16" i="1" l="1"/>
  <c r="CX38" i="1"/>
  <c r="CX33" i="1"/>
  <c r="CX35" i="1" s="1"/>
  <c r="CX39" i="1"/>
  <c r="CX42" i="1" s="1"/>
  <c r="CW40" i="1"/>
  <c r="CX107" i="1"/>
  <c r="CX108" i="1" s="1"/>
  <c r="CX138" i="1" s="1"/>
  <c r="CK24" i="26"/>
  <c r="CK25" i="26"/>
  <c r="CG4" i="32" l="1"/>
  <c r="CX58" i="1" s="1"/>
  <c r="CX59" i="1" s="1"/>
  <c r="CX61" i="1" s="1"/>
  <c r="CG4" i="24"/>
  <c r="CX40" i="1"/>
  <c r="CK26" i="26"/>
  <c r="CY10" i="1" s="1"/>
  <c r="CY29" i="1"/>
  <c r="CY17" i="1"/>
  <c r="CY15" i="1" s="1"/>
  <c r="CY28" i="1"/>
  <c r="CY14" i="1" l="1"/>
  <c r="CY33" i="1" s="1"/>
  <c r="CY38" i="1"/>
  <c r="CY12" i="1"/>
  <c r="E13" i="5"/>
  <c r="E15" i="5" s="1"/>
  <c r="F13" i="5"/>
  <c r="F15" i="5" s="1"/>
  <c r="G13" i="5"/>
  <c r="G15" i="5" s="1"/>
  <c r="H13" i="5"/>
  <c r="H15" i="5" s="1"/>
  <c r="I13" i="5"/>
  <c r="I15" i="5" s="1"/>
  <c r="CY39" i="1" l="1"/>
  <c r="CY42" i="1" s="1"/>
  <c r="H18" i="5"/>
  <c r="F18" i="5"/>
  <c r="G18" i="5"/>
  <c r="I18" i="5"/>
  <c r="E18" i="5"/>
  <c r="CY107" i="1"/>
  <c r="CY108" i="1" s="1"/>
  <c r="CY138" i="1" s="1"/>
  <c r="CY35" i="1"/>
  <c r="CH4" i="32"/>
  <c r="CY58" i="1" s="1"/>
  <c r="CH4" i="24"/>
  <c r="CY59" i="1" l="1"/>
  <c r="CY61" i="1" s="1"/>
  <c r="E20" i="5"/>
  <c r="E21" i="5" s="1"/>
  <c r="E22" i="5" s="1"/>
  <c r="F20" i="5"/>
  <c r="F21" i="5" s="1"/>
  <c r="F22" i="5" s="1"/>
  <c r="G20" i="5"/>
  <c r="G21" i="5" s="1"/>
  <c r="G22" i="5" s="1"/>
  <c r="H20" i="5"/>
  <c r="H21" i="5" s="1"/>
  <c r="H22" i="5" s="1"/>
  <c r="I20" i="5"/>
  <c r="I21" i="5" s="1"/>
  <c r="I22" i="5" s="1"/>
  <c r="CY40" i="1"/>
  <c r="Z86" i="1" l="1"/>
  <c r="AD86" i="1" s="1"/>
  <c r="AD74" i="1" s="1"/>
  <c r="AD80" i="1" s="1"/>
  <c r="Z80" i="1"/>
  <c r="AB44" i="1" s="1"/>
  <c r="AB46" i="1" s="1"/>
  <c r="AD87" i="1" l="1"/>
  <c r="AD82" i="1"/>
  <c r="AD83" i="1"/>
  <c r="AD84" i="1" s="1"/>
  <c r="Z83" i="1"/>
  <c r="Z84" i="1" s="1"/>
  <c r="Z41" i="1" s="1"/>
  <c r="Z43" i="1" s="1"/>
  <c r="I23" i="25"/>
  <c r="I24" i="25" s="1"/>
  <c r="I26" i="25" s="1"/>
  <c r="Z44" i="1"/>
  <c r="Z87" i="1"/>
  <c r="Z82" i="1"/>
  <c r="H23" i="25"/>
  <c r="D22" i="20"/>
  <c r="AD92" i="1" l="1"/>
  <c r="AD85" i="1"/>
  <c r="P38" i="31"/>
  <c r="P45" i="31" s="1"/>
  <c r="P46" i="31" s="1"/>
  <c r="Z92" i="1"/>
  <c r="Z137" i="1" s="1"/>
  <c r="Z140" i="1" s="1"/>
  <c r="Z146" i="1" s="1"/>
  <c r="I35" i="25" s="1"/>
  <c r="Z85" i="1"/>
  <c r="I27" i="25"/>
  <c r="I30" i="25"/>
  <c r="I31" i="25" s="1"/>
  <c r="J23" i="25"/>
  <c r="J24" i="25" s="1"/>
  <c r="J26" i="25" s="1"/>
  <c r="J30" i="25" s="1"/>
  <c r="J31" i="25" s="1"/>
  <c r="J36" i="25"/>
  <c r="Z45" i="1"/>
  <c r="I36" i="25"/>
  <c r="I40" i="25" s="1"/>
  <c r="H24" i="25"/>
  <c r="H26" i="25" s="1"/>
  <c r="Z46" i="1"/>
  <c r="D23" i="20"/>
  <c r="E22" i="20"/>
  <c r="AD132" i="1" l="1"/>
  <c r="AD127" i="1" s="1"/>
  <c r="AC44" i="1"/>
  <c r="AC41" i="1"/>
  <c r="AE38" i="31"/>
  <c r="AD38" i="31"/>
  <c r="Z129" i="1"/>
  <c r="Z130" i="1" s="1"/>
  <c r="Z131" i="1" s="1"/>
  <c r="Z133" i="1" s="1"/>
  <c r="AA41" i="1"/>
  <c r="AA46" i="1" s="1"/>
  <c r="AA44" i="1"/>
  <c r="J27" i="25"/>
  <c r="AD44" i="1"/>
  <c r="AE86" i="1"/>
  <c r="D25" i="20"/>
  <c r="E23" i="20"/>
  <c r="L23" i="25"/>
  <c r="L24" i="25" s="1"/>
  <c r="L26" i="25" s="1"/>
  <c r="H30" i="25"/>
  <c r="H31" i="25" s="1"/>
  <c r="H27" i="25"/>
  <c r="H35" i="25"/>
  <c r="D33" i="20"/>
  <c r="E33" i="20" s="1"/>
  <c r="Z149" i="1"/>
  <c r="AC43" i="1" l="1"/>
  <c r="AC45" i="1" s="1"/>
  <c r="AC46" i="1"/>
  <c r="P51" i="31"/>
  <c r="AD51" i="31" s="1"/>
  <c r="AA129" i="1"/>
  <c r="AB129" i="1" s="1"/>
  <c r="AE45" i="31"/>
  <c r="AD45" i="31"/>
  <c r="AA43" i="1"/>
  <c r="AA45" i="1" s="1"/>
  <c r="AB43" i="1"/>
  <c r="AB45" i="1" s="1"/>
  <c r="AA137" i="1"/>
  <c r="AA140" i="1" s="1"/>
  <c r="L36" i="25"/>
  <c r="L27" i="25"/>
  <c r="L30" i="25"/>
  <c r="L31" i="25" s="1"/>
  <c r="E25" i="20"/>
  <c r="D26" i="20"/>
  <c r="E26" i="20" s="1"/>
  <c r="D29" i="20"/>
  <c r="AD41" i="1"/>
  <c r="AD43" i="1" s="1"/>
  <c r="AD45" i="1" s="1"/>
  <c r="M23" i="25"/>
  <c r="M24" i="25" s="1"/>
  <c r="M26" i="25" s="1"/>
  <c r="AE74" i="1"/>
  <c r="AE80" i="1" s="1"/>
  <c r="AE44" i="1" s="1"/>
  <c r="AF86" i="1"/>
  <c r="Z150" i="1"/>
  <c r="D32" i="20"/>
  <c r="E32" i="20" s="1"/>
  <c r="AA148" i="1"/>
  <c r="AA130" i="1" l="1"/>
  <c r="AA131" i="1" s="1"/>
  <c r="AA133" i="1" s="1"/>
  <c r="AB130" i="1"/>
  <c r="AB131" i="1" s="1"/>
  <c r="AB133" i="1" s="1"/>
  <c r="AC129" i="1"/>
  <c r="AE51" i="31"/>
  <c r="AD46" i="1"/>
  <c r="AD46" i="31"/>
  <c r="P47" i="31"/>
  <c r="AE46" i="31"/>
  <c r="P52" i="31"/>
  <c r="J37" i="25"/>
  <c r="L37" i="25"/>
  <c r="AC137" i="1"/>
  <c r="AC140" i="1" s="1"/>
  <c r="M36" i="25"/>
  <c r="AF74" i="1"/>
  <c r="AF80" i="1" s="1"/>
  <c r="C24" i="35" s="1"/>
  <c r="AG86" i="1"/>
  <c r="E29" i="20"/>
  <c r="D30" i="20"/>
  <c r="E30" i="20" s="1"/>
  <c r="M30" i="25"/>
  <c r="M31" i="25" s="1"/>
  <c r="M27" i="25"/>
  <c r="AE83" i="1"/>
  <c r="AE84" i="1" s="1"/>
  <c r="AE82" i="1"/>
  <c r="N23" i="25"/>
  <c r="N24" i="25" s="1"/>
  <c r="N26" i="25" s="1"/>
  <c r="AE87" i="1"/>
  <c r="H22" i="20"/>
  <c r="AC130" i="1" l="1"/>
  <c r="AC131" i="1" s="1"/>
  <c r="AC133" i="1" s="1"/>
  <c r="AD129" i="1"/>
  <c r="AD130" i="1" s="1"/>
  <c r="AD131" i="1" s="1"/>
  <c r="C25" i="35"/>
  <c r="C27" i="35" s="1"/>
  <c r="AD47" i="31"/>
  <c r="AE47" i="31"/>
  <c r="AE52" i="31"/>
  <c r="AD52" i="31"/>
  <c r="AA143" i="1"/>
  <c r="AA144" i="1" s="1"/>
  <c r="AA146" i="1" s="1"/>
  <c r="AG74" i="1"/>
  <c r="AG80" i="1" s="1"/>
  <c r="D24" i="35" s="1"/>
  <c r="D25" i="35" s="1"/>
  <c r="D27" i="35" s="1"/>
  <c r="AH86" i="1"/>
  <c r="AD137" i="1"/>
  <c r="AD140" i="1" s="1"/>
  <c r="N36" i="25"/>
  <c r="N30" i="25"/>
  <c r="N31" i="25" s="1"/>
  <c r="N27" i="25"/>
  <c r="AE85" i="1"/>
  <c r="AE92" i="1"/>
  <c r="AE41" i="1"/>
  <c r="AF83" i="1"/>
  <c r="AF84" i="1" s="1"/>
  <c r="AF82" i="1"/>
  <c r="AF87" i="1"/>
  <c r="H23" i="20"/>
  <c r="AF44" i="1"/>
  <c r="C37" i="35" l="1"/>
  <c r="C31" i="35"/>
  <c r="C32" i="35" s="1"/>
  <c r="C28" i="35"/>
  <c r="D28" i="35"/>
  <c r="D31" i="35"/>
  <c r="D32" i="35" s="1"/>
  <c r="AA149" i="1"/>
  <c r="AB148" i="1" s="1"/>
  <c r="J35" i="25"/>
  <c r="AE43" i="1"/>
  <c r="AE45" i="1" s="1"/>
  <c r="AE46" i="1"/>
  <c r="AH74" i="1"/>
  <c r="AH80" i="1" s="1"/>
  <c r="E24" i="35" s="1"/>
  <c r="E25" i="35" s="1"/>
  <c r="E27" i="35" s="1"/>
  <c r="AI86" i="1"/>
  <c r="AE132" i="1"/>
  <c r="N37" i="25" s="1"/>
  <c r="AE137" i="1"/>
  <c r="AE140" i="1" s="1"/>
  <c r="AG82" i="1"/>
  <c r="AG87" i="1"/>
  <c r="C38" i="25" s="1"/>
  <c r="AG83" i="1"/>
  <c r="AG84" i="1" s="1"/>
  <c r="M37" i="25"/>
  <c r="AF85" i="1"/>
  <c r="AF92" i="1"/>
  <c r="AF41" i="1"/>
  <c r="AF43" i="1" s="1"/>
  <c r="AF45" i="1" s="1"/>
  <c r="H25" i="20"/>
  <c r="AG44" i="1"/>
  <c r="E31" i="35" l="1"/>
  <c r="E32" i="35" s="1"/>
  <c r="E28" i="35"/>
  <c r="D37" i="35"/>
  <c r="J33" i="25"/>
  <c r="J40" i="25" s="1"/>
  <c r="AF46" i="1"/>
  <c r="H26" i="20"/>
  <c r="H29" i="20"/>
  <c r="AH87" i="1"/>
  <c r="E37" i="35" s="1"/>
  <c r="AH83" i="1"/>
  <c r="AH84" i="1" s="1"/>
  <c r="AH82" i="1"/>
  <c r="AH44" i="1"/>
  <c r="AF132" i="1"/>
  <c r="C38" i="35" s="1"/>
  <c r="AF137" i="1"/>
  <c r="AF140" i="1" s="1"/>
  <c r="AI74" i="1"/>
  <c r="AI80" i="1" s="1"/>
  <c r="F24" i="35" s="1"/>
  <c r="F25" i="35" s="1"/>
  <c r="F27" i="35" s="1"/>
  <c r="AJ86" i="1"/>
  <c r="AG85" i="1"/>
  <c r="AG92" i="1"/>
  <c r="AG41" i="1"/>
  <c r="AG43" i="1" s="1"/>
  <c r="AG45" i="1" s="1"/>
  <c r="D38" i="25" l="1"/>
  <c r="F28" i="35"/>
  <c r="F31" i="35"/>
  <c r="F32" i="35" s="1"/>
  <c r="J34" i="25"/>
  <c r="J41" i="25" s="1"/>
  <c r="AA150" i="1"/>
  <c r="AG46" i="1"/>
  <c r="AI82" i="1"/>
  <c r="AI87" i="1"/>
  <c r="AI83" i="1"/>
  <c r="AI84" i="1" s="1"/>
  <c r="AI44" i="1"/>
  <c r="H30" i="20"/>
  <c r="AH41" i="1"/>
  <c r="AH43" i="1" s="1"/>
  <c r="AH45" i="1" s="1"/>
  <c r="AH85" i="1"/>
  <c r="AH92" i="1"/>
  <c r="AG132" i="1"/>
  <c r="D38" i="35" s="1"/>
  <c r="AG137" i="1"/>
  <c r="AG140" i="1" s="1"/>
  <c r="AK86" i="1"/>
  <c r="AJ74" i="1"/>
  <c r="AJ80" i="1" s="1"/>
  <c r="G24" i="35" s="1"/>
  <c r="G25" i="35" s="1"/>
  <c r="G27" i="35" s="1"/>
  <c r="G28" i="35" l="1"/>
  <c r="G31" i="35"/>
  <c r="G32" i="35" s="1"/>
  <c r="F37" i="35"/>
  <c r="E38" i="25"/>
  <c r="AJ82" i="1"/>
  <c r="AJ87" i="1"/>
  <c r="AJ83" i="1"/>
  <c r="AJ84" i="1" s="1"/>
  <c r="AJ44" i="1"/>
  <c r="AH132" i="1"/>
  <c r="E38" i="35" s="1"/>
  <c r="AH137" i="1"/>
  <c r="AH140" i="1" s="1"/>
  <c r="AK74" i="1"/>
  <c r="AK80" i="1" s="1"/>
  <c r="H24" i="35" s="1"/>
  <c r="H25" i="35" s="1"/>
  <c r="H27" i="35" s="1"/>
  <c r="AL86" i="1"/>
  <c r="AH46" i="1"/>
  <c r="AI92" i="1"/>
  <c r="AI85" i="1"/>
  <c r="AI41" i="1"/>
  <c r="AI43" i="1" s="1"/>
  <c r="AI45" i="1" s="1"/>
  <c r="H31" i="35" l="1"/>
  <c r="H32" i="35" s="1"/>
  <c r="H28" i="35"/>
  <c r="G37" i="35"/>
  <c r="F38" i="25"/>
  <c r="AI46" i="1"/>
  <c r="AI137" i="1"/>
  <c r="AI140" i="1" s="1"/>
  <c r="AI132" i="1"/>
  <c r="F38" i="35" s="1"/>
  <c r="AK83" i="1"/>
  <c r="AK84" i="1" s="1"/>
  <c r="AK87" i="1"/>
  <c r="AK82" i="1"/>
  <c r="AL74" i="1"/>
  <c r="AL80" i="1" s="1"/>
  <c r="I24" i="35" s="1"/>
  <c r="I25" i="35" s="1"/>
  <c r="I27" i="35" s="1"/>
  <c r="AM86" i="1"/>
  <c r="AJ85" i="1"/>
  <c r="AJ41" i="1"/>
  <c r="AJ43" i="1" s="1"/>
  <c r="AJ45" i="1" s="1"/>
  <c r="AJ92" i="1"/>
  <c r="AK44" i="1"/>
  <c r="H37" i="35" l="1"/>
  <c r="G38" i="25"/>
  <c r="I28" i="35"/>
  <c r="I31" i="35"/>
  <c r="I32" i="35" s="1"/>
  <c r="AJ46" i="1"/>
  <c r="AL82" i="1"/>
  <c r="AL83" i="1"/>
  <c r="AL84" i="1" s="1"/>
  <c r="AL87" i="1"/>
  <c r="AK41" i="1"/>
  <c r="AK43" i="1" s="1"/>
  <c r="AK45" i="1" s="1"/>
  <c r="AK92" i="1"/>
  <c r="AK85" i="1"/>
  <c r="AJ132" i="1"/>
  <c r="G38" i="35" s="1"/>
  <c r="AJ137" i="1"/>
  <c r="AJ140" i="1" s="1"/>
  <c r="AL44" i="1"/>
  <c r="AM74" i="1"/>
  <c r="AM80" i="1" s="1"/>
  <c r="AN86" i="1"/>
  <c r="I37" i="35" l="1"/>
  <c r="H38" i="25"/>
  <c r="AM44" i="1"/>
  <c r="J24" i="35"/>
  <c r="J25" i="35" s="1"/>
  <c r="J27" i="35" s="1"/>
  <c r="AK46" i="1"/>
  <c r="AN74" i="1"/>
  <c r="AN80" i="1" s="1"/>
  <c r="AO86" i="1"/>
  <c r="AL41" i="1"/>
  <c r="AL43" i="1" s="1"/>
  <c r="AL45" i="1" s="1"/>
  <c r="AL92" i="1"/>
  <c r="AL85" i="1"/>
  <c r="AM87" i="1"/>
  <c r="AM83" i="1"/>
  <c r="AM84" i="1" s="1"/>
  <c r="AM82" i="1"/>
  <c r="AK132" i="1"/>
  <c r="H38" i="35" s="1"/>
  <c r="AK137" i="1"/>
  <c r="AK140" i="1" s="1"/>
  <c r="AN44" i="1" l="1"/>
  <c r="K24" i="35"/>
  <c r="K25" i="35" s="1"/>
  <c r="K27" i="35" s="1"/>
  <c r="J37" i="35"/>
  <c r="I38" i="25"/>
  <c r="J31" i="35"/>
  <c r="J32" i="35" s="1"/>
  <c r="J28" i="35"/>
  <c r="AN83" i="1"/>
  <c r="AN84" i="1" s="1"/>
  <c r="AN87" i="1"/>
  <c r="AN82" i="1"/>
  <c r="AL46" i="1"/>
  <c r="AM41" i="1"/>
  <c r="AM85" i="1"/>
  <c r="AM92" i="1"/>
  <c r="AO74" i="1"/>
  <c r="AO80" i="1" s="1"/>
  <c r="L24" i="35" s="1"/>
  <c r="L25" i="35" s="1"/>
  <c r="L27" i="35" s="1"/>
  <c r="AP86" i="1"/>
  <c r="AL137" i="1"/>
  <c r="AL140" i="1" s="1"/>
  <c r="AL132" i="1"/>
  <c r="I38" i="35" s="1"/>
  <c r="K28" i="35" l="1"/>
  <c r="K31" i="35"/>
  <c r="K32" i="35" s="1"/>
  <c r="L31" i="35"/>
  <c r="L32" i="35" s="1"/>
  <c r="L28" i="35"/>
  <c r="K37" i="35"/>
  <c r="J38" i="25"/>
  <c r="AP74" i="1"/>
  <c r="AP80" i="1" s="1"/>
  <c r="M24" i="35" s="1"/>
  <c r="M25" i="35" s="1"/>
  <c r="M27" i="35" s="1"/>
  <c r="AQ86" i="1"/>
  <c r="AN92" i="1"/>
  <c r="AN85" i="1"/>
  <c r="AN41" i="1"/>
  <c r="AM43" i="1"/>
  <c r="AM45" i="1" s="1"/>
  <c r="AM46" i="1"/>
  <c r="AO83" i="1"/>
  <c r="AO84" i="1" s="1"/>
  <c r="AO87" i="1"/>
  <c r="AO82" i="1"/>
  <c r="AO44" i="1"/>
  <c r="AM132" i="1"/>
  <c r="J38" i="35" s="1"/>
  <c r="AM137" i="1"/>
  <c r="AM140" i="1" s="1"/>
  <c r="M28" i="35" l="1"/>
  <c r="M31" i="35"/>
  <c r="M32" i="35" s="1"/>
  <c r="L37" i="35"/>
  <c r="AQ74" i="1"/>
  <c r="AQ80" i="1" s="1"/>
  <c r="N24" i="35" s="1"/>
  <c r="AR86" i="1"/>
  <c r="AP82" i="1"/>
  <c r="AP87" i="1"/>
  <c r="M37" i="35" s="1"/>
  <c r="AP83" i="1"/>
  <c r="AP84" i="1" s="1"/>
  <c r="AP44" i="1"/>
  <c r="AN43" i="1"/>
  <c r="AN45" i="1" s="1"/>
  <c r="AN46" i="1"/>
  <c r="AO85" i="1"/>
  <c r="AO92" i="1"/>
  <c r="AO41" i="1"/>
  <c r="AO43" i="1" s="1"/>
  <c r="AO45" i="1" s="1"/>
  <c r="AN137" i="1"/>
  <c r="AN140" i="1" s="1"/>
  <c r="AN132" i="1"/>
  <c r="K38" i="35" s="1"/>
  <c r="N25" i="35" l="1"/>
  <c r="N27" i="35" s="1"/>
  <c r="P24" i="35"/>
  <c r="P25" i="35" s="1"/>
  <c r="P27" i="35" s="1"/>
  <c r="AO46" i="1"/>
  <c r="AQ87" i="1"/>
  <c r="N37" i="35" s="1"/>
  <c r="AQ83" i="1"/>
  <c r="AQ84" i="1" s="1"/>
  <c r="AQ82" i="1"/>
  <c r="AQ44" i="1"/>
  <c r="AP92" i="1"/>
  <c r="AP41" i="1"/>
  <c r="AP43" i="1" s="1"/>
  <c r="AP45" i="1" s="1"/>
  <c r="AP85" i="1"/>
  <c r="AO132" i="1"/>
  <c r="L38" i="35" s="1"/>
  <c r="AO137" i="1"/>
  <c r="AO140" i="1" s="1"/>
  <c r="J39" i="25"/>
  <c r="AS86" i="1"/>
  <c r="AR74" i="1"/>
  <c r="AR80" i="1" s="1"/>
  <c r="P28" i="35" l="1"/>
  <c r="P31" i="35"/>
  <c r="P32" i="35" s="1"/>
  <c r="N31" i="35"/>
  <c r="N32" i="35" s="1"/>
  <c r="N28" i="35"/>
  <c r="AS74" i="1"/>
  <c r="AS80" i="1" s="1"/>
  <c r="AS44" i="1" s="1"/>
  <c r="AT86" i="1"/>
  <c r="AQ92" i="1"/>
  <c r="AQ41" i="1"/>
  <c r="AQ43" i="1" s="1"/>
  <c r="AQ45" i="1" s="1"/>
  <c r="AQ85" i="1"/>
  <c r="AR83" i="1"/>
  <c r="AR84" i="1" s="1"/>
  <c r="AR87" i="1"/>
  <c r="AR82" i="1"/>
  <c r="AP132" i="1"/>
  <c r="M38" i="35" s="1"/>
  <c r="AP137" i="1"/>
  <c r="AP140" i="1" s="1"/>
  <c r="AR44" i="1"/>
  <c r="AP46" i="1"/>
  <c r="AT74" i="1" l="1"/>
  <c r="AT80" i="1" s="1"/>
  <c r="AU86" i="1"/>
  <c r="AS82" i="1"/>
  <c r="AS87" i="1"/>
  <c r="AS83" i="1"/>
  <c r="AS84" i="1" s="1"/>
  <c r="AQ137" i="1"/>
  <c r="AQ140" i="1" s="1"/>
  <c r="AQ132" i="1"/>
  <c r="N38" i="35" s="1"/>
  <c r="AQ46" i="1"/>
  <c r="AR41" i="1"/>
  <c r="AR43" i="1" s="1"/>
  <c r="AR45" i="1" s="1"/>
  <c r="AR92" i="1"/>
  <c r="AR85" i="1"/>
  <c r="AR137" i="1" l="1"/>
  <c r="AR140" i="1" s="1"/>
  <c r="AR132" i="1"/>
  <c r="AS85" i="1"/>
  <c r="AS92" i="1"/>
  <c r="AS41" i="1"/>
  <c r="AR46" i="1"/>
  <c r="AU74" i="1"/>
  <c r="AU80" i="1" s="1"/>
  <c r="AV86" i="1"/>
  <c r="AT82" i="1"/>
  <c r="AT83" i="1"/>
  <c r="AT84" i="1" s="1"/>
  <c r="AT87" i="1"/>
  <c r="AT44" i="1"/>
  <c r="AT92" i="1" l="1"/>
  <c r="AT41" i="1"/>
  <c r="AT43" i="1" s="1"/>
  <c r="AT45" i="1" s="1"/>
  <c r="AT85" i="1"/>
  <c r="AS132" i="1"/>
  <c r="AS137" i="1"/>
  <c r="AS140" i="1" s="1"/>
  <c r="AV74" i="1"/>
  <c r="AV80" i="1" s="1"/>
  <c r="AW86" i="1"/>
  <c r="AU82" i="1"/>
  <c r="AU87" i="1"/>
  <c r="AU83" i="1"/>
  <c r="AU84" i="1" s="1"/>
  <c r="AU44" i="1"/>
  <c r="AS43" i="1"/>
  <c r="AS45" i="1" s="1"/>
  <c r="AS46" i="1"/>
  <c r="AT46" i="1" l="1"/>
  <c r="AW74" i="1"/>
  <c r="AW80" i="1" s="1"/>
  <c r="AW44" i="1" s="1"/>
  <c r="AX86" i="1"/>
  <c r="AV82" i="1"/>
  <c r="AV87" i="1"/>
  <c r="AV83" i="1"/>
  <c r="AV84" i="1" s="1"/>
  <c r="AU41" i="1"/>
  <c r="AU43" i="1" s="1"/>
  <c r="AU45" i="1" s="1"/>
  <c r="AU92" i="1"/>
  <c r="AU85" i="1"/>
  <c r="AT132" i="1"/>
  <c r="AT137" i="1"/>
  <c r="AT140" i="1" s="1"/>
  <c r="AV44" i="1"/>
  <c r="AU137" i="1" l="1"/>
  <c r="AU140" i="1" s="1"/>
  <c r="AU132" i="1"/>
  <c r="AX74" i="1"/>
  <c r="AX80" i="1" s="1"/>
  <c r="AY86" i="1"/>
  <c r="AU46" i="1"/>
  <c r="AV41" i="1"/>
  <c r="AV43" i="1" s="1"/>
  <c r="AV45" i="1" s="1"/>
  <c r="AV85" i="1"/>
  <c r="AV92" i="1"/>
  <c r="AW87" i="1"/>
  <c r="AW83" i="1"/>
  <c r="AW84" i="1" s="1"/>
  <c r="AW82" i="1"/>
  <c r="AV137" i="1" l="1"/>
  <c r="AV140" i="1" s="1"/>
  <c r="AV132" i="1"/>
  <c r="AY74" i="1"/>
  <c r="AY80" i="1" s="1"/>
  <c r="AZ86" i="1"/>
  <c r="AW85" i="1"/>
  <c r="AW41" i="1"/>
  <c r="AW92" i="1"/>
  <c r="AX83" i="1"/>
  <c r="AX84" i="1" s="1"/>
  <c r="AX82" i="1"/>
  <c r="AX87" i="1"/>
  <c r="AX44" i="1"/>
  <c r="AV46" i="1"/>
  <c r="AY82" i="1" l="1"/>
  <c r="AY83" i="1"/>
  <c r="AY84" i="1" s="1"/>
  <c r="AY87" i="1"/>
  <c r="AY44" i="1"/>
  <c r="AW137" i="1"/>
  <c r="AW140" i="1" s="1"/>
  <c r="AW132" i="1"/>
  <c r="AW43" i="1"/>
  <c r="AW45" i="1" s="1"/>
  <c r="AW46" i="1"/>
  <c r="AX92" i="1"/>
  <c r="AX41" i="1"/>
  <c r="AX43" i="1" s="1"/>
  <c r="AX45" i="1" s="1"/>
  <c r="AX85" i="1"/>
  <c r="AZ74" i="1"/>
  <c r="AZ80" i="1" s="1"/>
  <c r="BA86" i="1"/>
  <c r="BA74" i="1" l="1"/>
  <c r="BA80" i="1" s="1"/>
  <c r="BB86" i="1"/>
  <c r="AX46" i="1"/>
  <c r="AY41" i="1"/>
  <c r="AY43" i="1" s="1"/>
  <c r="AY45" i="1" s="1"/>
  <c r="AY92" i="1"/>
  <c r="AY85" i="1"/>
  <c r="AX137" i="1"/>
  <c r="AX140" i="1" s="1"/>
  <c r="AX132" i="1"/>
  <c r="AZ82" i="1"/>
  <c r="AZ83" i="1"/>
  <c r="AZ84" i="1" s="1"/>
  <c r="AZ87" i="1"/>
  <c r="AZ44" i="1"/>
  <c r="BB74" i="1" l="1"/>
  <c r="BB80" i="1" s="1"/>
  <c r="BC86" i="1"/>
  <c r="BA83" i="1"/>
  <c r="BA84" i="1" s="1"/>
  <c r="BA87" i="1"/>
  <c r="BA82" i="1"/>
  <c r="BA44" i="1"/>
  <c r="AY132" i="1"/>
  <c r="AY137" i="1"/>
  <c r="AY140" i="1" s="1"/>
  <c r="AZ92" i="1"/>
  <c r="AZ85" i="1"/>
  <c r="AZ41" i="1"/>
  <c r="AZ43" i="1" s="1"/>
  <c r="AZ45" i="1" s="1"/>
  <c r="AY46" i="1"/>
  <c r="BC74" i="1" l="1"/>
  <c r="BC80" i="1" s="1"/>
  <c r="BD86" i="1"/>
  <c r="BB83" i="1"/>
  <c r="BB84" i="1" s="1"/>
  <c r="BB87" i="1"/>
  <c r="BB82" i="1"/>
  <c r="AZ132" i="1"/>
  <c r="AZ137" i="1"/>
  <c r="AZ140" i="1" s="1"/>
  <c r="AZ46" i="1"/>
  <c r="BA41" i="1"/>
  <c r="BA43" i="1" s="1"/>
  <c r="BA45" i="1" s="1"/>
  <c r="BA85" i="1"/>
  <c r="BA92" i="1"/>
  <c r="BB44" i="1"/>
  <c r="BC87" i="1" l="1"/>
  <c r="BC82" i="1"/>
  <c r="BC83" i="1"/>
  <c r="BC84" i="1" s="1"/>
  <c r="BA137" i="1"/>
  <c r="BA140" i="1" s="1"/>
  <c r="BA132" i="1"/>
  <c r="BB92" i="1"/>
  <c r="BB85" i="1"/>
  <c r="BB41" i="1"/>
  <c r="BB43" i="1" s="1"/>
  <c r="BB45" i="1" s="1"/>
  <c r="BE86" i="1"/>
  <c r="BD74" i="1"/>
  <c r="BD80" i="1" s="1"/>
  <c r="BC44" i="1"/>
  <c r="BA46" i="1"/>
  <c r="BC41" i="1" l="1"/>
  <c r="BC43" i="1" s="1"/>
  <c r="BC45" i="1" s="1"/>
  <c r="BC92" i="1"/>
  <c r="BC85" i="1"/>
  <c r="BD83" i="1"/>
  <c r="BD84" i="1" s="1"/>
  <c r="BD87" i="1"/>
  <c r="BD82" i="1"/>
  <c r="BD44" i="1"/>
  <c r="BE74" i="1"/>
  <c r="BE80" i="1" s="1"/>
  <c r="BF86" i="1"/>
  <c r="BB132" i="1"/>
  <c r="BB137" i="1"/>
  <c r="BB140" i="1" s="1"/>
  <c r="BB46" i="1"/>
  <c r="BC46" i="1" l="1"/>
  <c r="BE87" i="1"/>
  <c r="BE82" i="1"/>
  <c r="BE83" i="1"/>
  <c r="BE84" i="1" s="1"/>
  <c r="BD85" i="1"/>
  <c r="BD41" i="1"/>
  <c r="BD43" i="1" s="1"/>
  <c r="BD45" i="1" s="1"/>
  <c r="BD92" i="1"/>
  <c r="BF74" i="1"/>
  <c r="BF80" i="1" s="1"/>
  <c r="BF44" i="1" s="1"/>
  <c r="BG86" i="1"/>
  <c r="BC132" i="1"/>
  <c r="BC137" i="1"/>
  <c r="BC140" i="1" s="1"/>
  <c r="BE44" i="1"/>
  <c r="BD137" i="1" l="1"/>
  <c r="BD140" i="1" s="1"/>
  <c r="BD132" i="1"/>
  <c r="BE41" i="1"/>
  <c r="BE43" i="1" s="1"/>
  <c r="BE45" i="1" s="1"/>
  <c r="BE85" i="1"/>
  <c r="BE92" i="1"/>
  <c r="BG74" i="1"/>
  <c r="BG80" i="1" s="1"/>
  <c r="BH86" i="1"/>
  <c r="BF87" i="1"/>
  <c r="BF82" i="1"/>
  <c r="BF83" i="1"/>
  <c r="BF84" i="1" s="1"/>
  <c r="BD46" i="1"/>
  <c r="BE46" i="1" l="1"/>
  <c r="BH74" i="1"/>
  <c r="BH80" i="1" s="1"/>
  <c r="BI86" i="1"/>
  <c r="BE132" i="1"/>
  <c r="BE137" i="1"/>
  <c r="BE140" i="1" s="1"/>
  <c r="BF92" i="1"/>
  <c r="BF41" i="1"/>
  <c r="BF85" i="1"/>
  <c r="BG83" i="1"/>
  <c r="BG84" i="1" s="1"/>
  <c r="BG87" i="1"/>
  <c r="BG82" i="1"/>
  <c r="BG44" i="1"/>
  <c r="BG85" i="1" l="1"/>
  <c r="BG41" i="1"/>
  <c r="BG43" i="1" s="1"/>
  <c r="BG45" i="1" s="1"/>
  <c r="BG92" i="1"/>
  <c r="BI74" i="1"/>
  <c r="BI80" i="1" s="1"/>
  <c r="BJ86" i="1"/>
  <c r="BF43" i="1"/>
  <c r="BF45" i="1" s="1"/>
  <c r="BF46" i="1"/>
  <c r="BH83" i="1"/>
  <c r="BH84" i="1" s="1"/>
  <c r="BH82" i="1"/>
  <c r="BH87" i="1"/>
  <c r="BH44" i="1"/>
  <c r="BF132" i="1"/>
  <c r="BF137" i="1"/>
  <c r="BF140" i="1" s="1"/>
  <c r="BG46" i="1" l="1"/>
  <c r="BI83" i="1"/>
  <c r="BI84" i="1" s="1"/>
  <c r="BI87" i="1"/>
  <c r="BI82" i="1"/>
  <c r="BI44" i="1"/>
  <c r="BH41" i="1"/>
  <c r="BH43" i="1" s="1"/>
  <c r="BH45" i="1" s="1"/>
  <c r="BH92" i="1"/>
  <c r="BH85" i="1"/>
  <c r="BG132" i="1"/>
  <c r="BG137" i="1"/>
  <c r="BG140" i="1" s="1"/>
  <c r="BJ74" i="1"/>
  <c r="BJ80" i="1" s="1"/>
  <c r="BK86" i="1"/>
  <c r="BJ87" i="1" l="1"/>
  <c r="BJ82" i="1"/>
  <c r="BJ83" i="1"/>
  <c r="BJ84" i="1" s="1"/>
  <c r="BH132" i="1"/>
  <c r="BH137" i="1"/>
  <c r="BH140" i="1" s="1"/>
  <c r="BH46" i="1"/>
  <c r="BK74" i="1"/>
  <c r="BK80" i="1" s="1"/>
  <c r="BK44" i="1" s="1"/>
  <c r="BL86" i="1"/>
  <c r="BJ44" i="1"/>
  <c r="BI41" i="1"/>
  <c r="BI43" i="1" s="1"/>
  <c r="BI45" i="1" s="1"/>
  <c r="BI92" i="1"/>
  <c r="BI85" i="1"/>
  <c r="BI46" i="1" l="1"/>
  <c r="BJ85" i="1"/>
  <c r="BJ92" i="1"/>
  <c r="BJ41" i="1"/>
  <c r="BJ43" i="1" s="1"/>
  <c r="BJ45" i="1" s="1"/>
  <c r="BL74" i="1"/>
  <c r="BL80" i="1" s="1"/>
  <c r="BM86" i="1"/>
  <c r="BI132" i="1"/>
  <c r="BI137" i="1"/>
  <c r="BI140" i="1" s="1"/>
  <c r="BK83" i="1"/>
  <c r="BK84" i="1" s="1"/>
  <c r="BK82" i="1"/>
  <c r="BK87" i="1"/>
  <c r="BK85" i="1" l="1"/>
  <c r="BK41" i="1"/>
  <c r="BK92" i="1"/>
  <c r="BL82" i="1"/>
  <c r="BL87" i="1"/>
  <c r="BL83" i="1"/>
  <c r="BL84" i="1" s="1"/>
  <c r="BL44" i="1"/>
  <c r="BJ46" i="1"/>
  <c r="BJ132" i="1"/>
  <c r="BJ137" i="1"/>
  <c r="BJ140" i="1" s="1"/>
  <c r="BM74" i="1"/>
  <c r="BM80" i="1" s="1"/>
  <c r="BN86" i="1"/>
  <c r="BL85" i="1" l="1"/>
  <c r="BL92" i="1"/>
  <c r="BL41" i="1"/>
  <c r="BL43" i="1" s="1"/>
  <c r="BL45" i="1" s="1"/>
  <c r="BK132" i="1"/>
  <c r="BK137" i="1"/>
  <c r="BK140" i="1" s="1"/>
  <c r="BK43" i="1"/>
  <c r="BK45" i="1" s="1"/>
  <c r="BK46" i="1"/>
  <c r="BN74" i="1"/>
  <c r="BN80" i="1" s="1"/>
  <c r="BO86" i="1"/>
  <c r="BM87" i="1"/>
  <c r="BM83" i="1"/>
  <c r="BM84" i="1" s="1"/>
  <c r="BM82" i="1"/>
  <c r="BM44" i="1"/>
  <c r="BL46" i="1" l="1"/>
  <c r="BN87" i="1"/>
  <c r="BN82" i="1"/>
  <c r="BN83" i="1"/>
  <c r="BN84" i="1" s="1"/>
  <c r="BN44" i="1"/>
  <c r="BL132" i="1"/>
  <c r="BL137" i="1"/>
  <c r="BL140" i="1" s="1"/>
  <c r="BO74" i="1"/>
  <c r="BO80" i="1" s="1"/>
  <c r="BO44" i="1" s="1"/>
  <c r="BP86" i="1"/>
  <c r="BM41" i="1"/>
  <c r="BM43" i="1" s="1"/>
  <c r="BM45" i="1" s="1"/>
  <c r="BM85" i="1"/>
  <c r="BM92" i="1"/>
  <c r="BM46" i="1" l="1"/>
  <c r="BN92" i="1"/>
  <c r="BN41" i="1"/>
  <c r="BN43" i="1" s="1"/>
  <c r="BN45" i="1" s="1"/>
  <c r="BN85" i="1"/>
  <c r="BQ86" i="1"/>
  <c r="BP74" i="1"/>
  <c r="BP80" i="1" s="1"/>
  <c r="BO82" i="1"/>
  <c r="BO83" i="1"/>
  <c r="BO84" i="1" s="1"/>
  <c r="BO87" i="1"/>
  <c r="BM132" i="1"/>
  <c r="BM137" i="1"/>
  <c r="BM140" i="1" s="1"/>
  <c r="BN46" i="1"/>
  <c r="BP83" i="1" l="1"/>
  <c r="BP84" i="1" s="1"/>
  <c r="BP87" i="1"/>
  <c r="BP82" i="1"/>
  <c r="BP44" i="1"/>
  <c r="BQ74" i="1"/>
  <c r="BQ80" i="1" s="1"/>
  <c r="BR86" i="1"/>
  <c r="BN132" i="1"/>
  <c r="BN137" i="1"/>
  <c r="BN140" i="1" s="1"/>
  <c r="BO92" i="1"/>
  <c r="BO85" i="1"/>
  <c r="BO41" i="1"/>
  <c r="BS86" i="1" l="1"/>
  <c r="BR74" i="1"/>
  <c r="BR80" i="1" s="1"/>
  <c r="BR44" i="1" s="1"/>
  <c r="BQ87" i="1"/>
  <c r="BQ82" i="1"/>
  <c r="BQ83" i="1"/>
  <c r="BQ84" i="1" s="1"/>
  <c r="BQ44" i="1"/>
  <c r="BO43" i="1"/>
  <c r="BO45" i="1" s="1"/>
  <c r="BO46" i="1"/>
  <c r="BO132" i="1"/>
  <c r="BO137" i="1"/>
  <c r="BO140" i="1" s="1"/>
  <c r="BP41" i="1"/>
  <c r="BP43" i="1" s="1"/>
  <c r="BP45" i="1" s="1"/>
  <c r="BP92" i="1"/>
  <c r="BP85" i="1"/>
  <c r="BP46" i="1" l="1"/>
  <c r="BR87" i="1"/>
  <c r="BR82" i="1"/>
  <c r="BR83" i="1"/>
  <c r="BR84" i="1" s="1"/>
  <c r="BQ85" i="1"/>
  <c r="BQ92" i="1"/>
  <c r="BQ41" i="1"/>
  <c r="BQ43" i="1" s="1"/>
  <c r="BQ45" i="1" s="1"/>
  <c r="BP132" i="1"/>
  <c r="BP137" i="1"/>
  <c r="BP140" i="1" s="1"/>
  <c r="BS74" i="1"/>
  <c r="BS80" i="1" s="1"/>
  <c r="BT86" i="1"/>
  <c r="BQ46" i="1" l="1"/>
  <c r="BQ137" i="1"/>
  <c r="BQ140" i="1" s="1"/>
  <c r="BQ132" i="1"/>
  <c r="BS82" i="1"/>
  <c r="BS87" i="1"/>
  <c r="BS83" i="1"/>
  <c r="BS84" i="1" s="1"/>
  <c r="BS44" i="1"/>
  <c r="BR41" i="1"/>
  <c r="BR92" i="1"/>
  <c r="BR85" i="1"/>
  <c r="BT74" i="1"/>
  <c r="BT80" i="1" s="1"/>
  <c r="BU86" i="1"/>
  <c r="BU74" i="1" l="1"/>
  <c r="BU80" i="1" s="1"/>
  <c r="BV86" i="1"/>
  <c r="BT87" i="1"/>
  <c r="BT82" i="1"/>
  <c r="BT83" i="1"/>
  <c r="BT84" i="1" s="1"/>
  <c r="BR137" i="1"/>
  <c r="BR140" i="1" s="1"/>
  <c r="BR132" i="1"/>
  <c r="BR43" i="1"/>
  <c r="BR45" i="1" s="1"/>
  <c r="BR46" i="1"/>
  <c r="BS85" i="1"/>
  <c r="BS92" i="1"/>
  <c r="BS41" i="1"/>
  <c r="BS43" i="1" s="1"/>
  <c r="BS45" i="1" s="1"/>
  <c r="BT44" i="1"/>
  <c r="BT85" i="1" l="1"/>
  <c r="BT92" i="1"/>
  <c r="BT41" i="1"/>
  <c r="BT43" i="1" s="1"/>
  <c r="BT45" i="1" s="1"/>
  <c r="BV74" i="1"/>
  <c r="BV80" i="1" s="1"/>
  <c r="BW86" i="1"/>
  <c r="BU87" i="1"/>
  <c r="BU82" i="1"/>
  <c r="BU83" i="1"/>
  <c r="BU84" i="1" s="1"/>
  <c r="BU44" i="1"/>
  <c r="BS137" i="1"/>
  <c r="BS140" i="1" s="1"/>
  <c r="BS132" i="1"/>
  <c r="BS46" i="1"/>
  <c r="BT46" i="1" l="1"/>
  <c r="BW74" i="1"/>
  <c r="BW80" i="1" s="1"/>
  <c r="BX86" i="1"/>
  <c r="BV82" i="1"/>
  <c r="BV83" i="1"/>
  <c r="BV84" i="1" s="1"/>
  <c r="BV87" i="1"/>
  <c r="BU85" i="1"/>
  <c r="BU92" i="1"/>
  <c r="BU41" i="1"/>
  <c r="BU43" i="1" s="1"/>
  <c r="BU45" i="1" s="1"/>
  <c r="BT132" i="1"/>
  <c r="BT137" i="1"/>
  <c r="BT140" i="1" s="1"/>
  <c r="BV44" i="1"/>
  <c r="BU46" i="1" l="1"/>
  <c r="BV92" i="1"/>
  <c r="BV85" i="1"/>
  <c r="BV41" i="1"/>
  <c r="BV43" i="1" s="1"/>
  <c r="BV45" i="1" s="1"/>
  <c r="BW82" i="1"/>
  <c r="BW87" i="1"/>
  <c r="BW83" i="1"/>
  <c r="BW84" i="1" s="1"/>
  <c r="BW44" i="1"/>
  <c r="BY86" i="1"/>
  <c r="BX74" i="1"/>
  <c r="BX80" i="1" s="1"/>
  <c r="BU137" i="1"/>
  <c r="BU140" i="1" s="1"/>
  <c r="BU132" i="1"/>
  <c r="BW85" i="1" l="1"/>
  <c r="BW92" i="1"/>
  <c r="BW41" i="1"/>
  <c r="BW43" i="1" s="1"/>
  <c r="BW45" i="1" s="1"/>
  <c r="BV137" i="1"/>
  <c r="BV140" i="1" s="1"/>
  <c r="BV132" i="1"/>
  <c r="BX82" i="1"/>
  <c r="BX87" i="1"/>
  <c r="BX83" i="1"/>
  <c r="BX84" i="1" s="1"/>
  <c r="BX44" i="1"/>
  <c r="BZ86" i="1"/>
  <c r="BY74" i="1"/>
  <c r="BY80" i="1" s="1"/>
  <c r="BV46" i="1"/>
  <c r="BW46" i="1" l="1"/>
  <c r="BZ74" i="1"/>
  <c r="BZ80" i="1" s="1"/>
  <c r="BZ44" i="1" s="1"/>
  <c r="CA86" i="1"/>
  <c r="BW132" i="1"/>
  <c r="BW137" i="1"/>
  <c r="BW140" i="1" s="1"/>
  <c r="BX85" i="1"/>
  <c r="BX92" i="1"/>
  <c r="BX41" i="1"/>
  <c r="BX43" i="1" s="1"/>
  <c r="BX45" i="1" s="1"/>
  <c r="BY87" i="1"/>
  <c r="BY82" i="1"/>
  <c r="BY83" i="1"/>
  <c r="BY84" i="1" s="1"/>
  <c r="BY44" i="1"/>
  <c r="BX46" i="1" l="1"/>
  <c r="BX137" i="1"/>
  <c r="BX140" i="1" s="1"/>
  <c r="BX132" i="1"/>
  <c r="BY41" i="1"/>
  <c r="BY43" i="1" s="1"/>
  <c r="BY45" i="1" s="1"/>
  <c r="BY92" i="1"/>
  <c r="BY85" i="1"/>
  <c r="CA74" i="1"/>
  <c r="CA80" i="1" s="1"/>
  <c r="CB86" i="1"/>
  <c r="BZ82" i="1"/>
  <c r="BZ83" i="1"/>
  <c r="BZ84" i="1" s="1"/>
  <c r="BZ87" i="1"/>
  <c r="BZ85" i="1" l="1"/>
  <c r="BZ92" i="1"/>
  <c r="BZ41" i="1"/>
  <c r="BY137" i="1"/>
  <c r="BY140" i="1" s="1"/>
  <c r="BY132" i="1"/>
  <c r="BY46" i="1"/>
  <c r="CB74" i="1"/>
  <c r="CB80" i="1" s="1"/>
  <c r="CC86" i="1"/>
  <c r="CA82" i="1"/>
  <c r="CA83" i="1"/>
  <c r="CA84" i="1" s="1"/>
  <c r="CA87" i="1"/>
  <c r="CA44" i="1"/>
  <c r="CA92" i="1" l="1"/>
  <c r="CA85" i="1"/>
  <c r="CA41" i="1"/>
  <c r="CA43" i="1" s="1"/>
  <c r="CA45" i="1" s="1"/>
  <c r="CB82" i="1"/>
  <c r="CB83" i="1"/>
  <c r="CB84" i="1" s="1"/>
  <c r="CB87" i="1"/>
  <c r="CB44" i="1"/>
  <c r="CC74" i="1"/>
  <c r="CC80" i="1" s="1"/>
  <c r="CD86" i="1"/>
  <c r="BZ132" i="1"/>
  <c r="BZ137" i="1"/>
  <c r="BZ140" i="1" s="1"/>
  <c r="BZ43" i="1"/>
  <c r="BZ45" i="1" s="1"/>
  <c r="BZ46" i="1"/>
  <c r="CC82" i="1" l="1"/>
  <c r="CC83" i="1"/>
  <c r="CC84" i="1" s="1"/>
  <c r="CC87" i="1"/>
  <c r="CC44" i="1"/>
  <c r="CA46" i="1"/>
  <c r="CB85" i="1"/>
  <c r="CB92" i="1"/>
  <c r="CB41" i="1"/>
  <c r="CB43" i="1" s="1"/>
  <c r="CB45" i="1" s="1"/>
  <c r="CD74" i="1"/>
  <c r="CD80" i="1" s="1"/>
  <c r="CE86" i="1"/>
  <c r="CA137" i="1"/>
  <c r="CA140" i="1" s="1"/>
  <c r="CA132" i="1"/>
  <c r="CB46" i="1" l="1"/>
  <c r="CB132" i="1"/>
  <c r="CB137" i="1"/>
  <c r="CB140" i="1" s="1"/>
  <c r="CC41" i="1"/>
  <c r="CC43" i="1" s="1"/>
  <c r="CC45" i="1" s="1"/>
  <c r="CC92" i="1"/>
  <c r="CC85" i="1"/>
  <c r="CD82" i="1"/>
  <c r="CD83" i="1"/>
  <c r="CD84" i="1" s="1"/>
  <c r="CD87" i="1"/>
  <c r="CD44" i="1"/>
  <c r="CE74" i="1"/>
  <c r="CE80" i="1" s="1"/>
  <c r="CF86" i="1"/>
  <c r="CE82" i="1" l="1"/>
  <c r="CE87" i="1"/>
  <c r="CE83" i="1"/>
  <c r="CE84" i="1" s="1"/>
  <c r="CG86" i="1"/>
  <c r="CF74" i="1"/>
  <c r="CF80" i="1" s="1"/>
  <c r="CC132" i="1"/>
  <c r="CC137" i="1"/>
  <c r="CC140" i="1" s="1"/>
  <c r="CD92" i="1"/>
  <c r="CD41" i="1"/>
  <c r="CD43" i="1" s="1"/>
  <c r="CD45" i="1" s="1"/>
  <c r="CD85" i="1"/>
  <c r="CC46" i="1"/>
  <c r="CE44" i="1"/>
  <c r="CF82" i="1" l="1"/>
  <c r="CF87" i="1"/>
  <c r="CF83" i="1"/>
  <c r="CF84" i="1" s="1"/>
  <c r="CG74" i="1"/>
  <c r="CG80" i="1" s="1"/>
  <c r="CG44" i="1" s="1"/>
  <c r="CH86" i="1"/>
  <c r="CF44" i="1"/>
  <c r="CD132" i="1"/>
  <c r="CD137" i="1"/>
  <c r="CD140" i="1" s="1"/>
  <c r="CD46" i="1"/>
  <c r="CE41" i="1"/>
  <c r="CE43" i="1" s="1"/>
  <c r="CE45" i="1" s="1"/>
  <c r="CE85" i="1"/>
  <c r="CE92" i="1"/>
  <c r="CE46" i="1" l="1"/>
  <c r="CI86" i="1"/>
  <c r="CH74" i="1"/>
  <c r="CH80" i="1" s="1"/>
  <c r="CH44" i="1" s="1"/>
  <c r="CG87" i="1"/>
  <c r="CG83" i="1"/>
  <c r="CG84" i="1" s="1"/>
  <c r="CG82" i="1"/>
  <c r="CF85" i="1"/>
  <c r="CF41" i="1"/>
  <c r="CF43" i="1" s="1"/>
  <c r="CF45" i="1" s="1"/>
  <c r="CF92" i="1"/>
  <c r="CE132" i="1"/>
  <c r="CE137" i="1"/>
  <c r="CE140" i="1" s="1"/>
  <c r="CG41" i="1" l="1"/>
  <c r="CG92" i="1"/>
  <c r="CG85" i="1"/>
  <c r="CH87" i="1"/>
  <c r="CH83" i="1"/>
  <c r="CH84" i="1" s="1"/>
  <c r="CH82" i="1"/>
  <c r="CJ86" i="1"/>
  <c r="CI74" i="1"/>
  <c r="CI80" i="1" s="1"/>
  <c r="CF132" i="1"/>
  <c r="CF137" i="1"/>
  <c r="CF140" i="1" s="1"/>
  <c r="CF46" i="1"/>
  <c r="CI82" i="1" l="1"/>
  <c r="CI83" i="1"/>
  <c r="CI84" i="1" s="1"/>
  <c r="CI87" i="1"/>
  <c r="CI44" i="1"/>
  <c r="CG137" i="1"/>
  <c r="CG140" i="1" s="1"/>
  <c r="CG132" i="1"/>
  <c r="CJ74" i="1"/>
  <c r="CJ80" i="1" s="1"/>
  <c r="CK86" i="1"/>
  <c r="CG43" i="1"/>
  <c r="CG45" i="1" s="1"/>
  <c r="CG46" i="1"/>
  <c r="CH41" i="1"/>
  <c r="CH85" i="1"/>
  <c r="CH92" i="1"/>
  <c r="CH43" i="1" l="1"/>
  <c r="CH45" i="1" s="1"/>
  <c r="CH46" i="1"/>
  <c r="CK74" i="1"/>
  <c r="CK80" i="1" s="1"/>
  <c r="CL86" i="1"/>
  <c r="CJ83" i="1"/>
  <c r="CJ84" i="1" s="1"/>
  <c r="CJ87" i="1"/>
  <c r="CJ82" i="1"/>
  <c r="CI41" i="1"/>
  <c r="CI43" i="1" s="1"/>
  <c r="CI45" i="1" s="1"/>
  <c r="CI85" i="1"/>
  <c r="CI92" i="1"/>
  <c r="CH132" i="1"/>
  <c r="CH137" i="1"/>
  <c r="CH140" i="1" s="1"/>
  <c r="CJ44" i="1"/>
  <c r="CI132" i="1" l="1"/>
  <c r="CI137" i="1"/>
  <c r="CI140" i="1" s="1"/>
  <c r="CK44" i="1"/>
  <c r="CL74" i="1"/>
  <c r="CL80" i="1" s="1"/>
  <c r="CM86" i="1"/>
  <c r="CK87" i="1"/>
  <c r="CK83" i="1"/>
  <c r="CK84" i="1" s="1"/>
  <c r="CK82" i="1"/>
  <c r="CI46" i="1"/>
  <c r="CJ85" i="1"/>
  <c r="CJ41" i="1"/>
  <c r="CJ43" i="1" s="1"/>
  <c r="CJ45" i="1" s="1"/>
  <c r="CJ92" i="1"/>
  <c r="CM74" i="1" l="1"/>
  <c r="CM80" i="1" s="1"/>
  <c r="CM44" i="1" s="1"/>
  <c r="CN86" i="1"/>
  <c r="CK41" i="1"/>
  <c r="CK43" i="1" s="1"/>
  <c r="CK45" i="1" s="1"/>
  <c r="CK92" i="1"/>
  <c r="CK85" i="1"/>
  <c r="CL83" i="1"/>
  <c r="CL84" i="1" s="1"/>
  <c r="CL82" i="1"/>
  <c r="CL87" i="1"/>
  <c r="CJ46" i="1"/>
  <c r="CJ132" i="1"/>
  <c r="CJ137" i="1"/>
  <c r="CJ140" i="1" s="1"/>
  <c r="CL44" i="1"/>
  <c r="CK137" i="1" l="1"/>
  <c r="CK140" i="1" s="1"/>
  <c r="CK132" i="1"/>
  <c r="CO86" i="1"/>
  <c r="CN74" i="1"/>
  <c r="CN80" i="1" s="1"/>
  <c r="CL85" i="1"/>
  <c r="CL92" i="1"/>
  <c r="CL41" i="1"/>
  <c r="CL43" i="1" s="1"/>
  <c r="CL45" i="1" s="1"/>
  <c r="CK46" i="1"/>
  <c r="CM82" i="1"/>
  <c r="CM83" i="1"/>
  <c r="CM84" i="1" s="1"/>
  <c r="CM87" i="1"/>
  <c r="CM92" i="1" l="1"/>
  <c r="CM85" i="1"/>
  <c r="CM41" i="1"/>
  <c r="CN83" i="1"/>
  <c r="CN84" i="1" s="1"/>
  <c r="CN87" i="1"/>
  <c r="CN82" i="1"/>
  <c r="CN44" i="1"/>
  <c r="CO74" i="1"/>
  <c r="CO80" i="1" s="1"/>
  <c r="CP86" i="1"/>
  <c r="CL132" i="1"/>
  <c r="CL137" i="1"/>
  <c r="CL140" i="1" s="1"/>
  <c r="CL46" i="1"/>
  <c r="CQ86" i="1" l="1"/>
  <c r="CP74" i="1"/>
  <c r="CP80" i="1" s="1"/>
  <c r="CM137" i="1"/>
  <c r="CM140" i="1" s="1"/>
  <c r="CM132" i="1"/>
  <c r="CM43" i="1"/>
  <c r="CM45" i="1" s="1"/>
  <c r="CM46" i="1"/>
  <c r="CO83" i="1"/>
  <c r="CO84" i="1" s="1"/>
  <c r="CO87" i="1"/>
  <c r="CO82" i="1"/>
  <c r="CO44" i="1"/>
  <c r="CN92" i="1"/>
  <c r="CN41" i="1"/>
  <c r="CN43" i="1" s="1"/>
  <c r="CN45" i="1" s="1"/>
  <c r="CN85" i="1"/>
  <c r="CN46" i="1" l="1"/>
  <c r="CN137" i="1"/>
  <c r="CN140" i="1" s="1"/>
  <c r="CN132" i="1"/>
  <c r="CP83" i="1"/>
  <c r="CP84" i="1" s="1"/>
  <c r="CP87" i="1"/>
  <c r="CP82" i="1"/>
  <c r="CQ74" i="1"/>
  <c r="CQ80" i="1" s="1"/>
  <c r="CR86" i="1"/>
  <c r="CO41" i="1"/>
  <c r="CO43" i="1" s="1"/>
  <c r="CO45" i="1" s="1"/>
  <c r="CO85" i="1"/>
  <c r="CO92" i="1"/>
  <c r="CP44" i="1"/>
  <c r="CQ82" i="1" l="1"/>
  <c r="CQ87" i="1"/>
  <c r="CQ83" i="1"/>
  <c r="CQ84" i="1" s="1"/>
  <c r="CQ44" i="1"/>
  <c r="CS86" i="1"/>
  <c r="CR74" i="1"/>
  <c r="CR80" i="1" s="1"/>
  <c r="CO46" i="1"/>
  <c r="CO132" i="1"/>
  <c r="CO137" i="1"/>
  <c r="CO140" i="1" s="1"/>
  <c r="CP85" i="1"/>
  <c r="CP92" i="1"/>
  <c r="CP41" i="1"/>
  <c r="CP43" i="1" s="1"/>
  <c r="CP45" i="1" s="1"/>
  <c r="CQ92" i="1" l="1"/>
  <c r="CQ85" i="1"/>
  <c r="CQ41" i="1"/>
  <c r="CQ43" i="1" s="1"/>
  <c r="CQ45" i="1" s="1"/>
  <c r="CP137" i="1"/>
  <c r="CP140" i="1" s="1"/>
  <c r="CP132" i="1"/>
  <c r="CR82" i="1"/>
  <c r="CR87" i="1"/>
  <c r="CR83" i="1"/>
  <c r="CR84" i="1" s="1"/>
  <c r="CS74" i="1"/>
  <c r="CS80" i="1" s="1"/>
  <c r="CT86" i="1"/>
  <c r="CR44" i="1"/>
  <c r="CP46" i="1"/>
  <c r="CQ46" i="1" l="1"/>
  <c r="CT74" i="1"/>
  <c r="CT80" i="1" s="1"/>
  <c r="CU86" i="1"/>
  <c r="CS83" i="1"/>
  <c r="CS84" i="1" s="1"/>
  <c r="CS87" i="1"/>
  <c r="CS82" i="1"/>
  <c r="CS44" i="1"/>
  <c r="CR41" i="1"/>
  <c r="CR43" i="1" s="1"/>
  <c r="CR45" i="1" s="1"/>
  <c r="CR92" i="1"/>
  <c r="CR85" i="1"/>
  <c r="CQ137" i="1"/>
  <c r="CQ140" i="1" s="1"/>
  <c r="CQ132" i="1"/>
  <c r="CR132" i="1" l="1"/>
  <c r="CR137" i="1"/>
  <c r="CR140" i="1" s="1"/>
  <c r="CS41" i="1"/>
  <c r="CS43" i="1" s="1"/>
  <c r="CS45" i="1" s="1"/>
  <c r="CS85" i="1"/>
  <c r="CS92" i="1"/>
  <c r="CV86" i="1"/>
  <c r="CU74" i="1"/>
  <c r="CU80" i="1" s="1"/>
  <c r="CT87" i="1"/>
  <c r="CT82" i="1"/>
  <c r="CT83" i="1"/>
  <c r="CT84" i="1" s="1"/>
  <c r="CR46" i="1"/>
  <c r="CT44" i="1"/>
  <c r="CU82" i="1" l="1"/>
  <c r="CU87" i="1"/>
  <c r="CU83" i="1"/>
  <c r="CU84" i="1" s="1"/>
  <c r="CT85" i="1"/>
  <c r="CT92" i="1"/>
  <c r="CT41" i="1"/>
  <c r="CT43" i="1" s="1"/>
  <c r="CT45" i="1" s="1"/>
  <c r="CW86" i="1"/>
  <c r="CV74" i="1"/>
  <c r="CV80" i="1" s="1"/>
  <c r="CS46" i="1"/>
  <c r="CU44" i="1"/>
  <c r="CS132" i="1"/>
  <c r="CS137" i="1"/>
  <c r="CS140" i="1" s="1"/>
  <c r="CT46" i="1" l="1"/>
  <c r="CV82" i="1"/>
  <c r="CV87" i="1"/>
  <c r="CV83" i="1"/>
  <c r="CV84" i="1" s="1"/>
  <c r="CT132" i="1"/>
  <c r="CT137" i="1"/>
  <c r="CT140" i="1" s="1"/>
  <c r="CW74" i="1"/>
  <c r="CW80" i="1" s="1"/>
  <c r="CX86" i="1"/>
  <c r="CV44" i="1"/>
  <c r="CU41" i="1"/>
  <c r="CU43" i="1" s="1"/>
  <c r="CU45" i="1" s="1"/>
  <c r="CU85" i="1"/>
  <c r="CU92" i="1"/>
  <c r="CU46" i="1" l="1"/>
  <c r="CU137" i="1"/>
  <c r="CU140" i="1" s="1"/>
  <c r="CU132" i="1"/>
  <c r="CV41" i="1"/>
  <c r="CV43" i="1" s="1"/>
  <c r="CV45" i="1" s="1"/>
  <c r="CV85" i="1"/>
  <c r="CV92" i="1"/>
  <c r="CX74" i="1"/>
  <c r="CX80" i="1" s="1"/>
  <c r="CY86" i="1"/>
  <c r="CY74" i="1" s="1"/>
  <c r="CY80" i="1" s="1"/>
  <c r="CW82" i="1"/>
  <c r="CW83" i="1"/>
  <c r="CW84" i="1" s="1"/>
  <c r="CW87" i="1"/>
  <c r="CW44" i="1"/>
  <c r="CV46" i="1" l="1"/>
  <c r="CV132" i="1"/>
  <c r="CV137" i="1"/>
  <c r="CV140" i="1" s="1"/>
  <c r="CX83" i="1"/>
  <c r="CX84" i="1" s="1"/>
  <c r="CX87" i="1"/>
  <c r="CX82" i="1"/>
  <c r="CY44" i="1"/>
  <c r="CW85" i="1"/>
  <c r="CW41" i="1"/>
  <c r="CW43" i="1" s="1"/>
  <c r="CW45" i="1" s="1"/>
  <c r="CW92" i="1"/>
  <c r="CX44" i="1"/>
  <c r="CY83" i="1"/>
  <c r="CY84" i="1" s="1"/>
  <c r="CY82" i="1"/>
  <c r="CY87" i="1"/>
  <c r="E25" i="5"/>
  <c r="E27" i="5" s="1"/>
  <c r="E29" i="5" s="1"/>
  <c r="F25" i="5"/>
  <c r="F27" i="5" s="1"/>
  <c r="F29" i="5" s="1"/>
  <c r="G25" i="5"/>
  <c r="G27" i="5" s="1"/>
  <c r="G29" i="5" s="1"/>
  <c r="H25" i="5"/>
  <c r="H27" i="5" s="1"/>
  <c r="H29" i="5" s="1"/>
  <c r="I25" i="5"/>
  <c r="I27" i="5" s="1"/>
  <c r="I29" i="5" s="1"/>
  <c r="H33" i="5" l="1"/>
  <c r="H34" i="5" s="1"/>
  <c r="H30" i="5"/>
  <c r="CW137" i="1"/>
  <c r="CW140" i="1" s="1"/>
  <c r="CW132" i="1"/>
  <c r="I33" i="5"/>
  <c r="I34" i="5" s="1"/>
  <c r="I30" i="5"/>
  <c r="F30" i="5"/>
  <c r="F33" i="5"/>
  <c r="F34" i="5" s="1"/>
  <c r="CY41" i="1"/>
  <c r="CY46" i="1" s="1"/>
  <c r="CY85" i="1"/>
  <c r="CY92" i="1"/>
  <c r="E33" i="5"/>
  <c r="E34" i="5" s="1"/>
  <c r="E30" i="5"/>
  <c r="CX85" i="1"/>
  <c r="CX41" i="1"/>
  <c r="CX43" i="1" s="1"/>
  <c r="CX45" i="1" s="1"/>
  <c r="CX92" i="1"/>
  <c r="G30" i="5"/>
  <c r="G33" i="5"/>
  <c r="G34" i="5" s="1"/>
  <c r="CW46" i="1"/>
  <c r="CX46" i="1" l="1"/>
  <c r="CY137" i="1"/>
  <c r="CY140" i="1" s="1"/>
  <c r="CY132" i="1"/>
  <c r="CX132" i="1"/>
  <c r="CX137" i="1"/>
  <c r="CX140" i="1" s="1"/>
  <c r="CY43" i="1"/>
  <c r="CY45" i="1" s="1"/>
  <c r="K15" i="25" l="1"/>
  <c r="P15" i="25" l="1"/>
  <c r="F15" i="20"/>
  <c r="K4" i="24"/>
  <c r="K4" i="32"/>
  <c r="K15" i="20" l="1"/>
  <c r="G15" i="20"/>
  <c r="K16" i="25"/>
  <c r="P16" i="25" s="1"/>
  <c r="D20" i="5"/>
  <c r="D21" i="5" s="1"/>
  <c r="D22" i="5" s="1"/>
  <c r="F16" i="20" l="1"/>
  <c r="G16" i="20" s="1"/>
  <c r="F22" i="20"/>
  <c r="G22" i="20" s="1"/>
  <c r="K23" i="25"/>
  <c r="P23" i="25" s="1"/>
  <c r="P24" i="25" s="1"/>
  <c r="P26" i="25" s="1"/>
  <c r="D25" i="5"/>
  <c r="D27" i="5" s="1"/>
  <c r="D29" i="5" s="1"/>
  <c r="D33" i="5" s="1"/>
  <c r="D34" i="5" s="1"/>
  <c r="K36" i="25"/>
  <c r="D30" i="5" l="1"/>
  <c r="I22" i="20"/>
  <c r="F23" i="20"/>
  <c r="F25" i="20" s="1"/>
  <c r="K24" i="25"/>
  <c r="K26" i="25" s="1"/>
  <c r="K27" i="25" s="1"/>
  <c r="K22" i="20"/>
  <c r="K23" i="20" s="1"/>
  <c r="K25" i="20" s="1"/>
  <c r="AB137" i="1"/>
  <c r="AB140" i="1" s="1"/>
  <c r="P30" i="25"/>
  <c r="P31" i="25" s="1"/>
  <c r="P27" i="25"/>
  <c r="G23" i="20" l="1"/>
  <c r="I23" i="20"/>
  <c r="K30" i="25"/>
  <c r="K31" i="25" s="1"/>
  <c r="AE129" i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CU129" i="1" s="1"/>
  <c r="CV129" i="1" s="1"/>
  <c r="CW129" i="1" s="1"/>
  <c r="CX129" i="1" s="1"/>
  <c r="CY129" i="1" s="1"/>
  <c r="K29" i="20"/>
  <c r="K30" i="20" s="1"/>
  <c r="K26" i="20"/>
  <c r="F26" i="20"/>
  <c r="F29" i="20"/>
  <c r="I25" i="20"/>
  <c r="G25" i="20"/>
  <c r="E39" i="25"/>
  <c r="D39" i="25"/>
  <c r="I39" i="25"/>
  <c r="C39" i="25"/>
  <c r="K37" i="25"/>
  <c r="F39" i="25"/>
  <c r="H39" i="25"/>
  <c r="G39" i="25"/>
  <c r="AB143" i="1" l="1"/>
  <c r="AB144" i="1" s="1"/>
  <c r="AB146" i="1" s="1"/>
  <c r="I29" i="20"/>
  <c r="G29" i="20"/>
  <c r="F30" i="20"/>
  <c r="G26" i="20"/>
  <c r="I26" i="20"/>
  <c r="AC143" i="1" l="1"/>
  <c r="AC144" i="1" s="1"/>
  <c r="AC146" i="1" s="1"/>
  <c r="L35" i="25" s="1"/>
  <c r="I30" i="20"/>
  <c r="G30" i="20"/>
  <c r="AB149" i="1"/>
  <c r="F33" i="20"/>
  <c r="G33" i="20" s="1"/>
  <c r="K35" i="25"/>
  <c r="AC148" i="1" l="1"/>
  <c r="AC149" i="1" s="1"/>
  <c r="F32" i="20"/>
  <c r="G32" i="20" s="1"/>
  <c r="AE127" i="1"/>
  <c r="AF127" i="1" s="1"/>
  <c r="AD143" i="1"/>
  <c r="AD144" i="1" s="1"/>
  <c r="AD146" i="1" s="1"/>
  <c r="K33" i="25"/>
  <c r="K38" i="25" s="1"/>
  <c r="M35" i="25" l="1"/>
  <c r="AD99" i="1"/>
  <c r="L33" i="25"/>
  <c r="L38" i="25" s="1"/>
  <c r="AE143" i="1"/>
  <c r="AE144" i="1" s="1"/>
  <c r="AE146" i="1" s="1"/>
  <c r="AE130" i="1"/>
  <c r="AE131" i="1" s="1"/>
  <c r="K40" i="25"/>
  <c r="AD148" i="1"/>
  <c r="AD149" i="1" s="1"/>
  <c r="K34" i="25"/>
  <c r="AB150" i="1"/>
  <c r="AD103" i="1" l="1"/>
  <c r="AD115" i="1" s="1"/>
  <c r="AD116" i="1" s="1"/>
  <c r="AD133" i="1" s="1"/>
  <c r="AD104" i="1"/>
  <c r="L34" i="25"/>
  <c r="M33" i="25"/>
  <c r="M38" i="25" s="1"/>
  <c r="AE99" i="1"/>
  <c r="AE148" i="1"/>
  <c r="AE149" i="1" s="1"/>
  <c r="L40" i="25"/>
  <c r="AC150" i="1"/>
  <c r="N35" i="25"/>
  <c r="H33" i="20"/>
  <c r="I33" i="20" s="1"/>
  <c r="K39" i="25"/>
  <c r="K41" i="25"/>
  <c r="AG127" i="1"/>
  <c r="AF143" i="1"/>
  <c r="AF144" i="1" s="1"/>
  <c r="AF146" i="1" s="1"/>
  <c r="C36" i="35" s="1"/>
  <c r="AF130" i="1"/>
  <c r="AF131" i="1" s="1"/>
  <c r="AD150" i="1" l="1"/>
  <c r="M34" i="25"/>
  <c r="AG130" i="1"/>
  <c r="AG131" i="1" s="1"/>
  <c r="AG143" i="1"/>
  <c r="AG144" i="1" s="1"/>
  <c r="AG146" i="1" s="1"/>
  <c r="D36" i="35" s="1"/>
  <c r="AH127" i="1"/>
  <c r="AF99" i="1"/>
  <c r="AE103" i="1"/>
  <c r="AE104" i="1"/>
  <c r="N33" i="25" s="1"/>
  <c r="N38" i="25" s="1"/>
  <c r="M40" i="25"/>
  <c r="H32" i="20"/>
  <c r="I32" i="20" s="1"/>
  <c r="AF148" i="1"/>
  <c r="AF149" i="1" s="1"/>
  <c r="L39" i="25"/>
  <c r="L41" i="25"/>
  <c r="AG99" i="1" l="1"/>
  <c r="AF103" i="1"/>
  <c r="AF104" i="1"/>
  <c r="C34" i="35" s="1"/>
  <c r="N40" i="25"/>
  <c r="N34" i="25"/>
  <c r="AE115" i="1"/>
  <c r="AE116" i="1" s="1"/>
  <c r="AE133" i="1" s="1"/>
  <c r="AG148" i="1"/>
  <c r="AG149" i="1" s="1"/>
  <c r="AH143" i="1"/>
  <c r="AH144" i="1" s="1"/>
  <c r="AH146" i="1" s="1"/>
  <c r="E36" i="35" s="1"/>
  <c r="AH130" i="1"/>
  <c r="AH131" i="1" s="1"/>
  <c r="AI127" i="1"/>
  <c r="M39" i="25"/>
  <c r="M41" i="25"/>
  <c r="AE150" i="1"/>
  <c r="C39" i="35" l="1"/>
  <c r="C41" i="35"/>
  <c r="AF115" i="1"/>
  <c r="AF116" i="1" s="1"/>
  <c r="AF133" i="1" s="1"/>
  <c r="C35" i="35"/>
  <c r="AF150" i="1"/>
  <c r="N41" i="25"/>
  <c r="N39" i="25"/>
  <c r="AJ127" i="1"/>
  <c r="AI130" i="1"/>
  <c r="AI131" i="1" s="1"/>
  <c r="AI143" i="1"/>
  <c r="AI144" i="1" s="1"/>
  <c r="AI146" i="1" s="1"/>
  <c r="F36" i="35" s="1"/>
  <c r="AH148" i="1"/>
  <c r="AH149" i="1" s="1"/>
  <c r="AH99" i="1"/>
  <c r="AG104" i="1"/>
  <c r="D34" i="35" s="1"/>
  <c r="AG103" i="1"/>
  <c r="AG115" i="1" l="1"/>
  <c r="AG116" i="1" s="1"/>
  <c r="AG133" i="1" s="1"/>
  <c r="D35" i="35"/>
  <c r="C42" i="35"/>
  <c r="C40" i="35"/>
  <c r="D39" i="35"/>
  <c r="D41" i="35"/>
  <c r="AG150" i="1"/>
  <c r="AI148" i="1"/>
  <c r="AI149" i="1" s="1"/>
  <c r="AJ130" i="1"/>
  <c r="AJ131" i="1" s="1"/>
  <c r="AK127" i="1"/>
  <c r="AJ143" i="1"/>
  <c r="AJ144" i="1" s="1"/>
  <c r="AJ146" i="1" s="1"/>
  <c r="G36" i="35" s="1"/>
  <c r="AH103" i="1"/>
  <c r="AH104" i="1"/>
  <c r="E34" i="35" s="1"/>
  <c r="AI99" i="1"/>
  <c r="D42" i="35" l="1"/>
  <c r="D40" i="35"/>
  <c r="E39" i="35"/>
  <c r="E41" i="35"/>
  <c r="AH115" i="1"/>
  <c r="AH116" i="1" s="1"/>
  <c r="AH133" i="1" s="1"/>
  <c r="E35" i="35"/>
  <c r="AH150" i="1"/>
  <c r="AJ99" i="1"/>
  <c r="AI104" i="1"/>
  <c r="F34" i="35" s="1"/>
  <c r="AI103" i="1"/>
  <c r="AJ148" i="1"/>
  <c r="AJ149" i="1" s="1"/>
  <c r="AK130" i="1"/>
  <c r="AK131" i="1" s="1"/>
  <c r="AK143" i="1"/>
  <c r="AK144" i="1" s="1"/>
  <c r="AK146" i="1" s="1"/>
  <c r="H36" i="35" s="1"/>
  <c r="AL127" i="1"/>
  <c r="E42" i="35" l="1"/>
  <c r="E40" i="35"/>
  <c r="AI115" i="1"/>
  <c r="AI116" i="1" s="1"/>
  <c r="AI133" i="1" s="1"/>
  <c r="F35" i="35"/>
  <c r="F39" i="35"/>
  <c r="F41" i="35"/>
  <c r="AI150" i="1"/>
  <c r="AM127" i="1"/>
  <c r="AL143" i="1"/>
  <c r="AL144" i="1" s="1"/>
  <c r="AL146" i="1" s="1"/>
  <c r="I36" i="35" s="1"/>
  <c r="AL130" i="1"/>
  <c r="AL131" i="1" s="1"/>
  <c r="AK148" i="1"/>
  <c r="AK149" i="1" s="1"/>
  <c r="AJ104" i="1"/>
  <c r="G34" i="35" s="1"/>
  <c r="AJ103" i="1"/>
  <c r="AK99" i="1"/>
  <c r="F42" i="35" l="1"/>
  <c r="F40" i="35"/>
  <c r="G41" i="35"/>
  <c r="G39" i="35"/>
  <c r="AJ115" i="1"/>
  <c r="AJ116" i="1" s="1"/>
  <c r="AJ133" i="1" s="1"/>
  <c r="G35" i="35"/>
  <c r="AJ150" i="1"/>
  <c r="AM143" i="1"/>
  <c r="AM144" i="1" s="1"/>
  <c r="AM146" i="1" s="1"/>
  <c r="J36" i="35" s="1"/>
  <c r="AN127" i="1"/>
  <c r="AM130" i="1"/>
  <c r="AM131" i="1" s="1"/>
  <c r="AL148" i="1"/>
  <c r="AL149" i="1" s="1"/>
  <c r="AL99" i="1"/>
  <c r="AK104" i="1"/>
  <c r="H34" i="35" s="1"/>
  <c r="AK103" i="1"/>
  <c r="H41" i="35" l="1"/>
  <c r="H39" i="35"/>
  <c r="AK115" i="1"/>
  <c r="AK116" i="1" s="1"/>
  <c r="AK133" i="1" s="1"/>
  <c r="H35" i="35"/>
  <c r="G40" i="35"/>
  <c r="G42" i="35"/>
  <c r="AM148" i="1"/>
  <c r="AM149" i="1" s="1"/>
  <c r="AK150" i="1"/>
  <c r="AN130" i="1"/>
  <c r="AN131" i="1" s="1"/>
  <c r="AN143" i="1"/>
  <c r="AN144" i="1" s="1"/>
  <c r="AN146" i="1" s="1"/>
  <c r="K36" i="35" s="1"/>
  <c r="AO127" i="1"/>
  <c r="AM99" i="1"/>
  <c r="AL104" i="1"/>
  <c r="I34" i="35" s="1"/>
  <c r="AL103" i="1"/>
  <c r="I41" i="35" l="1"/>
  <c r="I39" i="35"/>
  <c r="AL115" i="1"/>
  <c r="AL116" i="1" s="1"/>
  <c r="AL133" i="1" s="1"/>
  <c r="I35" i="35"/>
  <c r="H40" i="35"/>
  <c r="H42" i="35"/>
  <c r="AN148" i="1"/>
  <c r="AN149" i="1" s="1"/>
  <c r="AM103" i="1"/>
  <c r="AN99" i="1"/>
  <c r="AM104" i="1"/>
  <c r="J34" i="35" s="1"/>
  <c r="AL150" i="1"/>
  <c r="AO143" i="1"/>
  <c r="AO144" i="1" s="1"/>
  <c r="AO146" i="1" s="1"/>
  <c r="L36" i="35" s="1"/>
  <c r="AO130" i="1"/>
  <c r="AO131" i="1" s="1"/>
  <c r="AP127" i="1"/>
  <c r="I40" i="35" l="1"/>
  <c r="I42" i="35"/>
  <c r="AM115" i="1"/>
  <c r="AM116" i="1" s="1"/>
  <c r="AM133" i="1" s="1"/>
  <c r="J35" i="35"/>
  <c r="J41" i="35"/>
  <c r="J39" i="35"/>
  <c r="AO148" i="1"/>
  <c r="AO149" i="1" s="1"/>
  <c r="AN104" i="1"/>
  <c r="K34" i="35" s="1"/>
  <c r="AN103" i="1"/>
  <c r="AO99" i="1"/>
  <c r="AQ127" i="1"/>
  <c r="AP130" i="1"/>
  <c r="AP131" i="1" s="1"/>
  <c r="AP143" i="1"/>
  <c r="AP144" i="1" s="1"/>
  <c r="AP146" i="1" s="1"/>
  <c r="M36" i="35" s="1"/>
  <c r="AM150" i="1"/>
  <c r="J40" i="35" l="1"/>
  <c r="J42" i="35"/>
  <c r="K39" i="35"/>
  <c r="K41" i="35"/>
  <c r="AN115" i="1"/>
  <c r="AN116" i="1" s="1"/>
  <c r="AN133" i="1" s="1"/>
  <c r="K35" i="35"/>
  <c r="AR127" i="1"/>
  <c r="AQ143" i="1"/>
  <c r="AQ144" i="1" s="1"/>
  <c r="AQ146" i="1" s="1"/>
  <c r="N36" i="35" s="1"/>
  <c r="AQ130" i="1"/>
  <c r="AQ131" i="1" s="1"/>
  <c r="AP99" i="1"/>
  <c r="AO104" i="1"/>
  <c r="L34" i="35" s="1"/>
  <c r="AO103" i="1"/>
  <c r="AP148" i="1"/>
  <c r="AP149" i="1" s="1"/>
  <c r="AN150" i="1"/>
  <c r="L39" i="35" l="1"/>
  <c r="L41" i="35"/>
  <c r="AO115" i="1"/>
  <c r="AO116" i="1" s="1"/>
  <c r="AO133" i="1" s="1"/>
  <c r="L35" i="35"/>
  <c r="K42" i="35"/>
  <c r="K40" i="35"/>
  <c r="AO150" i="1"/>
  <c r="AQ148" i="1"/>
  <c r="AQ149" i="1" s="1"/>
  <c r="AQ99" i="1"/>
  <c r="AP104" i="1"/>
  <c r="M34" i="35" s="1"/>
  <c r="AP103" i="1"/>
  <c r="AR130" i="1"/>
  <c r="AR131" i="1" s="1"/>
  <c r="AR143" i="1"/>
  <c r="AR144" i="1" s="1"/>
  <c r="AR146" i="1" s="1"/>
  <c r="AS127" i="1"/>
  <c r="AP115" i="1" l="1"/>
  <c r="AP116" i="1" s="1"/>
  <c r="AP133" i="1" s="1"/>
  <c r="M35" i="35"/>
  <c r="M39" i="35"/>
  <c r="M41" i="35"/>
  <c r="L42" i="35"/>
  <c r="L40" i="35"/>
  <c r="AP150" i="1"/>
  <c r="AT127" i="1"/>
  <c r="AS130" i="1"/>
  <c r="AS131" i="1" s="1"/>
  <c r="AS143" i="1"/>
  <c r="AS144" i="1" s="1"/>
  <c r="AS146" i="1" s="1"/>
  <c r="AQ104" i="1"/>
  <c r="N34" i="35" s="1"/>
  <c r="AQ103" i="1"/>
  <c r="AR99" i="1"/>
  <c r="AR148" i="1"/>
  <c r="AR149" i="1" s="1"/>
  <c r="N39" i="35" l="1"/>
  <c r="N41" i="35"/>
  <c r="M42" i="35"/>
  <c r="M40" i="35"/>
  <c r="AQ115" i="1"/>
  <c r="AQ116" i="1" s="1"/>
  <c r="AQ133" i="1" s="1"/>
  <c r="N35" i="35"/>
  <c r="AQ150" i="1"/>
  <c r="AS148" i="1"/>
  <c r="AS149" i="1" s="1"/>
  <c r="AT130" i="1"/>
  <c r="AT131" i="1" s="1"/>
  <c r="AT143" i="1"/>
  <c r="AT144" i="1" s="1"/>
  <c r="AT146" i="1" s="1"/>
  <c r="AU127" i="1"/>
  <c r="AS99" i="1"/>
  <c r="AR103" i="1"/>
  <c r="AR115" i="1" s="1"/>
  <c r="AR116" i="1" s="1"/>
  <c r="AR133" i="1" s="1"/>
  <c r="AR104" i="1"/>
  <c r="N42" i="35" l="1"/>
  <c r="N40" i="35"/>
  <c r="AR150" i="1"/>
  <c r="AS103" i="1"/>
  <c r="AS115" i="1" s="1"/>
  <c r="AS116" i="1" s="1"/>
  <c r="AS133" i="1" s="1"/>
  <c r="AT99" i="1"/>
  <c r="AS104" i="1"/>
  <c r="AU143" i="1"/>
  <c r="AU144" i="1" s="1"/>
  <c r="AU146" i="1" s="1"/>
  <c r="AU130" i="1"/>
  <c r="AU131" i="1" s="1"/>
  <c r="AV127" i="1"/>
  <c r="AT148" i="1"/>
  <c r="AT149" i="1" s="1"/>
  <c r="AS150" i="1" l="1"/>
  <c r="AT104" i="1"/>
  <c r="AU99" i="1"/>
  <c r="AT103" i="1"/>
  <c r="AT115" i="1" s="1"/>
  <c r="AT116" i="1" s="1"/>
  <c r="AT133" i="1" s="1"/>
  <c r="AU148" i="1"/>
  <c r="AU149" i="1" s="1"/>
  <c r="AV130" i="1"/>
  <c r="AV131" i="1" s="1"/>
  <c r="AW127" i="1"/>
  <c r="AV143" i="1"/>
  <c r="AV144" i="1" s="1"/>
  <c r="AV146" i="1" s="1"/>
  <c r="AT150" i="1" l="1"/>
  <c r="AV148" i="1"/>
  <c r="AV149" i="1" s="1"/>
  <c r="AV99" i="1"/>
  <c r="AU103" i="1"/>
  <c r="AU115" i="1" s="1"/>
  <c r="AU116" i="1" s="1"/>
  <c r="AU133" i="1" s="1"/>
  <c r="AU104" i="1"/>
  <c r="AX127" i="1"/>
  <c r="AW143" i="1"/>
  <c r="AW144" i="1" s="1"/>
  <c r="AW146" i="1" s="1"/>
  <c r="AW130" i="1"/>
  <c r="AW131" i="1" s="1"/>
  <c r="AU150" i="1" l="1"/>
  <c r="AY127" i="1"/>
  <c r="AX130" i="1"/>
  <c r="AX131" i="1" s="1"/>
  <c r="AX143" i="1"/>
  <c r="AX144" i="1" s="1"/>
  <c r="AX146" i="1" s="1"/>
  <c r="AV103" i="1"/>
  <c r="AV115" i="1" s="1"/>
  <c r="AV116" i="1" s="1"/>
  <c r="AV133" i="1" s="1"/>
  <c r="AW99" i="1"/>
  <c r="AV104" i="1"/>
  <c r="AW148" i="1"/>
  <c r="AW149" i="1" s="1"/>
  <c r="AV150" i="1" l="1"/>
  <c r="AX148" i="1"/>
  <c r="AX149" i="1" s="1"/>
  <c r="AW104" i="1"/>
  <c r="AW103" i="1"/>
  <c r="AW115" i="1" s="1"/>
  <c r="AW116" i="1" s="1"/>
  <c r="AW133" i="1" s="1"/>
  <c r="AX99" i="1"/>
  <c r="AY130" i="1"/>
  <c r="AY131" i="1" s="1"/>
  <c r="AY143" i="1"/>
  <c r="AY144" i="1" s="1"/>
  <c r="AY146" i="1" s="1"/>
  <c r="AZ127" i="1"/>
  <c r="AX104" i="1" l="1"/>
  <c r="AY99" i="1"/>
  <c r="AX103" i="1"/>
  <c r="AX115" i="1" s="1"/>
  <c r="AX116" i="1" s="1"/>
  <c r="AX133" i="1" s="1"/>
  <c r="AW150" i="1"/>
  <c r="AZ130" i="1"/>
  <c r="AZ131" i="1" s="1"/>
  <c r="BA127" i="1"/>
  <c r="AZ143" i="1"/>
  <c r="AZ144" i="1" s="1"/>
  <c r="AZ146" i="1" s="1"/>
  <c r="AY148" i="1"/>
  <c r="AY149" i="1" s="1"/>
  <c r="AX150" i="1" l="1"/>
  <c r="AY104" i="1"/>
  <c r="AZ99" i="1"/>
  <c r="AY103" i="1"/>
  <c r="AY115" i="1" s="1"/>
  <c r="AY116" i="1" s="1"/>
  <c r="AY133" i="1" s="1"/>
  <c r="BA130" i="1"/>
  <c r="BA131" i="1" s="1"/>
  <c r="BA143" i="1"/>
  <c r="BA144" i="1" s="1"/>
  <c r="BA146" i="1" s="1"/>
  <c r="BB127" i="1"/>
  <c r="AZ148" i="1"/>
  <c r="AZ149" i="1" s="1"/>
  <c r="AY150" i="1" l="1"/>
  <c r="BB130" i="1"/>
  <c r="BB131" i="1" s="1"/>
  <c r="BB143" i="1"/>
  <c r="BB144" i="1" s="1"/>
  <c r="BB146" i="1" s="1"/>
  <c r="BC127" i="1"/>
  <c r="AZ103" i="1"/>
  <c r="AZ115" i="1" s="1"/>
  <c r="AZ116" i="1" s="1"/>
  <c r="AZ133" i="1" s="1"/>
  <c r="AZ104" i="1"/>
  <c r="BA99" i="1"/>
  <c r="BA148" i="1"/>
  <c r="BA149" i="1" s="1"/>
  <c r="AZ150" i="1" l="1"/>
  <c r="BB148" i="1"/>
  <c r="BB149" i="1" s="1"/>
  <c r="BB99" i="1"/>
  <c r="BA104" i="1"/>
  <c r="BA103" i="1"/>
  <c r="BA115" i="1" s="1"/>
  <c r="BA116" i="1" s="1"/>
  <c r="BA133" i="1" s="1"/>
  <c r="BC130" i="1"/>
  <c r="BC131" i="1" s="1"/>
  <c r="BC143" i="1"/>
  <c r="BC144" i="1" s="1"/>
  <c r="BC146" i="1" s="1"/>
  <c r="BD127" i="1"/>
  <c r="BA150" i="1" l="1"/>
  <c r="BE127" i="1"/>
  <c r="BD143" i="1"/>
  <c r="BD144" i="1" s="1"/>
  <c r="BD146" i="1" s="1"/>
  <c r="BD130" i="1"/>
  <c r="BD131" i="1" s="1"/>
  <c r="BB104" i="1"/>
  <c r="BC99" i="1"/>
  <c r="BB103" i="1"/>
  <c r="BB115" i="1" s="1"/>
  <c r="BB116" i="1" s="1"/>
  <c r="BB133" i="1" s="1"/>
  <c r="BC148" i="1"/>
  <c r="BC149" i="1" s="1"/>
  <c r="BB150" i="1" l="1"/>
  <c r="BC104" i="1"/>
  <c r="BC103" i="1"/>
  <c r="BC115" i="1" s="1"/>
  <c r="BC116" i="1" s="1"/>
  <c r="BC133" i="1" s="1"/>
  <c r="BD99" i="1"/>
  <c r="BD148" i="1"/>
  <c r="BD149" i="1" s="1"/>
  <c r="BE130" i="1"/>
  <c r="BE131" i="1" s="1"/>
  <c r="BE143" i="1"/>
  <c r="BE144" i="1" s="1"/>
  <c r="BE146" i="1" s="1"/>
  <c r="BF127" i="1"/>
  <c r="BC150" i="1" l="1"/>
  <c r="BF130" i="1"/>
  <c r="BF131" i="1" s="1"/>
  <c r="BF143" i="1"/>
  <c r="BF144" i="1" s="1"/>
  <c r="BF146" i="1" s="1"/>
  <c r="BG127" i="1"/>
  <c r="BE148" i="1"/>
  <c r="BE149" i="1" s="1"/>
  <c r="BD103" i="1"/>
  <c r="BD115" i="1" s="1"/>
  <c r="BD116" i="1" s="1"/>
  <c r="BD133" i="1" s="1"/>
  <c r="BD104" i="1"/>
  <c r="BE99" i="1"/>
  <c r="BF99" i="1" l="1"/>
  <c r="BE104" i="1"/>
  <c r="BE103" i="1"/>
  <c r="BE115" i="1" s="1"/>
  <c r="BE116" i="1" s="1"/>
  <c r="BE133" i="1" s="1"/>
  <c r="BD150" i="1"/>
  <c r="BF148" i="1"/>
  <c r="BF149" i="1" s="1"/>
  <c r="BH127" i="1"/>
  <c r="BG143" i="1"/>
  <c r="BG144" i="1" s="1"/>
  <c r="BG146" i="1" s="1"/>
  <c r="BG130" i="1"/>
  <c r="BG131" i="1" s="1"/>
  <c r="BE150" i="1" l="1"/>
  <c r="BF104" i="1"/>
  <c r="BG99" i="1"/>
  <c r="BF103" i="1"/>
  <c r="BF115" i="1" s="1"/>
  <c r="BF116" i="1" s="1"/>
  <c r="BF133" i="1" s="1"/>
  <c r="BH130" i="1"/>
  <c r="BH131" i="1" s="1"/>
  <c r="BH143" i="1"/>
  <c r="BH144" i="1" s="1"/>
  <c r="BH146" i="1" s="1"/>
  <c r="BI127" i="1"/>
  <c r="BG148" i="1"/>
  <c r="BG149" i="1" s="1"/>
  <c r="BH148" i="1" l="1"/>
  <c r="BH149" i="1" s="1"/>
  <c r="BJ127" i="1"/>
  <c r="BI130" i="1"/>
  <c r="BI131" i="1" s="1"/>
  <c r="BI143" i="1"/>
  <c r="BI144" i="1" s="1"/>
  <c r="BI146" i="1" s="1"/>
  <c r="BG104" i="1"/>
  <c r="BH99" i="1"/>
  <c r="BG103" i="1"/>
  <c r="BG115" i="1" s="1"/>
  <c r="BG116" i="1" s="1"/>
  <c r="BG133" i="1" s="1"/>
  <c r="BF150" i="1"/>
  <c r="BJ130" i="1" l="1"/>
  <c r="BJ131" i="1" s="1"/>
  <c r="BJ143" i="1"/>
  <c r="BJ144" i="1" s="1"/>
  <c r="BJ146" i="1" s="1"/>
  <c r="BK127" i="1"/>
  <c r="BI148" i="1"/>
  <c r="BI149" i="1" s="1"/>
  <c r="BI99" i="1"/>
  <c r="BH104" i="1"/>
  <c r="BH103" i="1"/>
  <c r="BH115" i="1" s="1"/>
  <c r="BH116" i="1" s="1"/>
  <c r="BH133" i="1" s="1"/>
  <c r="BG150" i="1"/>
  <c r="BI103" i="1" l="1"/>
  <c r="BI115" i="1" s="1"/>
  <c r="BI116" i="1" s="1"/>
  <c r="BI133" i="1" s="1"/>
  <c r="BJ99" i="1"/>
  <c r="BI104" i="1"/>
  <c r="BH150" i="1"/>
  <c r="BJ148" i="1"/>
  <c r="BJ149" i="1" s="1"/>
  <c r="BL127" i="1"/>
  <c r="BK143" i="1"/>
  <c r="BK144" i="1" s="1"/>
  <c r="BK146" i="1" s="1"/>
  <c r="BK130" i="1"/>
  <c r="BK131" i="1" s="1"/>
  <c r="BI150" i="1" l="1"/>
  <c r="BL130" i="1"/>
  <c r="BL131" i="1" s="1"/>
  <c r="BM127" i="1"/>
  <c r="BL143" i="1"/>
  <c r="BL144" i="1" s="1"/>
  <c r="BL146" i="1" s="1"/>
  <c r="BK148" i="1"/>
  <c r="BK149" i="1" s="1"/>
  <c r="BK99" i="1"/>
  <c r="BJ104" i="1"/>
  <c r="BJ103" i="1"/>
  <c r="BJ115" i="1" s="1"/>
  <c r="BJ116" i="1" s="1"/>
  <c r="BJ133" i="1" s="1"/>
  <c r="BK104" i="1" l="1"/>
  <c r="BK103" i="1"/>
  <c r="BK115" i="1" s="1"/>
  <c r="BK116" i="1" s="1"/>
  <c r="BK133" i="1" s="1"/>
  <c r="BL99" i="1"/>
  <c r="BJ150" i="1"/>
  <c r="BL148" i="1"/>
  <c r="BL149" i="1" s="1"/>
  <c r="BM130" i="1"/>
  <c r="BM131" i="1" s="1"/>
  <c r="BN127" i="1"/>
  <c r="BM143" i="1"/>
  <c r="BM144" i="1" s="1"/>
  <c r="BM146" i="1" s="1"/>
  <c r="BK150" i="1" l="1"/>
  <c r="BN130" i="1"/>
  <c r="BN131" i="1" s="1"/>
  <c r="BO127" i="1"/>
  <c r="BN143" i="1"/>
  <c r="BN144" i="1" s="1"/>
  <c r="BN146" i="1" s="1"/>
  <c r="BM148" i="1"/>
  <c r="BM149" i="1" s="1"/>
  <c r="BM99" i="1"/>
  <c r="BL104" i="1"/>
  <c r="BL103" i="1"/>
  <c r="BL115" i="1" s="1"/>
  <c r="BL116" i="1" s="1"/>
  <c r="BL133" i="1" s="1"/>
  <c r="BL150" i="1" l="1"/>
  <c r="BM104" i="1"/>
  <c r="BM103" i="1"/>
  <c r="BM115" i="1" s="1"/>
  <c r="BM116" i="1" s="1"/>
  <c r="BM133" i="1" s="1"/>
  <c r="BN99" i="1"/>
  <c r="BN148" i="1"/>
  <c r="BN149" i="1" s="1"/>
  <c r="BP127" i="1"/>
  <c r="BO143" i="1"/>
  <c r="BO144" i="1" s="1"/>
  <c r="BO146" i="1" s="1"/>
  <c r="BO130" i="1"/>
  <c r="BO131" i="1" s="1"/>
  <c r="BM150" i="1" l="1"/>
  <c r="BQ127" i="1"/>
  <c r="BP143" i="1"/>
  <c r="BP144" i="1" s="1"/>
  <c r="BP146" i="1" s="1"/>
  <c r="BP130" i="1"/>
  <c r="BP131" i="1" s="1"/>
  <c r="BO148" i="1"/>
  <c r="BO149" i="1" s="1"/>
  <c r="BN104" i="1"/>
  <c r="BO99" i="1"/>
  <c r="BN103" i="1"/>
  <c r="BN115" i="1" s="1"/>
  <c r="BN116" i="1" s="1"/>
  <c r="BN133" i="1" s="1"/>
  <c r="BO104" i="1" l="1"/>
  <c r="BO103" i="1"/>
  <c r="BO115" i="1" s="1"/>
  <c r="BO116" i="1" s="1"/>
  <c r="BO133" i="1" s="1"/>
  <c r="BP99" i="1"/>
  <c r="BP148" i="1"/>
  <c r="BP149" i="1" s="1"/>
  <c r="BN150" i="1"/>
  <c r="BR127" i="1"/>
  <c r="BQ143" i="1"/>
  <c r="BQ144" i="1" s="1"/>
  <c r="BQ146" i="1" s="1"/>
  <c r="BQ130" i="1"/>
  <c r="BQ131" i="1" s="1"/>
  <c r="BO150" i="1" l="1"/>
  <c r="BS127" i="1"/>
  <c r="BR130" i="1"/>
  <c r="BR131" i="1" s="1"/>
  <c r="BR143" i="1"/>
  <c r="BR144" i="1" s="1"/>
  <c r="BR146" i="1" s="1"/>
  <c r="BQ99" i="1"/>
  <c r="BP104" i="1"/>
  <c r="BP103" i="1"/>
  <c r="BP115" i="1" s="1"/>
  <c r="BP116" i="1" s="1"/>
  <c r="BP133" i="1" s="1"/>
  <c r="BQ148" i="1"/>
  <c r="BQ149" i="1" s="1"/>
  <c r="BR99" i="1" l="1"/>
  <c r="BQ104" i="1"/>
  <c r="BQ103" i="1"/>
  <c r="BQ115" i="1" s="1"/>
  <c r="BQ116" i="1" s="1"/>
  <c r="BQ133" i="1" s="1"/>
  <c r="BS143" i="1"/>
  <c r="BS144" i="1" s="1"/>
  <c r="BS146" i="1" s="1"/>
  <c r="BT127" i="1"/>
  <c r="BS130" i="1"/>
  <c r="BS131" i="1" s="1"/>
  <c r="BR148" i="1"/>
  <c r="BR149" i="1" s="1"/>
  <c r="BP150" i="1"/>
  <c r="BQ150" i="1" l="1"/>
  <c r="BS148" i="1"/>
  <c r="BS149" i="1" s="1"/>
  <c r="BT143" i="1"/>
  <c r="BT144" i="1" s="1"/>
  <c r="BT146" i="1" s="1"/>
  <c r="BU127" i="1"/>
  <c r="BT130" i="1"/>
  <c r="BT131" i="1" s="1"/>
  <c r="BS99" i="1"/>
  <c r="BR104" i="1"/>
  <c r="BR103" i="1"/>
  <c r="BR115" i="1" s="1"/>
  <c r="BR116" i="1" s="1"/>
  <c r="BR133" i="1" s="1"/>
  <c r="BS104" i="1" l="1"/>
  <c r="BS103" i="1"/>
  <c r="BS115" i="1" s="1"/>
  <c r="BS116" i="1" s="1"/>
  <c r="BS133" i="1" s="1"/>
  <c r="BT99" i="1"/>
  <c r="BR150" i="1"/>
  <c r="BU130" i="1"/>
  <c r="BU131" i="1" s="1"/>
  <c r="BV127" i="1"/>
  <c r="BU143" i="1"/>
  <c r="BU144" i="1" s="1"/>
  <c r="BU146" i="1" s="1"/>
  <c r="BT148" i="1"/>
  <c r="BT149" i="1" s="1"/>
  <c r="BS150" i="1" l="1"/>
  <c r="BW127" i="1"/>
  <c r="BV130" i="1"/>
  <c r="BV131" i="1" s="1"/>
  <c r="BV143" i="1"/>
  <c r="BV144" i="1" s="1"/>
  <c r="BV146" i="1" s="1"/>
  <c r="BU99" i="1"/>
  <c r="BT103" i="1"/>
  <c r="BT115" i="1" s="1"/>
  <c r="BT116" i="1" s="1"/>
  <c r="BT133" i="1" s="1"/>
  <c r="BT104" i="1"/>
  <c r="BU148" i="1"/>
  <c r="BU149" i="1" s="1"/>
  <c r="BV148" i="1" l="1"/>
  <c r="BV149" i="1" s="1"/>
  <c r="BV99" i="1"/>
  <c r="BU103" i="1"/>
  <c r="BU115" i="1" s="1"/>
  <c r="BU116" i="1" s="1"/>
  <c r="BU133" i="1" s="1"/>
  <c r="BU104" i="1"/>
  <c r="BT150" i="1"/>
  <c r="BX127" i="1"/>
  <c r="BW143" i="1"/>
  <c r="BW144" i="1" s="1"/>
  <c r="BW146" i="1" s="1"/>
  <c r="BW130" i="1"/>
  <c r="BW131" i="1" s="1"/>
  <c r="BV104" i="1" l="1"/>
  <c r="BV103" i="1"/>
  <c r="BV115" i="1" s="1"/>
  <c r="BV116" i="1" s="1"/>
  <c r="BV133" i="1" s="1"/>
  <c r="BW99" i="1"/>
  <c r="BX143" i="1"/>
  <c r="BX144" i="1" s="1"/>
  <c r="BX146" i="1" s="1"/>
  <c r="BX130" i="1"/>
  <c r="BX131" i="1" s="1"/>
  <c r="BY127" i="1"/>
  <c r="BU150" i="1"/>
  <c r="BW148" i="1"/>
  <c r="BW149" i="1" s="1"/>
  <c r="BV150" i="1" l="1"/>
  <c r="BZ127" i="1"/>
  <c r="BY130" i="1"/>
  <c r="BY131" i="1" s="1"/>
  <c r="BY143" i="1"/>
  <c r="BY144" i="1" s="1"/>
  <c r="BY146" i="1" s="1"/>
  <c r="BW104" i="1"/>
  <c r="BX99" i="1"/>
  <c r="BW103" i="1"/>
  <c r="BW115" i="1" s="1"/>
  <c r="BW116" i="1" s="1"/>
  <c r="BW133" i="1" s="1"/>
  <c r="BX148" i="1"/>
  <c r="BX149" i="1" s="1"/>
  <c r="BW150" i="1" l="1"/>
  <c r="BX103" i="1"/>
  <c r="BX115" i="1" s="1"/>
  <c r="BX116" i="1" s="1"/>
  <c r="BX133" i="1" s="1"/>
  <c r="BY99" i="1"/>
  <c r="BX104" i="1"/>
  <c r="CA127" i="1"/>
  <c r="BZ143" i="1"/>
  <c r="BZ144" i="1" s="1"/>
  <c r="BZ146" i="1" s="1"/>
  <c r="BZ130" i="1"/>
  <c r="BZ131" i="1" s="1"/>
  <c r="BY148" i="1"/>
  <c r="BY149" i="1" s="1"/>
  <c r="BX150" i="1" l="1"/>
  <c r="BZ99" i="1"/>
  <c r="BY104" i="1"/>
  <c r="BY103" i="1"/>
  <c r="BY115" i="1" s="1"/>
  <c r="BY116" i="1" s="1"/>
  <c r="BY133" i="1" s="1"/>
  <c r="BZ148" i="1"/>
  <c r="BZ149" i="1" s="1"/>
  <c r="CA130" i="1"/>
  <c r="CA131" i="1" s="1"/>
  <c r="CA143" i="1"/>
  <c r="CA144" i="1" s="1"/>
  <c r="CA146" i="1" s="1"/>
  <c r="CB127" i="1"/>
  <c r="BY150" i="1" l="1"/>
  <c r="CA148" i="1"/>
  <c r="CA149" i="1" s="1"/>
  <c r="CB130" i="1"/>
  <c r="CB131" i="1" s="1"/>
  <c r="CB143" i="1"/>
  <c r="CB144" i="1" s="1"/>
  <c r="CB146" i="1" s="1"/>
  <c r="CC127" i="1"/>
  <c r="BZ104" i="1"/>
  <c r="CA99" i="1"/>
  <c r="BZ103" i="1"/>
  <c r="BZ115" i="1" s="1"/>
  <c r="BZ116" i="1" s="1"/>
  <c r="BZ133" i="1" s="1"/>
  <c r="BZ150" i="1" l="1"/>
  <c r="CB148" i="1"/>
  <c r="CB149" i="1" s="1"/>
  <c r="CA104" i="1"/>
  <c r="CA103" i="1"/>
  <c r="CA115" i="1" s="1"/>
  <c r="CA116" i="1" s="1"/>
  <c r="CA133" i="1" s="1"/>
  <c r="CB99" i="1"/>
  <c r="CC130" i="1"/>
  <c r="CC131" i="1" s="1"/>
  <c r="CD127" i="1"/>
  <c r="CC143" i="1"/>
  <c r="CC144" i="1" s="1"/>
  <c r="CC146" i="1" s="1"/>
  <c r="CD130" i="1" l="1"/>
  <c r="CD131" i="1" s="1"/>
  <c r="CE127" i="1"/>
  <c r="CD143" i="1"/>
  <c r="CD144" i="1" s="1"/>
  <c r="CD146" i="1" s="1"/>
  <c r="CC99" i="1"/>
  <c r="CB104" i="1"/>
  <c r="CB103" i="1"/>
  <c r="CB115" i="1" s="1"/>
  <c r="CB116" i="1" s="1"/>
  <c r="CB133" i="1" s="1"/>
  <c r="CA150" i="1"/>
  <c r="CC148" i="1"/>
  <c r="CC149" i="1" s="1"/>
  <c r="CD148" i="1" l="1"/>
  <c r="CD149" i="1" s="1"/>
  <c r="CD99" i="1"/>
  <c r="CC104" i="1"/>
  <c r="CC103" i="1"/>
  <c r="CC115" i="1" s="1"/>
  <c r="CC116" i="1" s="1"/>
  <c r="CC133" i="1" s="1"/>
  <c r="CB150" i="1"/>
  <c r="CE130" i="1"/>
  <c r="CE131" i="1" s="1"/>
  <c r="CE143" i="1"/>
  <c r="CE144" i="1" s="1"/>
  <c r="CE146" i="1" s="1"/>
  <c r="CF127" i="1"/>
  <c r="CE99" i="1" l="1"/>
  <c r="CD104" i="1"/>
  <c r="CD103" i="1"/>
  <c r="CD115" i="1" s="1"/>
  <c r="CD116" i="1" s="1"/>
  <c r="CD133" i="1" s="1"/>
  <c r="CG127" i="1"/>
  <c r="CF130" i="1"/>
  <c r="CF131" i="1" s="1"/>
  <c r="CF143" i="1"/>
  <c r="CF144" i="1" s="1"/>
  <c r="CF146" i="1" s="1"/>
  <c r="CC150" i="1"/>
  <c r="CE148" i="1"/>
  <c r="CE149" i="1" s="1"/>
  <c r="CD150" i="1" l="1"/>
  <c r="CE104" i="1"/>
  <c r="CE103" i="1"/>
  <c r="CE115" i="1" s="1"/>
  <c r="CE116" i="1" s="1"/>
  <c r="CE133" i="1" s="1"/>
  <c r="CF99" i="1"/>
  <c r="CG143" i="1"/>
  <c r="CG144" i="1" s="1"/>
  <c r="CG146" i="1" s="1"/>
  <c r="CG130" i="1"/>
  <c r="CG131" i="1" s="1"/>
  <c r="CH127" i="1"/>
  <c r="CF148" i="1"/>
  <c r="CF149" i="1" s="1"/>
  <c r="CG148" i="1" l="1"/>
  <c r="CG149" i="1" s="1"/>
  <c r="CE150" i="1"/>
  <c r="CH143" i="1"/>
  <c r="CH144" i="1" s="1"/>
  <c r="CH146" i="1" s="1"/>
  <c r="CI127" i="1"/>
  <c r="CH130" i="1"/>
  <c r="CH131" i="1" s="1"/>
  <c r="CF103" i="1"/>
  <c r="CF115" i="1" s="1"/>
  <c r="CF116" i="1" s="1"/>
  <c r="CF133" i="1" s="1"/>
  <c r="CG99" i="1"/>
  <c r="CF104" i="1"/>
  <c r="CF150" i="1" l="1"/>
  <c r="CG103" i="1"/>
  <c r="CG115" i="1" s="1"/>
  <c r="CG116" i="1" s="1"/>
  <c r="CG133" i="1" s="1"/>
  <c r="CH99" i="1"/>
  <c r="CG104" i="1"/>
  <c r="CH148" i="1"/>
  <c r="CH149" i="1" s="1"/>
  <c r="CJ127" i="1"/>
  <c r="CI143" i="1"/>
  <c r="CI144" i="1" s="1"/>
  <c r="CI146" i="1" s="1"/>
  <c r="CI130" i="1"/>
  <c r="CI131" i="1" s="1"/>
  <c r="CJ130" i="1" l="1"/>
  <c r="CJ131" i="1" s="1"/>
  <c r="CK127" i="1"/>
  <c r="CJ143" i="1"/>
  <c r="CJ144" i="1" s="1"/>
  <c r="CJ146" i="1" s="1"/>
  <c r="CG150" i="1"/>
  <c r="CI148" i="1"/>
  <c r="CI149" i="1" s="1"/>
  <c r="CH104" i="1"/>
  <c r="CH103" i="1"/>
  <c r="CH115" i="1" s="1"/>
  <c r="CH116" i="1" s="1"/>
  <c r="CH133" i="1" s="1"/>
  <c r="CI99" i="1"/>
  <c r="CI104" i="1" l="1"/>
  <c r="CI103" i="1"/>
  <c r="CI115" i="1" s="1"/>
  <c r="CI116" i="1" s="1"/>
  <c r="CI133" i="1" s="1"/>
  <c r="CJ99" i="1"/>
  <c r="CJ148" i="1"/>
  <c r="CJ149" i="1" s="1"/>
  <c r="CH150" i="1"/>
  <c r="CK143" i="1"/>
  <c r="CK144" i="1" s="1"/>
  <c r="CK146" i="1" s="1"/>
  <c r="CK130" i="1"/>
  <c r="CK131" i="1" s="1"/>
  <c r="CL127" i="1"/>
  <c r="CL130" i="1" l="1"/>
  <c r="CL131" i="1" s="1"/>
  <c r="CM127" i="1"/>
  <c r="CL143" i="1"/>
  <c r="CL144" i="1" s="1"/>
  <c r="CL146" i="1" s="1"/>
  <c r="CK148" i="1"/>
  <c r="CK149" i="1" s="1"/>
  <c r="CI150" i="1"/>
  <c r="CJ104" i="1"/>
  <c r="CJ103" i="1"/>
  <c r="CJ115" i="1" s="1"/>
  <c r="CJ116" i="1" s="1"/>
  <c r="CJ133" i="1" s="1"/>
  <c r="CK99" i="1"/>
  <c r="CN127" i="1" l="1"/>
  <c r="CM143" i="1"/>
  <c r="CM144" i="1" s="1"/>
  <c r="CM146" i="1" s="1"/>
  <c r="CM130" i="1"/>
  <c r="CM131" i="1" s="1"/>
  <c r="CJ150" i="1"/>
  <c r="CL148" i="1"/>
  <c r="CL149" i="1" s="1"/>
  <c r="CK103" i="1"/>
  <c r="CK115" i="1" s="1"/>
  <c r="CK116" i="1" s="1"/>
  <c r="CK133" i="1" s="1"/>
  <c r="CL99" i="1"/>
  <c r="CK104" i="1"/>
  <c r="CK150" i="1" l="1"/>
  <c r="CM148" i="1"/>
  <c r="CM149" i="1" s="1"/>
  <c r="CL104" i="1"/>
  <c r="CL103" i="1"/>
  <c r="CL115" i="1" s="1"/>
  <c r="CL116" i="1" s="1"/>
  <c r="CL133" i="1" s="1"/>
  <c r="CM99" i="1"/>
  <c r="CN130" i="1"/>
  <c r="CN131" i="1" s="1"/>
  <c r="CO127" i="1"/>
  <c r="CN143" i="1"/>
  <c r="CN144" i="1" s="1"/>
  <c r="CN146" i="1" s="1"/>
  <c r="CL150" i="1" l="1"/>
  <c r="CN148" i="1"/>
  <c r="CN149" i="1" s="1"/>
  <c r="CP127" i="1"/>
  <c r="CO143" i="1"/>
  <c r="CO144" i="1" s="1"/>
  <c r="CO146" i="1" s="1"/>
  <c r="CO130" i="1"/>
  <c r="CO131" i="1" s="1"/>
  <c r="CM104" i="1"/>
  <c r="CM103" i="1"/>
  <c r="CM115" i="1" s="1"/>
  <c r="CM116" i="1" s="1"/>
  <c r="CM133" i="1" s="1"/>
  <c r="CN99" i="1"/>
  <c r="CQ127" i="1" l="1"/>
  <c r="CP130" i="1"/>
  <c r="CP131" i="1" s="1"/>
  <c r="CP143" i="1"/>
  <c r="CP144" i="1" s="1"/>
  <c r="CP146" i="1" s="1"/>
  <c r="CO148" i="1"/>
  <c r="CO149" i="1" s="1"/>
  <c r="CO99" i="1"/>
  <c r="CN104" i="1"/>
  <c r="CN103" i="1"/>
  <c r="CN115" i="1" s="1"/>
  <c r="CN116" i="1" s="1"/>
  <c r="CN133" i="1" s="1"/>
  <c r="CM150" i="1"/>
  <c r="CP148" i="1" l="1"/>
  <c r="CP149" i="1" s="1"/>
  <c r="CO103" i="1"/>
  <c r="CO115" i="1" s="1"/>
  <c r="CO116" i="1" s="1"/>
  <c r="CO133" i="1" s="1"/>
  <c r="CP99" i="1"/>
  <c r="CO104" i="1"/>
  <c r="CN150" i="1"/>
  <c r="CQ130" i="1"/>
  <c r="CQ131" i="1" s="1"/>
  <c r="CR127" i="1"/>
  <c r="CQ143" i="1"/>
  <c r="CQ144" i="1" s="1"/>
  <c r="CQ146" i="1" s="1"/>
  <c r="CQ99" i="1" l="1"/>
  <c r="CP104" i="1"/>
  <c r="CP103" i="1"/>
  <c r="CP115" i="1" s="1"/>
  <c r="CP116" i="1" s="1"/>
  <c r="CP133" i="1" s="1"/>
  <c r="CO150" i="1"/>
  <c r="CR143" i="1"/>
  <c r="CR144" i="1" s="1"/>
  <c r="CR146" i="1" s="1"/>
  <c r="CS127" i="1"/>
  <c r="CR130" i="1"/>
  <c r="CR131" i="1" s="1"/>
  <c r="CQ148" i="1"/>
  <c r="CQ149" i="1" s="1"/>
  <c r="CS130" i="1" l="1"/>
  <c r="CS131" i="1" s="1"/>
  <c r="CT127" i="1"/>
  <c r="CS143" i="1"/>
  <c r="CS144" i="1" s="1"/>
  <c r="CS146" i="1" s="1"/>
  <c r="CP150" i="1"/>
  <c r="CR148" i="1"/>
  <c r="CR149" i="1" s="1"/>
  <c r="CR99" i="1"/>
  <c r="CQ104" i="1"/>
  <c r="CQ103" i="1"/>
  <c r="CQ115" i="1" s="1"/>
  <c r="CQ116" i="1" s="1"/>
  <c r="CQ133" i="1" s="1"/>
  <c r="CQ150" i="1" l="1"/>
  <c r="CS99" i="1"/>
  <c r="CR104" i="1"/>
  <c r="CR103" i="1"/>
  <c r="CR115" i="1" s="1"/>
  <c r="CR116" i="1" s="1"/>
  <c r="CR133" i="1" s="1"/>
  <c r="CS148" i="1"/>
  <c r="CS149" i="1" s="1"/>
  <c r="CT130" i="1"/>
  <c r="CT131" i="1" s="1"/>
  <c r="CU127" i="1"/>
  <c r="CT143" i="1"/>
  <c r="CT144" i="1" s="1"/>
  <c r="CT146" i="1" s="1"/>
  <c r="CR150" i="1" l="1"/>
  <c r="CU143" i="1"/>
  <c r="CU144" i="1" s="1"/>
  <c r="CU146" i="1" s="1"/>
  <c r="CV127" i="1"/>
  <c r="CU130" i="1"/>
  <c r="CU131" i="1" s="1"/>
  <c r="CT148" i="1"/>
  <c r="CT149" i="1" s="1"/>
  <c r="CT99" i="1"/>
  <c r="CS104" i="1"/>
  <c r="CS103" i="1"/>
  <c r="CS115" i="1" s="1"/>
  <c r="CS116" i="1" s="1"/>
  <c r="CS133" i="1" s="1"/>
  <c r="CS150" i="1" l="1"/>
  <c r="CV130" i="1"/>
  <c r="CV131" i="1" s="1"/>
  <c r="CW127" i="1"/>
  <c r="CV143" i="1"/>
  <c r="CV144" i="1" s="1"/>
  <c r="CV146" i="1" s="1"/>
  <c r="CT104" i="1"/>
  <c r="CT103" i="1"/>
  <c r="CT115" i="1" s="1"/>
  <c r="CT116" i="1" s="1"/>
  <c r="CT133" i="1" s="1"/>
  <c r="CU99" i="1"/>
  <c r="CU148" i="1"/>
  <c r="CU149" i="1" s="1"/>
  <c r="CT150" i="1" l="1"/>
  <c r="CW130" i="1"/>
  <c r="CW131" i="1" s="1"/>
  <c r="CW143" i="1"/>
  <c r="CW144" i="1" s="1"/>
  <c r="CW146" i="1" s="1"/>
  <c r="CX127" i="1"/>
  <c r="CU104" i="1"/>
  <c r="CU103" i="1"/>
  <c r="CU115" i="1" s="1"/>
  <c r="CU116" i="1" s="1"/>
  <c r="CU133" i="1" s="1"/>
  <c r="CV99" i="1"/>
  <c r="CV148" i="1"/>
  <c r="CV149" i="1" s="1"/>
  <c r="CU150" i="1" l="1"/>
  <c r="CV104" i="1"/>
  <c r="CW99" i="1"/>
  <c r="CV103" i="1"/>
  <c r="CV115" i="1" s="1"/>
  <c r="CV116" i="1" s="1"/>
  <c r="CV133" i="1" s="1"/>
  <c r="CX130" i="1"/>
  <c r="CX131" i="1" s="1"/>
  <c r="CY127" i="1"/>
  <c r="CX143" i="1"/>
  <c r="CX144" i="1" s="1"/>
  <c r="CX146" i="1" s="1"/>
  <c r="CW148" i="1"/>
  <c r="CW149" i="1" s="1"/>
  <c r="CV150" i="1" l="1"/>
  <c r="CX148" i="1"/>
  <c r="CX149" i="1" s="1"/>
  <c r="CY130" i="1"/>
  <c r="CY131" i="1" s="1"/>
  <c r="CY143" i="1"/>
  <c r="CY144" i="1" s="1"/>
  <c r="CY146" i="1" s="1"/>
  <c r="CW104" i="1"/>
  <c r="CX99" i="1"/>
  <c r="CW103" i="1"/>
  <c r="CW115" i="1" s="1"/>
  <c r="CW116" i="1" s="1"/>
  <c r="CW133" i="1" s="1"/>
  <c r="CX104" i="1" l="1"/>
  <c r="CY99" i="1"/>
  <c r="CX103" i="1"/>
  <c r="CX115" i="1" s="1"/>
  <c r="CX116" i="1" s="1"/>
  <c r="CX133" i="1" s="1"/>
  <c r="CW150" i="1"/>
  <c r="CY148" i="1"/>
  <c r="CY149" i="1" s="1"/>
  <c r="CX150" i="1" l="1"/>
  <c r="CY104" i="1"/>
  <c r="CY103" i="1"/>
  <c r="CY115" i="1" s="1"/>
  <c r="CY116" i="1" s="1"/>
  <c r="CY133" i="1" s="1"/>
  <c r="CY1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tc={BF0FDB59-2023-4C23-B382-C0EB98D8D1F2}</author>
    <author>tc={2063327C-1A0B-43FC-8D3F-A71F56E02ED4}</author>
    <author>tc={395F5B66-C868-4B46-A34A-4DD1BC5D1311}</author>
    <author>tc={CB4CA7F3-0F3D-4CFA-8EB0-69BAAD108487}</author>
    <author>tc={EE9D4FF4-0EE6-493F-B152-41B46F8D648B}</author>
    <author>tc={BDD28B83-7534-4018-A23F-187FEDC84FAF}</author>
    <author>tc={735C9239-FB8A-4B36-9D20-C68BC4D2B976}</author>
    <author>tc={701A54C3-1B46-4893-BC62-B2EFF266C055}</author>
  </authors>
  <commentList>
    <comment ref="X33" authorId="0" shapeId="0" xr:uid="{BF0FDB59-2023-4C23-B382-C0EB98D8D1F2}">
      <text>
        <t>[Threaded comment]
Your version of Excel allows you to read this threaded comment; however, any edits to it will get removed if the file is opened in a newer version of Excel. Learn more: https://go.microsoft.com/fwlink/?linkid=870924
Comment:
    2 hours for summer camps/training
2 hours group sports
8 hours personal fitness
0 hours personal sports</t>
      </text>
    </comment>
    <comment ref="Y33" authorId="1" shapeId="0" xr:uid="{2063327C-1A0B-43FC-8D3F-A71F56E02ED4}">
      <text>
        <t>[Threaded comment]
Your version of Excel allows you to read this threaded comment; however, any edits to it will get removed if the file is opened in a newer version of Excel. Learn more: https://go.microsoft.com/fwlink/?linkid=870924
Comment:
    8 hours for camps
8 hours group sports
4 hours personal fitness
12 hours personal sports</t>
      </text>
    </comment>
    <comment ref="Z33" authorId="2" shapeId="0" xr:uid="{395F5B66-C868-4B46-A34A-4DD1BC5D1311}">
      <text>
        <t>[Threaded comment]
Your version of Excel allows you to read this threaded comment; however, any edits to it will get removed if the file is opened in a newer version of Excel. Learn more: https://go.microsoft.com/fwlink/?linkid=870924
Comment:
    8 hours for camps
2 hours group sports
1 hour group fitness
6 hours personal fitness
10 hours personal sports</t>
      </text>
    </comment>
    <comment ref="AA33" authorId="3" shapeId="0" xr:uid="{CB4CA7F3-0F3D-4CFA-8EB0-69BAAD108487}">
      <text>
        <t>[Threaded comment]
Your version of Excel allows you to read this threaded comment; however, any edits to it will get removed if the file is opened in a newer version of Excel. Learn more: https://go.microsoft.com/fwlink/?linkid=870924
Comment:
    0 hours for camps
0 hours group sports
0 hour group fitness
3 hours personal fitness
5 hours personal sports</t>
      </text>
    </comment>
    <comment ref="AB33" authorId="4" shapeId="0" xr:uid="{EE9D4FF4-0EE6-493F-B152-41B46F8D648B}">
      <text>
        <t>[Threaded comment]
Your version of Excel allows you to read this threaded comment; however, any edits to it will get removed if the file is opened in a newer version of Excel. Learn more: https://go.microsoft.com/fwlink/?linkid=870924
Comment:
    0 hours for camps
0 hours group sports
0 hour group fitness
11 hours personal fitness
5 hours personal sports</t>
      </text>
    </comment>
    <comment ref="AC33" authorId="5" shapeId="0" xr:uid="{BDD28B83-7534-4018-A23F-187FEDC84F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hours for camps
0 hours group sports
0 hour group fitness
3 hours personal fitness
6 hours personal sports
</t>
      </text>
    </comment>
    <comment ref="K71" authorId="6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L71" authorId="7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tc={6BF16ADE-962C-4819-9420-DA3B2A8DD524}</author>
  </authors>
  <commentList>
    <comment ref="L24" authorId="0" shapeId="0" xr:uid="{6BF16ADE-962C-4819-9420-DA3B2A8DD524}">
      <text>
        <t>[Threaded comment]
Your version of Excel allows you to read this threaded comment; however, any edits to it will get removed if the file is opened in a newer version of Excel. Learn more: https://go.microsoft.com/fwlink/?linkid=870924
Comment:
    $50 30 min Consultation</t>
      </text>
    </comment>
  </commentList>
</comments>
</file>

<file path=xl/sharedStrings.xml><?xml version="1.0" encoding="utf-8"?>
<sst xmlns="http://schemas.openxmlformats.org/spreadsheetml/2006/main" count="1206" uniqueCount="363">
  <si>
    <t>Total</t>
  </si>
  <si>
    <t>Income</t>
  </si>
  <si>
    <t>Total Income</t>
  </si>
  <si>
    <t>Gross Profit</t>
  </si>
  <si>
    <t>Expenses</t>
  </si>
  <si>
    <t>Total Expenses</t>
  </si>
  <si>
    <t>Net Operating Income</t>
  </si>
  <si>
    <t>Other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</si>
  <si>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</si>
  <si>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</si>
  <si>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</si>
  <si>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</si>
  <si>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</si>
  <si>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</si>
  <si>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</si>
  <si>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</si>
  <si>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</si>
  <si>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   20100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</si>
  <si>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</si>
  <si>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</si>
  <si>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</si>
  <si>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</si>
  <si>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</si>
  <si>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Total Liabilities</t>
  </si>
  <si>
    <t xml:space="preserve">   Equity</t>
  </si>
  <si>
    <t xml:space="preserve">      40300 Retained Earnings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</si>
  <si>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</si>
  <si>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</si>
  <si>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</si>
  <si>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</si>
  <si>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</si>
  <si>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</si>
  <si>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</si>
  <si>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</si>
  <si>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</si>
  <si>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</si>
  <si>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</si>
  <si>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</si>
  <si>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</si>
  <si>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</si>
  <si>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</si>
  <si>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</si>
  <si>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</si>
  <si>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</si>
  <si>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</si>
  <si>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</si>
  <si>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</si>
  <si>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</si>
  <si>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</si>
  <si>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</si>
  <si>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</si>
  <si>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Hours / Day</t>
  </si>
  <si>
    <t>Total Bill Hours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</si>
  <si>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</si>
  <si>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</si>
  <si>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</si>
  <si>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</si>
  <si>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</si>
  <si>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</si>
  <si>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</si>
  <si>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</si>
  <si>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</si>
  <si>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</si>
  <si>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</si>
  <si>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</si>
  <si>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</si>
  <si>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</si>
  <si>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</si>
  <si>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</si>
  <si>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</si>
  <si>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</si>
  <si>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</si>
  <si>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</si>
  <si>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</si>
  <si>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</si>
  <si>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</si>
  <si>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</si>
  <si>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</si>
  <si>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</si>
  <si>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</si>
  <si>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</si>
  <si>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</si>
  <si>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</si>
  <si>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</si>
  <si>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</si>
  <si>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</si>
  <si>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</si>
  <si>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</si>
  <si>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</si>
  <si>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</si>
  <si>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</si>
  <si>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</si>
  <si>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</si>
  <si>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</si>
  <si>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</si>
  <si>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</si>
  <si>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</si>
  <si>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</si>
  <si>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</si>
  <si>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</si>
  <si>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</si>
  <si>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</si>
  <si>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</si>
  <si>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</si>
  <si>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</si>
  <si>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</si>
  <si>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</si>
  <si>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</si>
  <si>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</si>
  <si>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</si>
  <si>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</si>
  <si>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</si>
  <si>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</si>
  <si>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</si>
  <si>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</si>
  <si>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</si>
  <si>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</si>
  <si>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</si>
  <si>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</si>
  <si>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</si>
  <si>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</si>
  <si>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</si>
  <si>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</si>
  <si>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</si>
  <si>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</si>
  <si>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</si>
  <si>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</si>
  <si>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</si>
  <si>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</si>
  <si>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</si>
  <si>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</si>
  <si>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</si>
  <si>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</si>
  <si>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</si>
  <si>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</si>
  <si>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</si>
  <si>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</si>
  <si>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</si>
  <si>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</si>
  <si>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</si>
  <si>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</si>
  <si>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</si>
  <si>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</si>
  <si>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</si>
  <si>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</si>
  <si>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</si>
  <si>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</si>
  <si>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</si>
  <si>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</si>
  <si>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 xml:space="preserve"> 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</si>
  <si>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</si>
  <si>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</si>
  <si>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</si>
  <si>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</si>
  <si>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</si>
  <si>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</si>
  <si>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</si>
  <si>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</si>
  <si>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</si>
  <si>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</si>
  <si>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</si>
  <si>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</si>
  <si>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</si>
  <si>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</si>
  <si>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</si>
  <si>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</si>
  <si>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</si>
  <si>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</si>
  <si>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</si>
  <si>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</si>
  <si>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</si>
  <si>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</si>
  <si>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</si>
  <si>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</si>
  <si>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</si>
  <si>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</si>
  <si>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</si>
  <si>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</si>
  <si>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</si>
  <si>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</si>
  <si>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</si>
  <si>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</si>
  <si>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</si>
  <si>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</si>
  <si>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</si>
  <si>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</si>
  <si>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</si>
  <si>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</si>
  <si>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 xml:space="preserve">   61000 Owner Guarenteed Payments</t>
  </si>
  <si>
    <t>Owner Guarenteed Payments</t>
  </si>
  <si>
    <t>General &amp; Admintrative Expenses</t>
  </si>
  <si>
    <t>Peak</t>
  </si>
  <si>
    <t>Trough</t>
  </si>
  <si>
    <t>Shoulder</t>
  </si>
  <si>
    <t>Average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</si>
  <si>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</si>
  <si>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</si>
  <si>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</si>
  <si>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</si>
  <si>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</si>
  <si>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</si>
  <si>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</si>
  <si>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</si>
  <si>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</si>
  <si>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</si>
  <si>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</si>
  <si>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</si>
  <si>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      30100 Cash In Transit</t>
  </si>
  <si>
    <t xml:space="preserve">   Total Other Current Assets</t>
  </si>
  <si>
    <t xml:space="preserve">         Undeposited Funds</t>
  </si>
  <si>
    <t>Actual</t>
  </si>
  <si>
    <t>Variance</t>
  </si>
  <si>
    <t>Implied Tenure</t>
  </si>
  <si>
    <t>Lifetime Revenue</t>
  </si>
  <si>
    <t>GM%</t>
  </si>
  <si>
    <t>LTV/CAC</t>
  </si>
  <si>
    <t>Payback</t>
  </si>
  <si>
    <t>T3M CAC</t>
  </si>
  <si>
    <t>T3M LTV</t>
  </si>
  <si>
    <t>T6M Avg Monthly Attrition</t>
  </si>
  <si>
    <t>Forecast</t>
  </si>
  <si>
    <t>Name</t>
  </si>
  <si>
    <t>Position</t>
  </si>
  <si>
    <t>Hourly Rate</t>
  </si>
  <si>
    <t>Cheri Est</t>
  </si>
  <si>
    <t>NOI %</t>
  </si>
  <si>
    <t>Subsititute Tutor</t>
  </si>
  <si>
    <t>Q1 2024</t>
  </si>
  <si>
    <t>Q2 2024</t>
  </si>
  <si>
    <t>Q3 2024</t>
  </si>
  <si>
    <t>Q4 2024</t>
  </si>
  <si>
    <t>Price</t>
  </si>
  <si>
    <t>Services</t>
  </si>
  <si>
    <t># of Clients</t>
  </si>
  <si>
    <t>Hours / Day / Client</t>
  </si>
  <si>
    <t>Total Client Drops</t>
  </si>
  <si>
    <t xml:space="preserve">   70000 Miscellaneous</t>
  </si>
  <si>
    <t># of Bookings</t>
  </si>
  <si>
    <t xml:space="preserve">      40100 Owner Distributions/Contributions</t>
  </si>
  <si>
    <t>2024 Overview</t>
  </si>
  <si>
    <t>Identified Leads</t>
  </si>
  <si>
    <t>Proposal</t>
  </si>
  <si>
    <t>Decision</t>
  </si>
  <si>
    <t>Total Adjusted Market</t>
  </si>
  <si>
    <t>Cash Burn</t>
  </si>
  <si>
    <t>Total Credit Cards</t>
  </si>
  <si>
    <t>Quarterly Overview</t>
  </si>
  <si>
    <t>Contract Hit Rate</t>
  </si>
  <si>
    <t>Cash Distributions</t>
  </si>
  <si>
    <t>NOI%</t>
  </si>
  <si>
    <t>QBO Fees</t>
  </si>
  <si>
    <t>Variance (Budget)</t>
  </si>
  <si>
    <t>Variance (Forecast)</t>
  </si>
  <si>
    <t>Budget</t>
  </si>
  <si>
    <t>Contract Hits</t>
  </si>
  <si>
    <t>Adjusted Cash Balance (Business)</t>
  </si>
  <si>
    <t xml:space="preserve">         70100 Prepaid Expenses</t>
  </si>
  <si>
    <t xml:space="preserve">            PNC CC Cash Rewards - 0294</t>
  </si>
  <si>
    <t xml:space="preserve">      Personal Expenses</t>
  </si>
  <si>
    <t>Accounts Payable</t>
  </si>
  <si>
    <t>Total Accounts Payable</t>
  </si>
  <si>
    <t>Credit Cards</t>
  </si>
  <si>
    <t>Total Cash Balance</t>
  </si>
  <si>
    <t>Operating Cash Burn</t>
  </si>
  <si>
    <t>Owner Personal Burden</t>
  </si>
  <si>
    <t>Operating Cash Runway</t>
  </si>
  <si>
    <t>Total Operating (Business) Cash Balance</t>
  </si>
  <si>
    <t>Operating Cash Runway - Burn Rate</t>
  </si>
  <si>
    <t>Cash Runway - Owner Burn Rate</t>
  </si>
  <si>
    <t>Owner Cash Burn</t>
  </si>
  <si>
    <t>Total Cash Inflow (Outflow)</t>
  </si>
  <si>
    <t>Owner Cash Runway</t>
  </si>
  <si>
    <t>Camps</t>
  </si>
  <si>
    <t>1 on 1 Fitness Training</t>
  </si>
  <si>
    <t>1 on 1 Sports Training</t>
  </si>
  <si>
    <t>Estimated # of Sessions per month</t>
  </si>
  <si>
    <t>Group Fitness Sessions</t>
  </si>
  <si>
    <t>Group Sports Sessions</t>
  </si>
  <si>
    <t>Group Fitness</t>
  </si>
  <si>
    <t>Group Sports</t>
  </si>
  <si>
    <t># of Recurring Clients</t>
  </si>
  <si>
    <t>Net Recurring Clients</t>
  </si>
  <si>
    <t>1 on 1 Sports Traning Subtractions</t>
  </si>
  <si>
    <t>1 on 1 Fitness Traning Subtractions</t>
  </si>
  <si>
    <t>Camps Subtractions</t>
  </si>
  <si>
    <t>Group Sports Training Subtractions</t>
  </si>
  <si>
    <t>Group Fitness Training Subtractions</t>
  </si>
  <si>
    <t>Trainer</t>
  </si>
  <si>
    <t>Total Recurring Client Drops</t>
  </si>
  <si>
    <t xml:space="preserve">         Checking 6151 - 1</t>
  </si>
  <si>
    <t xml:space="preserve">   41000 Personal Training</t>
  </si>
  <si>
    <t xml:space="preserve">   40000 Income</t>
  </si>
  <si>
    <t xml:space="preserve">   Total 40000 Income</t>
  </si>
  <si>
    <t xml:space="preserve">   60000 General &amp; Administrative expenses</t>
  </si>
  <si>
    <t xml:space="preserve">      60300 Vehicle Expenses</t>
  </si>
  <si>
    <t xml:space="preserve">         60310 Parking &amp; Tolls</t>
  </si>
  <si>
    <t xml:space="preserve">         60320 Gas &amp; Fuel</t>
  </si>
  <si>
    <t xml:space="preserve">         60330 Vehicle Repairs</t>
  </si>
  <si>
    <t xml:space="preserve">      Total 60300 Vehicle Expenses</t>
  </si>
  <si>
    <t xml:space="preserve">      60500 Donations</t>
  </si>
  <si>
    <t xml:space="preserve">      60600 QBO Fees</t>
  </si>
  <si>
    <t xml:space="preserve">      60700 Finance &amp; Accounting services</t>
  </si>
  <si>
    <t xml:space="preserve">      60800 Bank Fees &amp; Service Charges</t>
  </si>
  <si>
    <t xml:space="preserve">      60900 Training Gear</t>
  </si>
  <si>
    <t xml:space="preserve">   Total 60000 General &amp; Administrative expenses</t>
  </si>
  <si>
    <t>MRR</t>
  </si>
  <si>
    <t>EOY Monthly Recurring Client Count</t>
  </si>
  <si>
    <t>Net New Bookings</t>
  </si>
  <si>
    <t>Advertising &amp; Marketing</t>
  </si>
  <si>
    <t xml:space="preserve">      60400 Office/Software Expenses</t>
  </si>
  <si>
    <t xml:space="preserve">      61200 Facility Rentals</t>
  </si>
  <si>
    <t>Average Revenue/Client</t>
  </si>
  <si>
    <t># of Total Bookings</t>
  </si>
  <si>
    <t># of Camp/Group Bookings</t>
  </si>
  <si>
    <t>EOY Monthly Recurring Revenue</t>
  </si>
  <si>
    <t>Advertising &amp; Marketing Expenses</t>
  </si>
  <si>
    <t>QBO Fees as a % of Revenue</t>
  </si>
  <si>
    <t>Bookings</t>
  </si>
  <si>
    <t>Vehicle Expenses</t>
  </si>
  <si>
    <t>Office/Software Expenses</t>
  </si>
  <si>
    <t>Finance &amp; Accounting Services</t>
  </si>
  <si>
    <t>Bank Fees &amp; Service Charges</t>
  </si>
  <si>
    <t>Training Gear</t>
  </si>
  <si>
    <t>Facility Rentals</t>
  </si>
  <si>
    <t>Contracted Trainers</t>
  </si>
  <si>
    <t>Donations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</si>
  <si>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</si>
  <si>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</si>
  <si>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</si>
  <si>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</si>
  <si>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</si>
  <si>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</si>
  <si>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</si>
  <si>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</si>
  <si>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</si>
  <si>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</si>
  <si>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</si>
  <si>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</si>
  <si>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43000 Camps</t>
  </si>
  <si>
    <t>Training Services</t>
  </si>
  <si>
    <t>KPIs</t>
  </si>
  <si>
    <t>Q1</t>
  </si>
  <si>
    <t>Q2</t>
  </si>
  <si>
    <t>Q3</t>
  </si>
  <si>
    <t>Q4</t>
  </si>
  <si>
    <t>2024 AOP Income</t>
  </si>
  <si>
    <t>2024 AOP Net Income</t>
  </si>
  <si>
    <t xml:space="preserve">   42000 Group Training</t>
  </si>
  <si>
    <t>2024 AOP Avg. Bookings</t>
  </si>
  <si>
    <t>Total Client Bookings</t>
  </si>
  <si>
    <t>Total Revenue</t>
  </si>
  <si>
    <t xml:space="preserve">      61300 Licences/Legal Fees</t>
  </si>
  <si>
    <t xml:space="preserve">   Total 50000 Subcontractors</t>
  </si>
  <si>
    <t xml:space="preserve">      50900 Contracted Trainers</t>
  </si>
  <si>
    <t>Camps Bookings</t>
  </si>
  <si>
    <t>Group Sports Training Bookings</t>
  </si>
  <si>
    <t>Group Fitness Training Bookings</t>
  </si>
  <si>
    <t>1 on 1 Sports Traning Bookings</t>
  </si>
  <si>
    <t>1 on 1 Fitness Traning Bookings</t>
  </si>
  <si>
    <t>Licenses &amp; Legal Fees</t>
  </si>
  <si>
    <t>2025 Overview</t>
  </si>
  <si>
    <t>Non-billable Hours</t>
  </si>
  <si>
    <t>2025 Annual Operating Plan (Budget)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</si>
</sst>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[$-409]mmmm\ yyyy;@"/>
    <numFmt numFmtId="179" formatCode="0\ &quot;session(s)&quot;"/>
  </numFmts>
  <fonts count="6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i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i/>
      <sz val="10"/>
      <color rgb="FF000000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Arial"/>
      <family val="2"/>
    </font>
    <font>
      <b/>
      <sz val="8"/>
      <color indexed="8"/>
      <name val="Arial"/>
      <family val="2"/>
    </font>
    <font>
      <b/>
      <sz val="10"/>
      <color theme="9"/>
      <name val="Arial"/>
      <family val="2"/>
    </font>
    <font>
      <b/>
      <sz val="8"/>
      <color indexed="8"/>
      <name val="Arial"/>
      <family val="2"/>
    </font>
    <font>
      <i/>
      <sz val="10"/>
      <color theme="4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/>
      <top style="thin">
        <color indexed="64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/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dotted">
        <color auto="1"/>
      </right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/>
    <xf numFmtId="0" fontId="3" fillId="0" borderId="0"/>
    <xf numFmtId="0" fontId="2" fillId="0" borderId="0"/>
    <xf numFmtId="0" fontId="1" fillId="0" borderId="0"/>
  </cellStyleXfs>
  <cellXfs count="677">
    <xf numFmtId="0" fontId="0" fillId="0" borderId="0" xfId="0"/>
    <xf numFmtId="0" fontId="4" fillId="0" borderId="0" xfId="0" applyFont="1" applyAlignment="1">
      <alignment horizontal="left" wrapText="1"/>
    </xf>
    <xf numFmtId="164" fontId="5" fillId="0" borderId="0" xfId="0" applyNumberFormat="1" applyFont="1" applyAlignment="1">
      <alignment wrapText="1"/>
    </xf>
    <xf numFmtId="0" fontId="0" fillId="0" borderId="2" xfId="0" applyBorder="1"/>
    <xf numFmtId="0" fontId="4" fillId="0" borderId="2" xfId="0" applyFont="1" applyBorder="1" applyAlignment="1">
      <alignment horizontal="left" wrapText="1"/>
    </xf>
    <xf numFmtId="0" fontId="0" fillId="0" borderId="3" xfId="0" applyBorder="1"/>
    <xf numFmtId="0" fontId="4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2" fillId="0" borderId="0" xfId="0" applyFont="1" applyAlignment="1">
      <alignment horizontal="left" wrapText="1"/>
    </xf>
    <xf numFmtId="166" fontId="8" fillId="2" borderId="0" xfId="0" applyNumberFormat="1" applyFont="1" applyFill="1" applyAlignment="1">
      <alignment horizontal="centerContinuous"/>
    </xf>
    <xf numFmtId="0" fontId="8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8" fillId="0" borderId="0" xfId="1" applyNumberFormat="1" applyFont="1" applyFill="1" applyBorder="1"/>
    <xf numFmtId="167" fontId="17" fillId="2" borderId="0" xfId="1" applyNumberFormat="1" applyFont="1" applyFill="1" applyBorder="1" applyAlignment="1"/>
    <xf numFmtId="167" fontId="17" fillId="2" borderId="8" xfId="1" applyNumberFormat="1" applyFont="1" applyFill="1" applyBorder="1" applyAlignment="1"/>
    <xf numFmtId="167" fontId="20" fillId="0" borderId="0" xfId="1" applyNumberFormat="1" applyFont="1" applyFill="1" applyBorder="1"/>
    <xf numFmtId="167" fontId="20" fillId="2" borderId="0" xfId="1" applyNumberFormat="1" applyFont="1" applyFill="1" applyBorder="1"/>
    <xf numFmtId="167" fontId="20" fillId="2" borderId="8" xfId="1" applyNumberFormat="1" applyFont="1" applyFill="1" applyBorder="1"/>
    <xf numFmtId="43" fontId="17" fillId="0" borderId="0" xfId="1" applyFont="1" applyFill="1" applyBorder="1"/>
    <xf numFmtId="43" fontId="18" fillId="3" borderId="0" xfId="1" applyFont="1" applyFill="1" applyBorder="1"/>
    <xf numFmtId="43" fontId="20" fillId="2" borderId="0" xfId="1" applyFont="1" applyFill="1" applyBorder="1"/>
    <xf numFmtId="43" fontId="20" fillId="2" borderId="8" xfId="1" applyFont="1" applyFill="1" applyBorder="1"/>
    <xf numFmtId="167" fontId="17" fillId="2" borderId="0" xfId="1" applyNumberFormat="1" applyFont="1" applyFill="1" applyBorder="1"/>
    <xf numFmtId="167" fontId="17" fillId="2" borderId="8" xfId="1" applyNumberFormat="1" applyFont="1" applyFill="1" applyBorder="1"/>
    <xf numFmtId="44" fontId="17" fillId="0" borderId="0" xfId="2" applyFont="1" applyFill="1" applyBorder="1"/>
    <xf numFmtId="44" fontId="17" fillId="2" borderId="0" xfId="2" applyFont="1" applyFill="1" applyBorder="1"/>
    <xf numFmtId="44" fontId="17" fillId="2" borderId="8" xfId="2" applyFont="1" applyFill="1" applyBorder="1"/>
    <xf numFmtId="0" fontId="0" fillId="4" borderId="0" xfId="0" applyFill="1"/>
    <xf numFmtId="0" fontId="7" fillId="4" borderId="0" xfId="0" applyFont="1" applyFill="1" applyAlignment="1">
      <alignment horizontal="center"/>
    </xf>
    <xf numFmtId="0" fontId="8" fillId="4" borderId="0" xfId="0" applyFont="1" applyFill="1"/>
    <xf numFmtId="0" fontId="7" fillId="4" borderId="0" xfId="0" applyFont="1" applyFill="1"/>
    <xf numFmtId="14" fontId="7" fillId="4" borderId="0" xfId="0" applyNumberFormat="1" applyFont="1" applyFill="1" applyAlignment="1">
      <alignment horizontal="center"/>
    </xf>
    <xf numFmtId="43" fontId="16" fillId="2" borderId="0" xfId="0" applyNumberFormat="1" applyFont="1" applyFill="1" applyAlignment="1">
      <alignment vertical="center"/>
    </xf>
    <xf numFmtId="0" fontId="16" fillId="2" borderId="0" xfId="0" applyFont="1" applyFill="1" applyAlignment="1">
      <alignment vertical="center"/>
    </xf>
    <xf numFmtId="43" fontId="21" fillId="2" borderId="0" xfId="0" applyNumberFormat="1" applyFont="1" applyFill="1" applyAlignment="1">
      <alignment horizontal="center" vertical="center" wrapText="1"/>
    </xf>
    <xf numFmtId="0" fontId="3" fillId="0" borderId="0" xfId="5"/>
    <xf numFmtId="0" fontId="8" fillId="0" borderId="0" xfId="5" applyFont="1"/>
    <xf numFmtId="0" fontId="3" fillId="2" borderId="0" xfId="5" applyFill="1"/>
    <xf numFmtId="16" fontId="3" fillId="2" borderId="0" xfId="5" applyNumberFormat="1" applyFill="1"/>
    <xf numFmtId="0" fontId="3" fillId="5" borderId="0" xfId="5" applyFill="1"/>
    <xf numFmtId="16" fontId="3" fillId="0" borderId="0" xfId="5" applyNumberFormat="1"/>
    <xf numFmtId="0" fontId="3" fillId="6" borderId="0" xfId="5" applyFill="1"/>
    <xf numFmtId="16" fontId="3" fillId="6" borderId="0" xfId="5" applyNumberFormat="1" applyFill="1"/>
    <xf numFmtId="0" fontId="3" fillId="7" borderId="0" xfId="5" applyFill="1"/>
    <xf numFmtId="14" fontId="3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19" fillId="3" borderId="0" xfId="1" applyNumberFormat="1" applyFont="1" applyFill="1" applyBorder="1"/>
    <xf numFmtId="167" fontId="3" fillId="0" borderId="0" xfId="1" applyNumberFormat="1" applyFont="1" applyFill="1" applyBorder="1"/>
    <xf numFmtId="165" fontId="4" fillId="0" borderId="0" xfId="0" applyNumberFormat="1" applyFont="1" applyAlignment="1">
      <alignment horizontal="right" wrapText="1"/>
    </xf>
    <xf numFmtId="0" fontId="7" fillId="4" borderId="8" xfId="0" applyFont="1" applyFill="1" applyBorder="1" applyAlignment="1">
      <alignment horizontal="center"/>
    </xf>
    <xf numFmtId="14" fontId="7" fillId="4" borderId="8" xfId="0" applyNumberFormat="1" applyFont="1" applyFill="1" applyBorder="1" applyAlignment="1">
      <alignment horizontal="center"/>
    </xf>
    <xf numFmtId="44" fontId="10" fillId="0" borderId="3" xfId="0" applyNumberFormat="1" applyFont="1" applyBorder="1"/>
    <xf numFmtId="44" fontId="10" fillId="0" borderId="2" xfId="0" applyNumberFormat="1" applyFont="1" applyBorder="1"/>
    <xf numFmtId="44" fontId="10" fillId="0" borderId="1" xfId="0" applyNumberFormat="1" applyFont="1" applyBorder="1"/>
    <xf numFmtId="44" fontId="10" fillId="0" borderId="0" xfId="0" applyNumberFormat="1" applyFont="1"/>
    <xf numFmtId="0" fontId="25" fillId="0" borderId="0" xfId="0" applyFont="1" applyAlignment="1">
      <alignment horizontal="right" wrapText="1"/>
    </xf>
    <xf numFmtId="2" fontId="0" fillId="0" borderId="2" xfId="3" applyNumberFormat="1" applyFont="1" applyBorder="1"/>
    <xf numFmtId="0" fontId="4" fillId="6" borderId="2" xfId="0" applyFont="1" applyFill="1" applyBorder="1" applyAlignment="1">
      <alignment horizontal="left" wrapText="1"/>
    </xf>
    <xf numFmtId="0" fontId="25" fillId="6" borderId="2" xfId="0" applyFont="1" applyFill="1" applyBorder="1" applyAlignment="1">
      <alignment horizontal="right" wrapText="1"/>
    </xf>
    <xf numFmtId="2" fontId="4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7" fillId="0" borderId="2" xfId="0" applyNumberFormat="1" applyFont="1" applyBorder="1"/>
    <xf numFmtId="0" fontId="4" fillId="4" borderId="0" xfId="0" applyFont="1" applyFill="1" applyAlignment="1">
      <alignment horizontal="left" wrapText="1"/>
    </xf>
    <xf numFmtId="44" fontId="10" fillId="4" borderId="0" xfId="0" applyNumberFormat="1" applyFont="1" applyFill="1"/>
    <xf numFmtId="0" fontId="29" fillId="4" borderId="0" xfId="0" applyFont="1" applyFill="1" applyAlignment="1">
      <alignment horizontal="right" vertical="center"/>
    </xf>
    <xf numFmtId="170" fontId="30" fillId="4" borderId="0" xfId="0" applyNumberFormat="1" applyFont="1" applyFill="1" applyAlignment="1">
      <alignment horizontal="center" vertical="center"/>
    </xf>
    <xf numFmtId="0" fontId="31" fillId="4" borderId="0" xfId="0" applyFont="1" applyFill="1" applyAlignment="1">
      <alignment vertical="center"/>
    </xf>
    <xf numFmtId="171" fontId="30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6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1" fillId="0" borderId="0" xfId="2" applyNumberFormat="1" applyFont="1"/>
    <xf numFmtId="0" fontId="10" fillId="2" borderId="2" xfId="0" applyFont="1" applyFill="1" applyBorder="1" applyAlignment="1">
      <alignment horizontal="right"/>
    </xf>
    <xf numFmtId="172" fontId="10" fillId="2" borderId="2" xfId="2" applyNumberFormat="1" applyFont="1" applyFill="1" applyBorder="1" applyAlignment="1"/>
    <xf numFmtId="172" fontId="0" fillId="0" borderId="0" xfId="2" applyNumberFormat="1" applyFont="1" applyAlignment="1"/>
    <xf numFmtId="0" fontId="33" fillId="0" borderId="0" xfId="0" applyFont="1" applyAlignment="1">
      <alignment horizontal="right"/>
    </xf>
    <xf numFmtId="168" fontId="33" fillId="0" borderId="0" xfId="0" applyNumberFormat="1" applyFont="1"/>
    <xf numFmtId="0" fontId="7" fillId="4" borderId="4" xfId="0" applyFont="1" applyFill="1" applyBorder="1" applyAlignment="1">
      <alignment horizontal="right"/>
    </xf>
    <xf numFmtId="44" fontId="7" fillId="4" borderId="4" xfId="2" applyFont="1" applyFill="1" applyBorder="1" applyAlignment="1">
      <alignment horizontal="right"/>
    </xf>
    <xf numFmtId="0" fontId="7" fillId="4" borderId="9" xfId="0" applyFont="1" applyFill="1" applyBorder="1" applyAlignment="1">
      <alignment horizontal="right"/>
    </xf>
    <xf numFmtId="44" fontId="7" fillId="4" borderId="9" xfId="0" applyNumberFormat="1" applyFont="1" applyFill="1" applyBorder="1" applyAlignment="1">
      <alignment horizontal="right"/>
    </xf>
    <xf numFmtId="172" fontId="30" fillId="10" borderId="2" xfId="2" applyNumberFormat="1" applyFont="1" applyFill="1" applyBorder="1" applyAlignment="1">
      <alignment horizontal="right"/>
    </xf>
    <xf numFmtId="172" fontId="30" fillId="10" borderId="2" xfId="2" applyNumberFormat="1" applyFont="1" applyFill="1" applyBorder="1"/>
    <xf numFmtId="0" fontId="32" fillId="10" borderId="0" xfId="0" applyFont="1" applyFill="1" applyAlignment="1">
      <alignment horizontal="right"/>
    </xf>
    <xf numFmtId="168" fontId="32" fillId="10" borderId="0" xfId="0" applyNumberFormat="1" applyFont="1" applyFill="1" applyAlignment="1">
      <alignment horizontal="right"/>
    </xf>
    <xf numFmtId="14" fontId="9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Border="1"/>
    <xf numFmtId="172" fontId="16" fillId="2" borderId="2" xfId="2" applyNumberFormat="1" applyFont="1" applyFill="1" applyBorder="1"/>
    <xf numFmtId="172" fontId="10" fillId="2" borderId="2" xfId="2" applyNumberFormat="1" applyFont="1" applyFill="1" applyBorder="1"/>
    <xf numFmtId="0" fontId="31" fillId="0" borderId="7" xfId="0" applyFont="1" applyBorder="1"/>
    <xf numFmtId="0" fontId="31" fillId="0" borderId="8" xfId="0" applyFont="1" applyBorder="1"/>
    <xf numFmtId="0" fontId="31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6" fillId="2" borderId="0" xfId="0" applyNumberFormat="1" applyFont="1" applyFill="1" applyAlignment="1">
      <alignment horizontal="center" vertical="center"/>
    </xf>
    <xf numFmtId="169" fontId="18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4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2" fillId="0" borderId="0" xfId="6"/>
    <xf numFmtId="0" fontId="8" fillId="0" borderId="0" xfId="6" applyFont="1"/>
    <xf numFmtId="16" fontId="2" fillId="5" borderId="0" xfId="6" applyNumberFormat="1" applyFill="1"/>
    <xf numFmtId="0" fontId="2" fillId="5" borderId="0" xfId="6" applyFill="1"/>
    <xf numFmtId="0" fontId="2" fillId="11" borderId="0" xfId="6" applyFill="1"/>
    <xf numFmtId="16" fontId="2" fillId="11" borderId="0" xfId="6" applyNumberFormat="1" applyFill="1"/>
    <xf numFmtId="0" fontId="2" fillId="12" borderId="0" xfId="6" applyFill="1"/>
    <xf numFmtId="16" fontId="2" fillId="12" borderId="0" xfId="6" applyNumberFormat="1" applyFill="1"/>
    <xf numFmtId="16" fontId="2" fillId="0" borderId="0" xfId="6" applyNumberFormat="1"/>
    <xf numFmtId="0" fontId="24" fillId="0" borderId="0" xfId="6" applyFont="1"/>
    <xf numFmtId="0" fontId="2" fillId="8" borderId="0" xfId="6" applyFill="1"/>
    <xf numFmtId="0" fontId="2" fillId="9" borderId="0" xfId="6" applyFill="1"/>
    <xf numFmtId="43" fontId="0" fillId="0" borderId="0" xfId="1" applyFont="1" applyAlignment="1">
      <alignment horizontal="right" vertical="center"/>
    </xf>
    <xf numFmtId="9" fontId="35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1" fillId="0" borderId="0" xfId="7"/>
    <xf numFmtId="0" fontId="8" fillId="0" borderId="0" xfId="7" applyFont="1"/>
    <xf numFmtId="0" fontId="1" fillId="2" borderId="0" xfId="7" applyFill="1"/>
    <xf numFmtId="0" fontId="8" fillId="2" borderId="0" xfId="7" applyFont="1" applyFill="1"/>
    <xf numFmtId="16" fontId="1" fillId="2" borderId="0" xfId="7" applyNumberFormat="1" applyFill="1"/>
    <xf numFmtId="0" fontId="22" fillId="2" borderId="15" xfId="0" applyFont="1" applyFill="1" applyBorder="1"/>
    <xf numFmtId="0" fontId="23" fillId="2" borderId="15" xfId="0" applyFont="1" applyFill="1" applyBorder="1" applyAlignment="1">
      <alignment horizontal="left"/>
    </xf>
    <xf numFmtId="168" fontId="23" fillId="2" borderId="15" xfId="0" applyNumberFormat="1" applyFont="1" applyFill="1" applyBorder="1"/>
    <xf numFmtId="168" fontId="23" fillId="2" borderId="16" xfId="0" applyNumberFormat="1" applyFont="1" applyFill="1" applyBorder="1"/>
    <xf numFmtId="43" fontId="16" fillId="2" borderId="2" xfId="0" applyNumberFormat="1" applyFont="1" applyFill="1" applyBorder="1" applyAlignment="1">
      <alignment vertical="center"/>
    </xf>
    <xf numFmtId="167" fontId="19" fillId="3" borderId="2" xfId="1" applyNumberFormat="1" applyFont="1" applyFill="1" applyBorder="1"/>
    <xf numFmtId="167" fontId="17" fillId="2" borderId="2" xfId="1" applyNumberFormat="1" applyFont="1" applyFill="1" applyBorder="1" applyAlignment="1"/>
    <xf numFmtId="167" fontId="17" fillId="2" borderId="17" xfId="1" applyNumberFormat="1" applyFont="1" applyFill="1" applyBorder="1" applyAlignment="1"/>
    <xf numFmtId="170" fontId="30" fillId="4" borderId="12" xfId="0" applyNumberFormat="1" applyFont="1" applyFill="1" applyBorder="1" applyAlignment="1">
      <alignment horizontal="center" vertical="center"/>
    </xf>
    <xf numFmtId="14" fontId="9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6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0" fillId="10" borderId="13" xfId="2" applyNumberFormat="1" applyFont="1" applyFill="1" applyBorder="1"/>
    <xf numFmtId="168" fontId="32" fillId="10" borderId="12" xfId="0" applyNumberFormat="1" applyFont="1" applyFill="1" applyBorder="1" applyAlignment="1">
      <alignment horizontal="right"/>
    </xf>
    <xf numFmtId="172" fontId="10" fillId="2" borderId="13" xfId="2" applyNumberFormat="1" applyFont="1" applyFill="1" applyBorder="1" applyAlignment="1"/>
    <xf numFmtId="168" fontId="33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7" fillId="4" borderId="18" xfId="2" applyFont="1" applyFill="1" applyBorder="1" applyAlignment="1">
      <alignment horizontal="right"/>
    </xf>
    <xf numFmtId="44" fontId="7" fillId="4" borderId="19" xfId="0" applyNumberFormat="1" applyFont="1" applyFill="1" applyBorder="1" applyAlignment="1">
      <alignment horizontal="right"/>
    </xf>
    <xf numFmtId="43" fontId="5" fillId="0" borderId="0" xfId="1" applyFont="1" applyBorder="1" applyAlignment="1">
      <alignment horizontal="right" wrapText="1"/>
    </xf>
    <xf numFmtId="44" fontId="7" fillId="4" borderId="5" xfId="2" applyFont="1" applyFill="1" applyBorder="1" applyAlignment="1">
      <alignment horizontal="right"/>
    </xf>
    <xf numFmtId="44" fontId="7" fillId="4" borderId="10" xfId="0" applyNumberFormat="1" applyFont="1" applyFill="1" applyBorder="1" applyAlignment="1">
      <alignment horizontal="right"/>
    </xf>
    <xf numFmtId="14" fontId="7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9" fillId="4" borderId="0" xfId="0" applyFont="1" applyFill="1" applyAlignment="1">
      <alignment horizontal="center"/>
    </xf>
    <xf numFmtId="43" fontId="10" fillId="0" borderId="0" xfId="1" applyFont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0" fontId="0" fillId="0" borderId="28" xfId="0" applyBorder="1"/>
    <xf numFmtId="174" fontId="17" fillId="0" borderId="0" xfId="3" applyNumberFormat="1" applyFont="1" applyFill="1" applyBorder="1"/>
    <xf numFmtId="10" fontId="17" fillId="0" borderId="0" xfId="3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7" fillId="0" borderId="0" xfId="2" applyNumberFormat="1" applyFont="1" applyFill="1" applyBorder="1"/>
    <xf numFmtId="1" fontId="17" fillId="2" borderId="0" xfId="2" applyNumberFormat="1" applyFont="1" applyFill="1" applyBorder="1"/>
    <xf numFmtId="1" fontId="17" fillId="2" borderId="8" xfId="2" applyNumberFormat="1" applyFont="1" applyFill="1" applyBorder="1"/>
    <xf numFmtId="174" fontId="17" fillId="2" borderId="0" xfId="3" applyNumberFormat="1" applyFont="1" applyFill="1" applyBorder="1"/>
    <xf numFmtId="174" fontId="17" fillId="2" borderId="8" xfId="3" applyNumberFormat="1" applyFont="1" applyFill="1" applyBorder="1"/>
    <xf numFmtId="176" fontId="17" fillId="0" borderId="0" xfId="3" applyNumberFormat="1" applyFont="1" applyFill="1" applyBorder="1"/>
    <xf numFmtId="176" fontId="17" fillId="0" borderId="0" xfId="2" applyNumberFormat="1" applyFont="1" applyFill="1" applyBorder="1"/>
    <xf numFmtId="176" fontId="17" fillId="2" borderId="0" xfId="2" applyNumberFormat="1" applyFont="1" applyFill="1" applyBorder="1"/>
    <xf numFmtId="176" fontId="17" fillId="2" borderId="8" xfId="2" applyNumberFormat="1" applyFont="1" applyFill="1" applyBorder="1"/>
    <xf numFmtId="177" fontId="17" fillId="2" borderId="0" xfId="2" applyNumberFormat="1" applyFont="1" applyFill="1" applyBorder="1"/>
    <xf numFmtId="177" fontId="17" fillId="2" borderId="8" xfId="2" applyNumberFormat="1" applyFont="1" applyFill="1" applyBorder="1"/>
    <xf numFmtId="0" fontId="7" fillId="4" borderId="21" xfId="0" applyFont="1" applyFill="1" applyBorder="1" applyAlignment="1">
      <alignment horizontal="center"/>
    </xf>
    <xf numFmtId="0" fontId="9" fillId="4" borderId="21" xfId="0" applyFont="1" applyFill="1" applyBorder="1" applyAlignment="1">
      <alignment horizontal="center"/>
    </xf>
    <xf numFmtId="14" fontId="7" fillId="4" borderId="21" xfId="0" applyNumberFormat="1" applyFont="1" applyFill="1" applyBorder="1" applyAlignment="1">
      <alignment horizontal="center"/>
    </xf>
    <xf numFmtId="0" fontId="0" fillId="0" borderId="21" xfId="0" applyBorder="1"/>
    <xf numFmtId="43" fontId="0" fillId="0" borderId="21" xfId="1" applyFont="1" applyBorder="1"/>
    <xf numFmtId="44" fontId="10" fillId="0" borderId="17" xfId="0" applyNumberFormat="1" applyFont="1" applyBorder="1"/>
    <xf numFmtId="44" fontId="10" fillId="0" borderId="21" xfId="0" applyNumberFormat="1" applyFont="1" applyBorder="1"/>
    <xf numFmtId="168" fontId="23" fillId="2" borderId="20" xfId="0" applyNumberFormat="1" applyFont="1" applyFill="1" applyBorder="1"/>
    <xf numFmtId="44" fontId="10" fillId="0" borderId="14" xfId="0" applyNumberFormat="1" applyFont="1" applyBorder="1"/>
    <xf numFmtId="44" fontId="10" fillId="4" borderId="21" xfId="0" applyNumberFormat="1" applyFont="1" applyFill="1" applyBorder="1"/>
    <xf numFmtId="2" fontId="4" fillId="6" borderId="17" xfId="0" applyNumberFormat="1" applyFont="1" applyFill="1" applyBorder="1" applyAlignment="1">
      <alignment horizontal="right" wrapText="1"/>
    </xf>
    <xf numFmtId="0" fontId="0" fillId="4" borderId="21" xfId="0" applyFill="1" applyBorder="1"/>
    <xf numFmtId="44" fontId="0" fillId="0" borderId="17" xfId="0" applyNumberFormat="1" applyBorder="1"/>
    <xf numFmtId="44" fontId="0" fillId="0" borderId="21" xfId="0" applyNumberFormat="1" applyBorder="1"/>
    <xf numFmtId="44" fontId="0" fillId="0" borderId="30" xfId="0" applyNumberFormat="1" applyBorder="1"/>
    <xf numFmtId="174" fontId="40" fillId="0" borderId="0" xfId="3" applyNumberFormat="1" applyFont="1" applyFill="1" applyBorder="1"/>
    <xf numFmtId="174" fontId="40" fillId="2" borderId="0" xfId="3" applyNumberFormat="1" applyFont="1" applyFill="1" applyBorder="1"/>
    <xf numFmtId="174" fontId="40" fillId="2" borderId="8" xfId="3" applyNumberFormat="1" applyFont="1" applyFill="1" applyBorder="1"/>
    <xf numFmtId="170" fontId="30" fillId="4" borderId="31" xfId="0" applyNumberFormat="1" applyFont="1" applyFill="1" applyBorder="1" applyAlignment="1">
      <alignment horizontal="center" vertical="center"/>
    </xf>
    <xf numFmtId="14" fontId="9" fillId="0" borderId="31" xfId="0" applyNumberFormat="1" applyFont="1" applyBorder="1"/>
    <xf numFmtId="172" fontId="16" fillId="2" borderId="32" xfId="2" applyNumberFormat="1" applyFont="1" applyFill="1" applyBorder="1" applyAlignment="1">
      <alignment horizontal="right"/>
    </xf>
    <xf numFmtId="172" fontId="30" fillId="10" borderId="32" xfId="2" applyNumberFormat="1" applyFont="1" applyFill="1" applyBorder="1"/>
    <xf numFmtId="168" fontId="32" fillId="10" borderId="31" xfId="0" applyNumberFormat="1" applyFont="1" applyFill="1" applyBorder="1" applyAlignment="1">
      <alignment horizontal="right"/>
    </xf>
    <xf numFmtId="0" fontId="0" fillId="0" borderId="31" xfId="0" applyBorder="1"/>
    <xf numFmtId="172" fontId="10" fillId="2" borderId="32" xfId="2" applyNumberFormat="1" applyFont="1" applyFill="1" applyBorder="1" applyAlignment="1"/>
    <xf numFmtId="44" fontId="7" fillId="4" borderId="34" xfId="2" applyFont="1" applyFill="1" applyBorder="1" applyAlignment="1">
      <alignment horizontal="right"/>
    </xf>
    <xf numFmtId="44" fontId="7" fillId="4" borderId="33" xfId="0" applyNumberFormat="1" applyFont="1" applyFill="1" applyBorder="1" applyAlignment="1">
      <alignment horizontal="right"/>
    </xf>
    <xf numFmtId="0" fontId="28" fillId="3" borderId="0" xfId="0" applyFont="1" applyFill="1"/>
    <xf numFmtId="2" fontId="0" fillId="0" borderId="0" xfId="3" applyNumberFormat="1" applyFont="1" applyBorder="1"/>
    <xf numFmtId="167" fontId="10" fillId="0" borderId="31" xfId="0" applyNumberFormat="1" applyFont="1" applyBorder="1" applyAlignment="1">
      <alignment horizontal="right" vertical="center"/>
    </xf>
    <xf numFmtId="173" fontId="10" fillId="0" borderId="31" xfId="0" applyNumberFormat="1" applyFont="1" applyBorder="1"/>
    <xf numFmtId="168" fontId="36" fillId="10" borderId="31" xfId="0" applyNumberFormat="1" applyFont="1" applyFill="1" applyBorder="1" applyAlignment="1">
      <alignment horizontal="right"/>
    </xf>
    <xf numFmtId="0" fontId="10" fillId="0" borderId="31" xfId="0" applyFont="1" applyBorder="1"/>
    <xf numFmtId="168" fontId="11" fillId="0" borderId="31" xfId="0" applyNumberFormat="1" applyFont="1" applyBorder="1"/>
    <xf numFmtId="43" fontId="10" fillId="0" borderId="31" xfId="1" applyFont="1" applyBorder="1" applyAlignment="1">
      <alignment horizontal="right" vertical="center"/>
    </xf>
    <xf numFmtId="0" fontId="4" fillId="0" borderId="5" xfId="0" applyFont="1" applyBorder="1" applyAlignment="1">
      <alignment wrapText="1"/>
    </xf>
    <xf numFmtId="167" fontId="10" fillId="7" borderId="31" xfId="0" applyNumberFormat="1" applyFont="1" applyFill="1" applyBorder="1" applyAlignment="1">
      <alignment horizontal="right" vertical="center"/>
    </xf>
    <xf numFmtId="172" fontId="16" fillId="7" borderId="32" xfId="2" applyNumberFormat="1" applyFont="1" applyFill="1" applyBorder="1" applyAlignment="1">
      <alignment horizontal="right"/>
    </xf>
    <xf numFmtId="173" fontId="10" fillId="7" borderId="31" xfId="0" applyNumberFormat="1" applyFont="1" applyFill="1" applyBorder="1"/>
    <xf numFmtId="172" fontId="37" fillId="7" borderId="32" xfId="2" applyNumberFormat="1" applyFont="1" applyFill="1" applyBorder="1"/>
    <xf numFmtId="168" fontId="38" fillId="7" borderId="31" xfId="0" applyNumberFormat="1" applyFont="1" applyFill="1" applyBorder="1" applyAlignment="1">
      <alignment horizontal="right"/>
    </xf>
    <xf numFmtId="0" fontId="16" fillId="7" borderId="31" xfId="0" applyFont="1" applyFill="1" applyBorder="1"/>
    <xf numFmtId="167" fontId="16" fillId="7" borderId="31" xfId="0" applyNumberFormat="1" applyFont="1" applyFill="1" applyBorder="1" applyAlignment="1">
      <alignment horizontal="right" vertical="center"/>
    </xf>
    <xf numFmtId="172" fontId="16" fillId="7" borderId="32" xfId="2" applyNumberFormat="1" applyFont="1" applyFill="1" applyBorder="1" applyAlignment="1"/>
    <xf numFmtId="168" fontId="38" fillId="7" borderId="31" xfId="0" applyNumberFormat="1" applyFont="1" applyFill="1" applyBorder="1"/>
    <xf numFmtId="43" fontId="16" fillId="7" borderId="31" xfId="1" applyFont="1" applyFill="1" applyBorder="1" applyAlignment="1">
      <alignment horizontal="right" vertical="center"/>
    </xf>
    <xf numFmtId="168" fontId="14" fillId="7" borderId="31" xfId="0" applyNumberFormat="1" applyFont="1" applyFill="1" applyBorder="1" applyAlignment="1">
      <alignment horizontal="right"/>
    </xf>
    <xf numFmtId="0" fontId="20" fillId="0" borderId="31" xfId="0" applyFont="1" applyBorder="1"/>
    <xf numFmtId="44" fontId="7" fillId="4" borderId="35" xfId="2" applyFont="1" applyFill="1" applyBorder="1" applyAlignment="1">
      <alignment horizontal="right"/>
    </xf>
    <xf numFmtId="44" fontId="7" fillId="4" borderId="36" xfId="0" applyNumberFormat="1" applyFont="1" applyFill="1" applyBorder="1" applyAlignment="1">
      <alignment horizontal="right"/>
    </xf>
    <xf numFmtId="172" fontId="0" fillId="0" borderId="0" xfId="2" applyNumberFormat="1" applyFont="1"/>
    <xf numFmtId="172" fontId="16" fillId="2" borderId="0" xfId="2" applyNumberFormat="1" applyFont="1" applyFill="1" applyBorder="1" applyAlignment="1">
      <alignment horizontal="right"/>
    </xf>
    <xf numFmtId="167" fontId="16" fillId="2" borderId="0" xfId="1" applyNumberFormat="1" applyFont="1" applyFill="1" applyBorder="1" applyAlignment="1">
      <alignment horizontal="right"/>
    </xf>
    <xf numFmtId="0" fontId="0" fillId="0" borderId="37" xfId="0" applyBorder="1"/>
    <xf numFmtId="44" fontId="0" fillId="0" borderId="37" xfId="2" applyFont="1" applyBorder="1"/>
    <xf numFmtId="44" fontId="0" fillId="0" borderId="39" xfId="2" applyFont="1" applyBorder="1"/>
    <xf numFmtId="44" fontId="0" fillId="0" borderId="1" xfId="2" applyFont="1" applyBorder="1"/>
    <xf numFmtId="44" fontId="0" fillId="0" borderId="30" xfId="2" applyFont="1" applyBorder="1"/>
    <xf numFmtId="0" fontId="0" fillId="0" borderId="0" xfId="0" applyAlignment="1">
      <alignment horizontal="center"/>
    </xf>
    <xf numFmtId="0" fontId="0" fillId="0" borderId="39" xfId="0" applyBorder="1"/>
    <xf numFmtId="0" fontId="0" fillId="0" borderId="1" xfId="0" applyBorder="1"/>
    <xf numFmtId="172" fontId="0" fillId="0" borderId="37" xfId="2" applyNumberFormat="1" applyFont="1" applyBorder="1" applyAlignment="1">
      <alignment horizontal="center"/>
    </xf>
    <xf numFmtId="14" fontId="16" fillId="0" borderId="43" xfId="0" applyNumberFormat="1" applyFont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172" fontId="0" fillId="0" borderId="39" xfId="2" applyNumberFormat="1" applyFont="1" applyBorder="1" applyAlignment="1">
      <alignment horizontal="center"/>
    </xf>
    <xf numFmtId="44" fontId="0" fillId="0" borderId="21" xfId="2" applyFont="1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172" fontId="0" fillId="0" borderId="43" xfId="2" applyNumberFormat="1" applyFont="1" applyBorder="1" applyAlignment="1">
      <alignment horizontal="center"/>
    </xf>
    <xf numFmtId="0" fontId="0" fillId="0" borderId="38" xfId="0" applyBorder="1" applyAlignment="1">
      <alignment horizontal="center"/>
    </xf>
    <xf numFmtId="14" fontId="20" fillId="0" borderId="0" xfId="0" applyNumberFormat="1" applyFont="1"/>
    <xf numFmtId="167" fontId="3" fillId="0" borderId="2" xfId="1" applyNumberFormat="1" applyFont="1" applyFill="1" applyBorder="1"/>
    <xf numFmtId="169" fontId="18" fillId="3" borderId="3" xfId="1" applyNumberFormat="1" applyFont="1" applyFill="1" applyBorder="1"/>
    <xf numFmtId="169" fontId="18" fillId="3" borderId="44" xfId="1" applyNumberFormat="1" applyFont="1" applyFill="1" applyBorder="1"/>
    <xf numFmtId="174" fontId="28" fillId="3" borderId="0" xfId="3" applyNumberFormat="1" applyFont="1" applyFill="1" applyBorder="1"/>
    <xf numFmtId="172" fontId="16" fillId="2" borderId="3" xfId="2" applyNumberFormat="1" applyFont="1" applyFill="1" applyBorder="1" applyAlignment="1">
      <alignment horizontal="right"/>
    </xf>
    <xf numFmtId="167" fontId="16" fillId="2" borderId="3" xfId="1" applyNumberFormat="1" applyFont="1" applyFill="1" applyBorder="1" applyAlignment="1">
      <alignment horizontal="right"/>
    </xf>
    <xf numFmtId="0" fontId="17" fillId="2" borderId="0" xfId="3" applyNumberFormat="1" applyFont="1" applyFill="1" applyBorder="1"/>
    <xf numFmtId="14" fontId="16" fillId="0" borderId="0" xfId="0" applyNumberFormat="1" applyFont="1" applyAlignment="1">
      <alignment horizontal="center"/>
    </xf>
    <xf numFmtId="9" fontId="0" fillId="0" borderId="0" xfId="0" applyNumberFormat="1"/>
    <xf numFmtId="1" fontId="42" fillId="3" borderId="0" xfId="0" applyNumberFormat="1" applyFont="1" applyFill="1" applyAlignment="1">
      <alignment horizontal="center"/>
    </xf>
    <xf numFmtId="1" fontId="16" fillId="0" borderId="0" xfId="0" applyNumberFormat="1" applyFont="1" applyAlignment="1">
      <alignment horizontal="center"/>
    </xf>
    <xf numFmtId="9" fontId="16" fillId="0" borderId="0" xfId="3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0" fillId="0" borderId="2" xfId="0" applyFont="1" applyBorder="1"/>
    <xf numFmtId="9" fontId="16" fillId="7" borderId="0" xfId="3" applyFont="1" applyFill="1" applyBorder="1" applyAlignment="1">
      <alignment horizontal="center"/>
    </xf>
    <xf numFmtId="14" fontId="16" fillId="0" borderId="38" xfId="0" applyNumberFormat="1" applyFont="1" applyBorder="1" applyAlignment="1">
      <alignment horizontal="center"/>
    </xf>
    <xf numFmtId="1" fontId="0" fillId="7" borderId="0" xfId="0" applyNumberFormat="1" applyFill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67" fontId="17" fillId="2" borderId="21" xfId="1" applyNumberFormat="1" applyFont="1" applyFill="1" applyBorder="1" applyAlignment="1"/>
    <xf numFmtId="167" fontId="20" fillId="2" borderId="21" xfId="1" applyNumberFormat="1" applyFont="1" applyFill="1" applyBorder="1"/>
    <xf numFmtId="43" fontId="20" fillId="2" borderId="21" xfId="1" applyFont="1" applyFill="1" applyBorder="1"/>
    <xf numFmtId="167" fontId="17" fillId="2" borderId="21" xfId="1" applyNumberFormat="1" applyFont="1" applyFill="1" applyBorder="1"/>
    <xf numFmtId="44" fontId="17" fillId="2" borderId="21" xfId="2" applyFont="1" applyFill="1" applyBorder="1"/>
    <xf numFmtId="174" fontId="17" fillId="2" borderId="21" xfId="3" applyNumberFormat="1" applyFont="1" applyFill="1" applyBorder="1"/>
    <xf numFmtId="1" fontId="17" fillId="2" borderId="21" xfId="2" applyNumberFormat="1" applyFont="1" applyFill="1" applyBorder="1"/>
    <xf numFmtId="174" fontId="40" fillId="2" borderId="21" xfId="3" applyNumberFormat="1" applyFont="1" applyFill="1" applyBorder="1"/>
    <xf numFmtId="176" fontId="17" fillId="2" borderId="21" xfId="2" applyNumberFormat="1" applyFont="1" applyFill="1" applyBorder="1"/>
    <xf numFmtId="177" fontId="17" fillId="2" borderId="21" xfId="2" applyNumberFormat="1" applyFont="1" applyFill="1" applyBorder="1"/>
    <xf numFmtId="44" fontId="27" fillId="0" borderId="17" xfId="0" applyNumberFormat="1" applyFont="1" applyBorder="1"/>
    <xf numFmtId="169" fontId="18" fillId="3" borderId="14" xfId="1" applyNumberFormat="1" applyFont="1" applyFill="1" applyBorder="1"/>
    <xf numFmtId="14" fontId="16" fillId="0" borderId="45" xfId="0" applyNumberFormat="1" applyFont="1" applyBorder="1" applyAlignment="1">
      <alignment horizontal="center"/>
    </xf>
    <xf numFmtId="0" fontId="22" fillId="2" borderId="0" xfId="0" applyFont="1" applyFill="1"/>
    <xf numFmtId="0" fontId="23" fillId="2" borderId="0" xfId="0" applyFont="1" applyFill="1" applyAlignment="1">
      <alignment horizontal="left"/>
    </xf>
    <xf numFmtId="168" fontId="23" fillId="2" borderId="0" xfId="0" applyNumberFormat="1" applyFont="1" applyFill="1"/>
    <xf numFmtId="44" fontId="44" fillId="2" borderId="0" xfId="2" applyFont="1" applyFill="1" applyBorder="1"/>
    <xf numFmtId="44" fontId="44" fillId="2" borderId="21" xfId="2" applyFont="1" applyFill="1" applyBorder="1"/>
    <xf numFmtId="1" fontId="40" fillId="6" borderId="37" xfId="0" applyNumberFormat="1" applyFont="1" applyFill="1" applyBorder="1"/>
    <xf numFmtId="0" fontId="40" fillId="6" borderId="0" xfId="0" applyFont="1" applyFill="1"/>
    <xf numFmtId="0" fontId="40" fillId="6" borderId="21" xfId="0" applyFont="1" applyFill="1" applyBorder="1"/>
    <xf numFmtId="0" fontId="40" fillId="6" borderId="1" xfId="0" applyFont="1" applyFill="1" applyBorder="1"/>
    <xf numFmtId="0" fontId="40" fillId="6" borderId="30" xfId="0" applyFont="1" applyFill="1" applyBorder="1"/>
    <xf numFmtId="0" fontId="29" fillId="4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67" fontId="0" fillId="0" borderId="8" xfId="0" applyNumberFormat="1" applyBorder="1" applyAlignment="1">
      <alignment horizontal="right" vertical="center"/>
    </xf>
    <xf numFmtId="172" fontId="16" fillId="2" borderId="46" xfId="2" applyNumberFormat="1" applyFont="1" applyFill="1" applyBorder="1" applyAlignment="1">
      <alignment horizontal="right"/>
    </xf>
    <xf numFmtId="172" fontId="16" fillId="2" borderId="47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0" fillId="10" borderId="46" xfId="2" applyNumberFormat="1" applyFont="1" applyFill="1" applyBorder="1" applyAlignment="1">
      <alignment horizontal="right"/>
    </xf>
    <xf numFmtId="172" fontId="31" fillId="0" borderId="0" xfId="2" applyNumberFormat="1" applyFont="1" applyBorder="1"/>
    <xf numFmtId="172" fontId="30" fillId="10" borderId="47" xfId="2" applyNumberFormat="1" applyFont="1" applyFill="1" applyBorder="1"/>
    <xf numFmtId="0" fontId="32" fillId="10" borderId="7" xfId="0" applyFont="1" applyFill="1" applyBorder="1" applyAlignment="1">
      <alignment horizontal="right"/>
    </xf>
    <xf numFmtId="168" fontId="32" fillId="10" borderId="8" xfId="0" applyNumberFormat="1" applyFont="1" applyFill="1" applyBorder="1" applyAlignment="1">
      <alignment horizontal="right"/>
    </xf>
    <xf numFmtId="0" fontId="10" fillId="2" borderId="46" xfId="0" applyFont="1" applyFill="1" applyBorder="1" applyAlignment="1">
      <alignment horizontal="right"/>
    </xf>
    <xf numFmtId="172" fontId="0" fillId="0" borderId="0" xfId="2" applyNumberFormat="1" applyFont="1" applyBorder="1" applyAlignment="1"/>
    <xf numFmtId="172" fontId="10" fillId="2" borderId="47" xfId="2" applyNumberFormat="1" applyFont="1" applyFill="1" applyBorder="1" applyAlignment="1"/>
    <xf numFmtId="0" fontId="33" fillId="0" borderId="7" xfId="0" applyFont="1" applyBorder="1" applyAlignment="1">
      <alignment horizontal="right"/>
    </xf>
    <xf numFmtId="168" fontId="33" fillId="0" borderId="8" xfId="0" applyNumberFormat="1" applyFont="1" applyBorder="1"/>
    <xf numFmtId="43" fontId="0" fillId="0" borderId="8" xfId="1" applyFont="1" applyBorder="1"/>
    <xf numFmtId="0" fontId="7" fillId="4" borderId="7" xfId="0" applyFont="1" applyFill="1" applyBorder="1" applyAlignment="1">
      <alignment horizontal="right"/>
    </xf>
    <xf numFmtId="0" fontId="9" fillId="0" borderId="0" xfId="0" applyFont="1"/>
    <xf numFmtId="167" fontId="10" fillId="0" borderId="0" xfId="0" applyNumberFormat="1" applyFont="1" applyAlignment="1">
      <alignment horizontal="right" vertical="center"/>
    </xf>
    <xf numFmtId="173" fontId="10" fillId="0" borderId="0" xfId="0" applyNumberFormat="1" applyFont="1"/>
    <xf numFmtId="168" fontId="36" fillId="10" borderId="0" xfId="0" applyNumberFormat="1" applyFont="1" applyFill="1" applyAlignment="1">
      <alignment horizontal="right"/>
    </xf>
    <xf numFmtId="0" fontId="10" fillId="0" borderId="0" xfId="0" applyFont="1"/>
    <xf numFmtId="168" fontId="11" fillId="0" borderId="0" xfId="0" applyNumberFormat="1" applyFont="1"/>
    <xf numFmtId="0" fontId="46" fillId="0" borderId="0" xfId="0" applyFont="1"/>
    <xf numFmtId="44" fontId="0" fillId="0" borderId="0" xfId="0" applyNumberFormat="1" applyAlignment="1">
      <alignment horizontal="center"/>
    </xf>
    <xf numFmtId="0" fontId="47" fillId="0" borderId="0" xfId="0" applyFont="1" applyAlignment="1">
      <alignment horizontal="center" wrapText="1"/>
    </xf>
    <xf numFmtId="44" fontId="0" fillId="0" borderId="48" xfId="0" applyNumberFormat="1" applyBorder="1" applyAlignment="1">
      <alignment horizontal="center"/>
    </xf>
    <xf numFmtId="44" fontId="0" fillId="0" borderId="49" xfId="0" applyNumberFormat="1" applyBorder="1"/>
    <xf numFmtId="44" fontId="0" fillId="0" borderId="50" xfId="0" applyNumberFormat="1" applyBorder="1"/>
    <xf numFmtId="44" fontId="0" fillId="0" borderId="51" xfId="0" applyNumberFormat="1" applyBorder="1"/>
    <xf numFmtId="0" fontId="0" fillId="2" borderId="3" xfId="0" applyFill="1" applyBorder="1"/>
    <xf numFmtId="44" fontId="0" fillId="2" borderId="54" xfId="0" applyNumberFormat="1" applyFill="1" applyBorder="1"/>
    <xf numFmtId="44" fontId="0" fillId="2" borderId="55" xfId="0" applyNumberFormat="1" applyFill="1" applyBorder="1"/>
    <xf numFmtId="44" fontId="0" fillId="2" borderId="56" xfId="0" applyNumberFormat="1" applyFill="1" applyBorder="1"/>
    <xf numFmtId="44" fontId="0" fillId="0" borderId="57" xfId="0" applyNumberFormat="1" applyBorder="1" applyAlignment="1">
      <alignment horizontal="center"/>
    </xf>
    <xf numFmtId="44" fontId="0" fillId="0" borderId="58" xfId="0" applyNumberFormat="1" applyBorder="1"/>
    <xf numFmtId="44" fontId="0" fillId="0" borderId="59" xfId="0" applyNumberFormat="1" applyBorder="1"/>
    <xf numFmtId="44" fontId="0" fillId="0" borderId="60" xfId="0" applyNumberFormat="1" applyBorder="1"/>
    <xf numFmtId="44" fontId="0" fillId="0" borderId="53" xfId="0" applyNumberFormat="1" applyBorder="1" applyAlignment="1">
      <alignment horizontal="center"/>
    </xf>
    <xf numFmtId="44" fontId="0" fillId="0" borderId="54" xfId="0" applyNumberFormat="1" applyBorder="1"/>
    <xf numFmtId="44" fontId="0" fillId="0" borderId="55" xfId="0" applyNumberFormat="1" applyBorder="1"/>
    <xf numFmtId="44" fontId="0" fillId="0" borderId="56" xfId="0" applyNumberFormat="1" applyBorder="1"/>
    <xf numFmtId="44" fontId="0" fillId="0" borderId="61" xfId="0" applyNumberFormat="1" applyBorder="1" applyAlignment="1">
      <alignment horizontal="center"/>
    </xf>
    <xf numFmtId="44" fontId="0" fillId="0" borderId="62" xfId="2" applyFont="1" applyBorder="1" applyAlignment="1"/>
    <xf numFmtId="44" fontId="0" fillId="0" borderId="63" xfId="2" applyFont="1" applyBorder="1" applyAlignment="1"/>
    <xf numFmtId="44" fontId="0" fillId="0" borderId="64" xfId="2" applyFont="1" applyBorder="1" applyAlignment="1"/>
    <xf numFmtId="44" fontId="0" fillId="0" borderId="62" xfId="0" applyNumberFormat="1" applyBorder="1"/>
    <xf numFmtId="44" fontId="0" fillId="0" borderId="63" xfId="0" applyNumberFormat="1" applyBorder="1"/>
    <xf numFmtId="44" fontId="0" fillId="0" borderId="64" xfId="0" applyNumberFormat="1" applyBorder="1"/>
    <xf numFmtId="0" fontId="4" fillId="0" borderId="0" xfId="0" applyFont="1" applyAlignment="1">
      <alignment wrapText="1"/>
    </xf>
    <xf numFmtId="0" fontId="4" fillId="0" borderId="62" xfId="0" applyFont="1" applyBorder="1" applyAlignment="1">
      <alignment wrapText="1"/>
    </xf>
    <xf numFmtId="0" fontId="4" fillId="0" borderId="64" xfId="0" applyFont="1" applyBorder="1" applyAlignment="1">
      <alignment wrapText="1"/>
    </xf>
    <xf numFmtId="44" fontId="4" fillId="0" borderId="65" xfId="0" applyNumberFormat="1" applyFont="1" applyBorder="1" applyAlignment="1">
      <alignment horizontal="center" wrapText="1"/>
    </xf>
    <xf numFmtId="0" fontId="4" fillId="0" borderId="66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67" xfId="0" applyFont="1" applyBorder="1" applyAlignment="1">
      <alignment wrapText="1"/>
    </xf>
    <xf numFmtId="10" fontId="0" fillId="2" borderId="68" xfId="3" applyNumberFormat="1" applyFont="1" applyFill="1" applyBorder="1" applyAlignment="1">
      <alignment horizontal="center"/>
    </xf>
    <xf numFmtId="10" fontId="0" fillId="2" borderId="69" xfId="3" applyNumberFormat="1" applyFont="1" applyFill="1" applyBorder="1" applyAlignment="1"/>
    <xf numFmtId="10" fontId="0" fillId="2" borderId="70" xfId="3" applyNumberFormat="1" applyFont="1" applyFill="1" applyBorder="1" applyAlignment="1"/>
    <xf numFmtId="10" fontId="0" fillId="2" borderId="71" xfId="3" applyNumberFormat="1" applyFont="1" applyFill="1" applyBorder="1" applyAlignment="1"/>
    <xf numFmtId="0" fontId="48" fillId="2" borderId="15" xfId="0" applyFont="1" applyFill="1" applyBorder="1" applyAlignment="1">
      <alignment horizontal="right"/>
    </xf>
    <xf numFmtId="0" fontId="49" fillId="2" borderId="25" xfId="0" applyFont="1" applyFill="1" applyBorder="1"/>
    <xf numFmtId="44" fontId="0" fillId="2" borderId="61" xfId="0" applyNumberFormat="1" applyFill="1" applyBorder="1" applyAlignment="1">
      <alignment horizontal="center"/>
    </xf>
    <xf numFmtId="0" fontId="0" fillId="2" borderId="62" xfId="0" applyFill="1" applyBorder="1"/>
    <xf numFmtId="0" fontId="0" fillId="2" borderId="63" xfId="0" applyFill="1" applyBorder="1"/>
    <xf numFmtId="0" fontId="0" fillId="2" borderId="64" xfId="0" applyFill="1" applyBorder="1"/>
    <xf numFmtId="0" fontId="50" fillId="2" borderId="0" xfId="0" applyFont="1" applyFill="1" applyAlignment="1">
      <alignment horizontal="right"/>
    </xf>
    <xf numFmtId="0" fontId="51" fillId="2" borderId="23" xfId="0" applyFont="1" applyFill="1" applyBorder="1" applyAlignment="1">
      <alignment vertical="center"/>
    </xf>
    <xf numFmtId="44" fontId="0" fillId="2" borderId="62" xfId="2" applyFont="1" applyFill="1" applyBorder="1" applyAlignment="1"/>
    <xf numFmtId="44" fontId="0" fillId="2" borderId="63" xfId="2" applyFont="1" applyFill="1" applyBorder="1" applyAlignment="1"/>
    <xf numFmtId="44" fontId="0" fillId="2" borderId="64" xfId="2" applyFont="1" applyFill="1" applyBorder="1" applyAlignment="1"/>
    <xf numFmtId="43" fontId="0" fillId="2" borderId="61" xfId="1" applyFont="1" applyFill="1" applyBorder="1" applyAlignment="1">
      <alignment horizontal="center"/>
    </xf>
    <xf numFmtId="2" fontId="0" fillId="2" borderId="62" xfId="0" applyNumberFormat="1" applyFill="1" applyBorder="1"/>
    <xf numFmtId="2" fontId="0" fillId="2" borderId="63" xfId="0" applyNumberFormat="1" applyFill="1" applyBorder="1"/>
    <xf numFmtId="2" fontId="0" fillId="2" borderId="64" xfId="0" applyNumberFormat="1" applyFill="1" applyBorder="1"/>
    <xf numFmtId="1" fontId="0" fillId="2" borderId="62" xfId="0" applyNumberFormat="1" applyFill="1" applyBorder="1"/>
    <xf numFmtId="1" fontId="0" fillId="2" borderId="63" xfId="0" applyNumberFormat="1" applyFill="1" applyBorder="1"/>
    <xf numFmtId="1" fontId="0" fillId="2" borderId="64" xfId="0" applyNumberFormat="1" applyFill="1" applyBorder="1"/>
    <xf numFmtId="0" fontId="52" fillId="2" borderId="0" xfId="0" applyFont="1" applyFill="1" applyAlignment="1">
      <alignment horizontal="right"/>
    </xf>
    <xf numFmtId="1" fontId="0" fillId="2" borderId="58" xfId="0" applyNumberFormat="1" applyFill="1" applyBorder="1"/>
    <xf numFmtId="1" fontId="0" fillId="2" borderId="59" xfId="0" applyNumberFormat="1" applyFill="1" applyBorder="1"/>
    <xf numFmtId="1" fontId="0" fillId="2" borderId="60" xfId="0" applyNumberFormat="1" applyFill="1" applyBorder="1"/>
    <xf numFmtId="43" fontId="50" fillId="2" borderId="2" xfId="0" applyNumberFormat="1" applyFont="1" applyFill="1" applyBorder="1" applyAlignment="1">
      <alignment horizontal="right"/>
    </xf>
    <xf numFmtId="44" fontId="0" fillId="0" borderId="62" xfId="2" applyFont="1" applyBorder="1"/>
    <xf numFmtId="44" fontId="0" fillId="0" borderId="63" xfId="2" applyFont="1" applyBorder="1"/>
    <xf numFmtId="44" fontId="0" fillId="0" borderId="64" xfId="2" applyFont="1" applyBorder="1"/>
    <xf numFmtId="0" fontId="53" fillId="4" borderId="61" xfId="0" applyFont="1" applyFill="1" applyBorder="1" applyAlignment="1">
      <alignment horizontal="center"/>
    </xf>
    <xf numFmtId="0" fontId="53" fillId="4" borderId="72" xfId="0" applyFont="1" applyFill="1" applyBorder="1" applyAlignment="1">
      <alignment horizontal="center"/>
    </xf>
    <xf numFmtId="0" fontId="53" fillId="4" borderId="0" xfId="0" applyFont="1" applyFill="1" applyAlignment="1">
      <alignment horizontal="center"/>
    </xf>
    <xf numFmtId="14" fontId="53" fillId="4" borderId="62" xfId="0" applyNumberFormat="1" applyFont="1" applyFill="1" applyBorder="1" applyAlignment="1">
      <alignment horizontal="center"/>
    </xf>
    <xf numFmtId="14" fontId="53" fillId="4" borderId="12" xfId="0" applyNumberFormat="1" applyFont="1" applyFill="1" applyBorder="1" applyAlignment="1">
      <alignment horizontal="center"/>
    </xf>
    <xf numFmtId="0" fontId="53" fillId="4" borderId="22" xfId="0" applyFont="1" applyFill="1" applyBorder="1" applyAlignment="1">
      <alignment horizontal="center"/>
    </xf>
    <xf numFmtId="0" fontId="9" fillId="4" borderId="0" xfId="0" applyFont="1" applyFill="1"/>
    <xf numFmtId="0" fontId="54" fillId="4" borderId="0" xfId="0" applyFont="1" applyFill="1" applyAlignment="1">
      <alignment vertical="center" wrapText="1"/>
    </xf>
    <xf numFmtId="0" fontId="54" fillId="4" borderId="23" xfId="0" applyFont="1" applyFill="1" applyBorder="1" applyAlignment="1">
      <alignment vertical="center" wrapText="1"/>
    </xf>
    <xf numFmtId="0" fontId="49" fillId="2" borderId="23" xfId="0" applyFont="1" applyFill="1" applyBorder="1"/>
    <xf numFmtId="0" fontId="48" fillId="2" borderId="0" xfId="0" applyFont="1" applyFill="1" applyAlignment="1">
      <alignment horizontal="right"/>
    </xf>
    <xf numFmtId="10" fontId="0" fillId="2" borderId="64" xfId="3" applyNumberFormat="1" applyFont="1" applyFill="1" applyBorder="1" applyAlignment="1"/>
    <xf numFmtId="10" fontId="0" fillId="2" borderId="63" xfId="3" applyNumberFormat="1" applyFont="1" applyFill="1" applyBorder="1" applyAlignment="1"/>
    <xf numFmtId="10" fontId="0" fillId="2" borderId="62" xfId="3" applyNumberFormat="1" applyFont="1" applyFill="1" applyBorder="1" applyAlignment="1"/>
    <xf numFmtId="10" fontId="0" fillId="2" borderId="61" xfId="3" applyNumberFormat="1" applyFont="1" applyFill="1" applyBorder="1" applyAlignment="1">
      <alignment horizontal="center"/>
    </xf>
    <xf numFmtId="164" fontId="43" fillId="3" borderId="0" xfId="0" applyNumberFormat="1" applyFont="1" applyFill="1" applyAlignment="1">
      <alignment horizontal="right" wrapText="1"/>
    </xf>
    <xf numFmtId="0" fontId="0" fillId="6" borderId="0" xfId="0" applyFill="1"/>
    <xf numFmtId="0" fontId="4" fillId="6" borderId="0" xfId="0" applyFont="1" applyFill="1" applyAlignment="1">
      <alignment horizontal="left" wrapText="1"/>
    </xf>
    <xf numFmtId="44" fontId="10" fillId="6" borderId="0" xfId="0" applyNumberFormat="1" applyFont="1" applyFill="1"/>
    <xf numFmtId="44" fontId="10" fillId="6" borderId="21" xfId="0" applyNumberFormat="1" applyFont="1" applyFill="1" applyBorder="1"/>
    <xf numFmtId="0" fontId="55" fillId="0" borderId="0" xfId="0" applyFont="1" applyAlignment="1">
      <alignment horizontal="left" wrapText="1"/>
    </xf>
    <xf numFmtId="177" fontId="7" fillId="4" borderId="5" xfId="0" applyNumberFormat="1" applyFont="1" applyFill="1" applyBorder="1" applyAlignment="1">
      <alignment horizontal="right"/>
    </xf>
    <xf numFmtId="0" fontId="16" fillId="13" borderId="77" xfId="0" applyFont="1" applyFill="1" applyBorder="1" applyAlignment="1">
      <alignment horizontal="right"/>
    </xf>
    <xf numFmtId="0" fontId="16" fillId="13" borderId="78" xfId="0" applyFont="1" applyFill="1" applyBorder="1" applyAlignment="1">
      <alignment horizontal="right"/>
    </xf>
    <xf numFmtId="44" fontId="27" fillId="13" borderId="79" xfId="2" applyFont="1" applyFill="1" applyBorder="1" applyAlignment="1">
      <alignment horizontal="right"/>
    </xf>
    <xf numFmtId="44" fontId="27" fillId="13" borderId="80" xfId="2" applyFont="1" applyFill="1" applyBorder="1" applyAlignment="1">
      <alignment horizontal="right"/>
    </xf>
    <xf numFmtId="44" fontId="27" fillId="13" borderId="77" xfId="2" applyFont="1" applyFill="1" applyBorder="1" applyAlignment="1">
      <alignment horizontal="right"/>
    </xf>
    <xf numFmtId="44" fontId="42" fillId="13" borderId="79" xfId="2" applyFont="1" applyFill="1" applyBorder="1" applyAlignment="1">
      <alignment horizontal="right"/>
    </xf>
    <xf numFmtId="44" fontId="42" fillId="13" borderId="80" xfId="2" applyFont="1" applyFill="1" applyBorder="1" applyAlignment="1">
      <alignment horizontal="right"/>
    </xf>
    <xf numFmtId="44" fontId="42" fillId="13" borderId="77" xfId="2" applyFont="1" applyFill="1" applyBorder="1" applyAlignment="1">
      <alignment horizontal="right"/>
    </xf>
    <xf numFmtId="172" fontId="16" fillId="2" borderId="7" xfId="2" applyNumberFormat="1" applyFont="1" applyFill="1" applyBorder="1" applyAlignment="1">
      <alignment horizontal="right"/>
    </xf>
    <xf numFmtId="167" fontId="16" fillId="2" borderId="76" xfId="1" applyNumberFormat="1" applyFont="1" applyFill="1" applyBorder="1" applyAlignment="1">
      <alignment horizontal="right"/>
    </xf>
    <xf numFmtId="172" fontId="16" fillId="2" borderId="81" xfId="2" applyNumberFormat="1" applyFont="1" applyFill="1" applyBorder="1" applyAlignment="1">
      <alignment horizontal="right"/>
    </xf>
    <xf numFmtId="167" fontId="16" fillId="2" borderId="2" xfId="1" applyNumberFormat="1" applyFont="1" applyFill="1" applyBorder="1" applyAlignment="1">
      <alignment horizontal="right"/>
    </xf>
    <xf numFmtId="167" fontId="16" fillId="2" borderId="13" xfId="1" applyNumberFormat="1" applyFont="1" applyFill="1" applyBorder="1" applyAlignment="1">
      <alignment horizontal="right"/>
    </xf>
    <xf numFmtId="172" fontId="16" fillId="2" borderId="12" xfId="2" applyNumberFormat="1" applyFont="1" applyFill="1" applyBorder="1" applyAlignment="1">
      <alignment horizontal="right"/>
    </xf>
    <xf numFmtId="0" fontId="23" fillId="2" borderId="15" xfId="0" applyFont="1" applyFill="1" applyBorder="1"/>
    <xf numFmtId="172" fontId="0" fillId="0" borderId="0" xfId="2" applyNumberFormat="1" applyFont="1" applyBorder="1" applyAlignment="1">
      <alignment horizontal="center"/>
    </xf>
    <xf numFmtId="179" fontId="28" fillId="3" borderId="41" xfId="0" applyNumberFormat="1" applyFont="1" applyFill="1" applyBorder="1" applyAlignment="1">
      <alignment horizontal="center"/>
    </xf>
    <xf numFmtId="179" fontId="28" fillId="3" borderId="38" xfId="0" applyNumberFormat="1" applyFont="1" applyFill="1" applyBorder="1" applyAlignment="1">
      <alignment horizontal="center"/>
    </xf>
    <xf numFmtId="179" fontId="28" fillId="3" borderId="42" xfId="0" applyNumberFormat="1" applyFont="1" applyFill="1" applyBorder="1" applyAlignment="1">
      <alignment horizontal="center"/>
    </xf>
    <xf numFmtId="0" fontId="0" fillId="4" borderId="5" xfId="0" applyFill="1" applyBorder="1"/>
    <xf numFmtId="0" fontId="7" fillId="4" borderId="5" xfId="0" applyFont="1" applyFill="1" applyBorder="1" applyAlignment="1">
      <alignment horizontal="center"/>
    </xf>
    <xf numFmtId="0" fontId="7" fillId="4" borderId="82" xfId="0" applyFont="1" applyFill="1" applyBorder="1" applyAlignment="1">
      <alignment horizontal="center"/>
    </xf>
    <xf numFmtId="0" fontId="7" fillId="4" borderId="83" xfId="0" applyFont="1" applyFill="1" applyBorder="1" applyAlignment="1">
      <alignment horizontal="center"/>
    </xf>
    <xf numFmtId="1" fontId="28" fillId="3" borderId="0" xfId="0" applyNumberFormat="1" applyFont="1" applyFill="1" applyAlignment="1">
      <alignment horizontal="center"/>
    </xf>
    <xf numFmtId="0" fontId="0" fillId="0" borderId="84" xfId="0" applyBorder="1"/>
    <xf numFmtId="167" fontId="18" fillId="3" borderId="2" xfId="1" applyNumberFormat="1" applyFont="1" applyFill="1" applyBorder="1"/>
    <xf numFmtId="167" fontId="14" fillId="3" borderId="3" xfId="1" applyNumberFormat="1" applyFont="1" applyFill="1" applyBorder="1"/>
    <xf numFmtId="167" fontId="14" fillId="3" borderId="14" xfId="1" applyNumberFormat="1" applyFont="1" applyFill="1" applyBorder="1"/>
    <xf numFmtId="167" fontId="14" fillId="3" borderId="2" xfId="1" applyNumberFormat="1" applyFont="1" applyFill="1" applyBorder="1"/>
    <xf numFmtId="167" fontId="14" fillId="3" borderId="17" xfId="1" applyNumberFormat="1" applyFont="1" applyFill="1" applyBorder="1"/>
    <xf numFmtId="43" fontId="27" fillId="0" borderId="0" xfId="1" applyFont="1" applyBorder="1"/>
    <xf numFmtId="43" fontId="27" fillId="0" borderId="21" xfId="1" applyFont="1" applyBorder="1"/>
    <xf numFmtId="169" fontId="18" fillId="3" borderId="0" xfId="1" applyNumberFormat="1" applyFont="1" applyFill="1" applyBorder="1"/>
    <xf numFmtId="169" fontId="18" fillId="3" borderId="21" xfId="1" applyNumberFormat="1" applyFont="1" applyFill="1" applyBorder="1"/>
    <xf numFmtId="169" fontId="18" fillId="3" borderId="8" xfId="1" applyNumberFormat="1" applyFont="1" applyFill="1" applyBorder="1"/>
    <xf numFmtId="1" fontId="16" fillId="2" borderId="0" xfId="2" applyNumberFormat="1" applyFont="1" applyFill="1" applyBorder="1"/>
    <xf numFmtId="44" fontId="40" fillId="0" borderId="0" xfId="2" applyFont="1" applyFill="1" applyBorder="1"/>
    <xf numFmtId="44" fontId="40" fillId="2" borderId="0" xfId="2" applyFont="1" applyFill="1" applyBorder="1"/>
    <xf numFmtId="44" fontId="40" fillId="2" borderId="21" xfId="2" applyFont="1" applyFill="1" applyBorder="1"/>
    <xf numFmtId="44" fontId="40" fillId="2" borderId="8" xfId="2" applyFont="1" applyFill="1" applyBorder="1"/>
    <xf numFmtId="177" fontId="7" fillId="4" borderId="0" xfId="0" applyNumberFormat="1" applyFont="1" applyFill="1" applyAlignment="1">
      <alignment horizontal="right"/>
    </xf>
    <xf numFmtId="0" fontId="29" fillId="4" borderId="4" xfId="0" applyFont="1" applyFill="1" applyBorder="1" applyAlignment="1">
      <alignment horizontal="right" vertical="center"/>
    </xf>
    <xf numFmtId="0" fontId="30" fillId="4" borderId="5" xfId="0" applyFont="1" applyFill="1" applyBorder="1" applyAlignment="1">
      <alignment horizontal="center" vertical="center"/>
    </xf>
    <xf numFmtId="0" fontId="30" fillId="4" borderId="6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left"/>
    </xf>
    <xf numFmtId="0" fontId="30" fillId="0" borderId="0" xfId="0" applyFont="1" applyAlignment="1">
      <alignment horizontal="center"/>
    </xf>
    <xf numFmtId="0" fontId="30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6" fillId="2" borderId="47" xfId="2" applyNumberFormat="1" applyFont="1" applyFill="1" applyBorder="1"/>
    <xf numFmtId="1" fontId="16" fillId="2" borderId="8" xfId="2" applyNumberFormat="1" applyFont="1" applyFill="1" applyBorder="1"/>
    <xf numFmtId="0" fontId="34" fillId="0" borderId="7" xfId="0" applyFont="1" applyBorder="1" applyAlignment="1">
      <alignment horizontal="right" vertical="top"/>
    </xf>
    <xf numFmtId="9" fontId="35" fillId="0" borderId="8" xfId="3" applyFont="1" applyBorder="1"/>
    <xf numFmtId="172" fontId="10" fillId="2" borderId="46" xfId="2" applyNumberFormat="1" applyFont="1" applyFill="1" applyBorder="1" applyAlignment="1">
      <alignment horizontal="right"/>
    </xf>
    <xf numFmtId="172" fontId="10" fillId="2" borderId="47" xfId="2" applyNumberFormat="1" applyFont="1" applyFill="1" applyBorder="1"/>
    <xf numFmtId="0" fontId="32" fillId="10" borderId="9" xfId="0" applyFont="1" applyFill="1" applyBorder="1" applyAlignment="1">
      <alignment horizontal="right"/>
    </xf>
    <xf numFmtId="168" fontId="32" fillId="10" borderId="10" xfId="0" applyNumberFormat="1" applyFont="1" applyFill="1" applyBorder="1" applyAlignment="1">
      <alignment horizontal="right"/>
    </xf>
    <xf numFmtId="168" fontId="32" fillId="10" borderId="11" xfId="0" applyNumberFormat="1" applyFont="1" applyFill="1" applyBorder="1" applyAlignment="1">
      <alignment horizontal="right"/>
    </xf>
    <xf numFmtId="172" fontId="7" fillId="4" borderId="9" xfId="0" applyNumberFormat="1" applyFont="1" applyFill="1" applyBorder="1" applyAlignment="1">
      <alignment horizontal="right"/>
    </xf>
    <xf numFmtId="172" fontId="7" fillId="4" borderId="10" xfId="0" applyNumberFormat="1" applyFont="1" applyFill="1" applyBorder="1" applyAlignment="1">
      <alignment horizontal="right"/>
    </xf>
    <xf numFmtId="172" fontId="45" fillId="4" borderId="9" xfId="0" applyNumberFormat="1" applyFont="1" applyFill="1" applyBorder="1" applyAlignment="1">
      <alignment horizontal="right"/>
    </xf>
    <xf numFmtId="172" fontId="45" fillId="4" borderId="0" xfId="0" applyNumberFormat="1" applyFont="1" applyFill="1" applyAlignment="1">
      <alignment horizontal="right"/>
    </xf>
    <xf numFmtId="172" fontId="7" fillId="4" borderId="0" xfId="0" applyNumberFormat="1" applyFont="1" applyFill="1" applyAlignment="1">
      <alignment horizontal="right"/>
    </xf>
    <xf numFmtId="0" fontId="57" fillId="0" borderId="0" xfId="0" applyFont="1" applyAlignment="1">
      <alignment horizontal="left" wrapText="1"/>
    </xf>
    <xf numFmtId="0" fontId="0" fillId="0" borderId="17" xfId="0" applyBorder="1"/>
    <xf numFmtId="43" fontId="28" fillId="3" borderId="0" xfId="1" applyFont="1" applyFill="1"/>
    <xf numFmtId="174" fontId="23" fillId="2" borderId="0" xfId="3" applyNumberFormat="1" applyFont="1" applyFill="1" applyBorder="1"/>
    <xf numFmtId="174" fontId="23" fillId="2" borderId="21" xfId="3" applyNumberFormat="1" applyFont="1" applyFill="1" applyBorder="1"/>
    <xf numFmtId="174" fontId="58" fillId="3" borderId="0" xfId="3" applyNumberFormat="1" applyFont="1" applyFill="1" applyBorder="1"/>
    <xf numFmtId="167" fontId="0" fillId="2" borderId="63" xfId="1" applyNumberFormat="1" applyFont="1" applyFill="1" applyBorder="1" applyAlignment="1"/>
    <xf numFmtId="43" fontId="50" fillId="2" borderId="0" xfId="0" applyNumberFormat="1" applyFont="1" applyFill="1" applyAlignment="1">
      <alignment horizontal="right"/>
    </xf>
    <xf numFmtId="44" fontId="0" fillId="2" borderId="62" xfId="2" applyFont="1" applyFill="1" applyBorder="1"/>
    <xf numFmtId="172" fontId="0" fillId="2" borderId="62" xfId="2" applyNumberFormat="1" applyFont="1" applyFill="1" applyBorder="1"/>
    <xf numFmtId="43" fontId="0" fillId="2" borderId="0" xfId="1" applyFont="1" applyFill="1" applyBorder="1" applyAlignment="1">
      <alignment horizontal="center"/>
    </xf>
    <xf numFmtId="169" fontId="0" fillId="2" borderId="0" xfId="1" applyNumberFormat="1" applyFont="1" applyFill="1" applyBorder="1" applyAlignment="1">
      <alignment horizontal="center"/>
    </xf>
    <xf numFmtId="167" fontId="0" fillId="2" borderId="60" xfId="1" applyNumberFormat="1" applyFont="1" applyFill="1" applyBorder="1" applyAlignment="1">
      <alignment horizontal="center"/>
    </xf>
    <xf numFmtId="167" fontId="0" fillId="2" borderId="0" xfId="1" applyNumberFormat="1" applyFont="1" applyFill="1" applyBorder="1" applyAlignment="1">
      <alignment horizontal="center"/>
    </xf>
    <xf numFmtId="167" fontId="0" fillId="2" borderId="61" xfId="1" applyNumberFormat="1" applyFont="1" applyFill="1" applyBorder="1" applyAlignment="1">
      <alignment horizontal="center"/>
    </xf>
    <xf numFmtId="44" fontId="20" fillId="0" borderId="61" xfId="0" applyNumberFormat="1" applyFont="1" applyBorder="1" applyAlignment="1">
      <alignment horizontal="center"/>
    </xf>
    <xf numFmtId="167" fontId="0" fillId="2" borderId="57" xfId="1" applyNumberFormat="1" applyFont="1" applyFill="1" applyBorder="1" applyAlignment="1">
      <alignment horizontal="center"/>
    </xf>
    <xf numFmtId="167" fontId="0" fillId="2" borderId="62" xfId="1" applyNumberFormat="1" applyFont="1" applyFill="1" applyBorder="1" applyAlignment="1"/>
    <xf numFmtId="14" fontId="53" fillId="4" borderId="22" xfId="0" applyNumberFormat="1" applyFont="1" applyFill="1" applyBorder="1" applyAlignment="1">
      <alignment horizontal="center"/>
    </xf>
    <xf numFmtId="14" fontId="53" fillId="4" borderId="0" xfId="0" applyNumberFormat="1" applyFont="1" applyFill="1" applyAlignment="1">
      <alignment horizontal="center"/>
    </xf>
    <xf numFmtId="167" fontId="0" fillId="2" borderId="62" xfId="1" applyNumberFormat="1" applyFont="1" applyFill="1" applyBorder="1" applyAlignment="1">
      <alignment horizontal="center"/>
    </xf>
    <xf numFmtId="44" fontId="20" fillId="0" borderId="53" xfId="0" applyNumberFormat="1" applyFont="1" applyBorder="1" applyAlignment="1">
      <alignment horizontal="center"/>
    </xf>
    <xf numFmtId="44" fontId="20" fillId="2" borderId="53" xfId="0" applyNumberFormat="1" applyFont="1" applyFill="1" applyBorder="1" applyAlignment="1">
      <alignment horizontal="center"/>
    </xf>
    <xf numFmtId="174" fontId="0" fillId="2" borderId="55" xfId="3" applyNumberFormat="1" applyFont="1" applyFill="1" applyBorder="1"/>
    <xf numFmtId="174" fontId="0" fillId="2" borderId="54" xfId="3" applyNumberFormat="1" applyFont="1" applyFill="1" applyBorder="1"/>
    <xf numFmtId="174" fontId="20" fillId="2" borderId="53" xfId="0" applyNumberFormat="1" applyFont="1" applyFill="1" applyBorder="1" applyAlignment="1">
      <alignment horizontal="center"/>
    </xf>
    <xf numFmtId="1" fontId="42" fillId="3" borderId="21" xfId="0" applyNumberFormat="1" applyFont="1" applyFill="1" applyBorder="1" applyAlignment="1">
      <alignment horizontal="center"/>
    </xf>
    <xf numFmtId="14" fontId="16" fillId="0" borderId="21" xfId="0" applyNumberFormat="1" applyFont="1" applyBorder="1" applyAlignment="1">
      <alignment horizontal="center"/>
    </xf>
    <xf numFmtId="9" fontId="16" fillId="7" borderId="21" xfId="3" applyFont="1" applyFill="1" applyBorder="1" applyAlignment="1">
      <alignment horizontal="center"/>
    </xf>
    <xf numFmtId="9" fontId="16" fillId="0" borderId="21" xfId="3" applyFont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1" fontId="28" fillId="3" borderId="21" xfId="0" applyNumberFormat="1" applyFont="1" applyFill="1" applyBorder="1" applyAlignment="1">
      <alignment horizontal="center"/>
    </xf>
    <xf numFmtId="14" fontId="16" fillId="0" borderId="76" xfId="0" applyNumberFormat="1" applyFont="1" applyBorder="1" applyAlignment="1">
      <alignment horizontal="center"/>
    </xf>
    <xf numFmtId="1" fontId="42" fillId="3" borderId="12" xfId="0" applyNumberFormat="1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9" fontId="16" fillId="7" borderId="12" xfId="3" applyFont="1" applyFill="1" applyBorder="1" applyAlignment="1">
      <alignment horizontal="center"/>
    </xf>
    <xf numFmtId="9" fontId="16" fillId="0" borderId="12" xfId="3" applyFont="1" applyBorder="1" applyAlignment="1">
      <alignment horizontal="center"/>
    </xf>
    <xf numFmtId="1" fontId="10" fillId="0" borderId="13" xfId="0" applyNumberFormat="1" applyFont="1" applyBorder="1" applyAlignment="1">
      <alignment horizontal="center"/>
    </xf>
    <xf numFmtId="1" fontId="28" fillId="3" borderId="12" xfId="0" applyNumberFormat="1" applyFont="1" applyFill="1" applyBorder="1" applyAlignment="1">
      <alignment horizontal="center"/>
    </xf>
    <xf numFmtId="44" fontId="28" fillId="3" borderId="0" xfId="2" applyFont="1" applyFill="1" applyBorder="1"/>
    <xf numFmtId="164" fontId="43" fillId="3" borderId="21" xfId="0" applyNumberFormat="1" applyFont="1" applyFill="1" applyBorder="1" applyAlignment="1">
      <alignment horizontal="right" wrapText="1"/>
    </xf>
    <xf numFmtId="44" fontId="28" fillId="3" borderId="21" xfId="0" applyNumberFormat="1" applyFont="1" applyFill="1" applyBorder="1"/>
    <xf numFmtId="43" fontId="28" fillId="3" borderId="0" xfId="1" applyFont="1" applyFill="1" applyBorder="1"/>
    <xf numFmtId="167" fontId="10" fillId="7" borderId="62" xfId="0" applyNumberFormat="1" applyFont="1" applyFill="1" applyBorder="1" applyAlignment="1">
      <alignment horizontal="right" vertical="center"/>
    </xf>
    <xf numFmtId="172" fontId="16" fillId="7" borderId="58" xfId="2" applyNumberFormat="1" applyFont="1" applyFill="1" applyBorder="1" applyAlignment="1">
      <alignment horizontal="right"/>
    </xf>
    <xf numFmtId="172" fontId="37" fillId="7" borderId="58" xfId="2" applyNumberFormat="1" applyFont="1" applyFill="1" applyBorder="1"/>
    <xf numFmtId="168" fontId="38" fillId="7" borderId="62" xfId="0" applyNumberFormat="1" applyFont="1" applyFill="1" applyBorder="1" applyAlignment="1">
      <alignment horizontal="right"/>
    </xf>
    <xf numFmtId="0" fontId="16" fillId="7" borderId="62" xfId="0" applyFont="1" applyFill="1" applyBorder="1"/>
    <xf numFmtId="167" fontId="16" fillId="7" borderId="62" xfId="0" applyNumberFormat="1" applyFont="1" applyFill="1" applyBorder="1" applyAlignment="1">
      <alignment horizontal="right" vertical="center"/>
    </xf>
    <xf numFmtId="172" fontId="16" fillId="7" borderId="58" xfId="2" applyNumberFormat="1" applyFont="1" applyFill="1" applyBorder="1" applyAlignment="1"/>
    <xf numFmtId="168" fontId="38" fillId="7" borderId="62" xfId="0" applyNumberFormat="1" applyFont="1" applyFill="1" applyBorder="1"/>
    <xf numFmtId="43" fontId="16" fillId="7" borderId="62" xfId="1" applyFont="1" applyFill="1" applyBorder="1" applyAlignment="1">
      <alignment horizontal="right" vertical="center"/>
    </xf>
    <xf numFmtId="168" fontId="14" fillId="7" borderId="62" xfId="0" applyNumberFormat="1" applyFont="1" applyFill="1" applyBorder="1" applyAlignment="1">
      <alignment horizontal="right"/>
    </xf>
    <xf numFmtId="0" fontId="0" fillId="0" borderId="62" xfId="0" applyBorder="1"/>
    <xf numFmtId="44" fontId="7" fillId="4" borderId="66" xfId="2" applyFont="1" applyFill="1" applyBorder="1" applyAlignment="1">
      <alignment horizontal="right"/>
    </xf>
    <xf numFmtId="44" fontId="7" fillId="4" borderId="85" xfId="0" applyNumberFormat="1" applyFont="1" applyFill="1" applyBorder="1" applyAlignment="1">
      <alignment horizontal="right"/>
    </xf>
    <xf numFmtId="172" fontId="16" fillId="7" borderId="31" xfId="2" applyNumberFormat="1" applyFont="1" applyFill="1" applyBorder="1" applyAlignment="1">
      <alignment horizontal="right"/>
    </xf>
    <xf numFmtId="172" fontId="16" fillId="2" borderId="86" xfId="2" applyNumberFormat="1" applyFont="1" applyFill="1" applyBorder="1" applyAlignment="1">
      <alignment horizontal="right"/>
    </xf>
    <xf numFmtId="172" fontId="16" fillId="2" borderId="1" xfId="2" applyNumberFormat="1" applyFont="1" applyFill="1" applyBorder="1" applyAlignment="1">
      <alignment horizontal="right"/>
    </xf>
    <xf numFmtId="172" fontId="16" fillId="2" borderId="87" xfId="2" applyNumberFormat="1" applyFont="1" applyFill="1" applyBorder="1" applyAlignment="1">
      <alignment horizontal="right"/>
    </xf>
    <xf numFmtId="167" fontId="16" fillId="7" borderId="62" xfId="1" applyNumberFormat="1" applyFont="1" applyFill="1" applyBorder="1" applyAlignment="1">
      <alignment horizontal="right"/>
    </xf>
    <xf numFmtId="167" fontId="16" fillId="2" borderId="31" xfId="1" applyNumberFormat="1" applyFont="1" applyFill="1" applyBorder="1" applyAlignment="1">
      <alignment horizontal="right"/>
    </xf>
    <xf numFmtId="167" fontId="16" fillId="7" borderId="31" xfId="1" applyNumberFormat="1" applyFont="1" applyFill="1" applyBorder="1" applyAlignment="1">
      <alignment horizontal="right"/>
    </xf>
    <xf numFmtId="167" fontId="0" fillId="0" borderId="0" xfId="1" applyNumberFormat="1" applyFont="1" applyBorder="1" applyAlignment="1">
      <alignment horizontal="right"/>
    </xf>
    <xf numFmtId="173" fontId="10" fillId="7" borderId="54" xfId="0" applyNumberFormat="1" applyFont="1" applyFill="1" applyBorder="1"/>
    <xf numFmtId="168" fontId="38" fillId="7" borderId="54" xfId="0" applyNumberFormat="1" applyFont="1" applyFill="1" applyBorder="1" applyAlignment="1">
      <alignment horizontal="right"/>
    </xf>
    <xf numFmtId="171" fontId="30" fillId="4" borderId="88" xfId="0" applyNumberFormat="1" applyFont="1" applyFill="1" applyBorder="1" applyAlignment="1">
      <alignment horizontal="center" vertical="center"/>
    </xf>
    <xf numFmtId="0" fontId="0" fillId="0" borderId="88" xfId="0" applyBorder="1"/>
    <xf numFmtId="167" fontId="0" fillId="0" borderId="88" xfId="0" applyNumberFormat="1" applyBorder="1" applyAlignment="1">
      <alignment horizontal="right" vertical="center"/>
    </xf>
    <xf numFmtId="172" fontId="16" fillId="2" borderId="89" xfId="2" applyNumberFormat="1" applyFont="1" applyFill="1" applyBorder="1" applyAlignment="1">
      <alignment horizontal="right"/>
    </xf>
    <xf numFmtId="167" fontId="16" fillId="2" borderId="88" xfId="1" applyNumberFormat="1" applyFont="1" applyFill="1" applyBorder="1" applyAlignment="1">
      <alignment horizontal="right"/>
    </xf>
    <xf numFmtId="172" fontId="16" fillId="2" borderId="88" xfId="2" applyNumberFormat="1" applyFont="1" applyFill="1" applyBorder="1" applyAlignment="1">
      <alignment horizontal="right"/>
    </xf>
    <xf numFmtId="173" fontId="0" fillId="0" borderId="88" xfId="0" applyNumberFormat="1" applyBorder="1"/>
    <xf numFmtId="172" fontId="30" fillId="10" borderId="89" xfId="2" applyNumberFormat="1" applyFont="1" applyFill="1" applyBorder="1"/>
    <xf numFmtId="168" fontId="32" fillId="10" borderId="88" xfId="0" applyNumberFormat="1" applyFont="1" applyFill="1" applyBorder="1" applyAlignment="1">
      <alignment horizontal="right"/>
    </xf>
    <xf numFmtId="172" fontId="10" fillId="2" borderId="89" xfId="2" applyNumberFormat="1" applyFont="1" applyFill="1" applyBorder="1" applyAlignment="1"/>
    <xf numFmtId="168" fontId="33" fillId="0" borderId="88" xfId="0" applyNumberFormat="1" applyFont="1" applyBorder="1"/>
    <xf numFmtId="43" fontId="0" fillId="0" borderId="88" xfId="1" applyFont="1" applyBorder="1"/>
    <xf numFmtId="167" fontId="0" fillId="0" borderId="0" xfId="1" applyNumberFormat="1" applyFont="1"/>
    <xf numFmtId="172" fontId="16" fillId="2" borderId="1" xfId="2" applyNumberFormat="1" applyFont="1" applyFill="1" applyBorder="1"/>
    <xf numFmtId="172" fontId="16" fillId="2" borderId="90" xfId="2" applyNumberFormat="1" applyFont="1" applyFill="1" applyBorder="1"/>
    <xf numFmtId="172" fontId="16" fillId="2" borderId="46" xfId="2" applyNumberFormat="1" applyFont="1" applyFill="1" applyBorder="1"/>
    <xf numFmtId="1" fontId="16" fillId="2" borderId="7" xfId="2" applyNumberFormat="1" applyFont="1" applyFill="1" applyBorder="1"/>
    <xf numFmtId="172" fontId="16" fillId="2" borderId="86" xfId="2" applyNumberFormat="1" applyFont="1" applyFill="1" applyBorder="1"/>
    <xf numFmtId="0" fontId="23" fillId="2" borderId="70" xfId="0" applyFont="1" applyFill="1" applyBorder="1" applyAlignment="1">
      <alignment horizontal="left"/>
    </xf>
    <xf numFmtId="177" fontId="17" fillId="0" borderId="1" xfId="2" applyNumberFormat="1" applyFont="1" applyFill="1" applyBorder="1"/>
    <xf numFmtId="177" fontId="17" fillId="2" borderId="1" xfId="2" applyNumberFormat="1" applyFont="1" applyFill="1" applyBorder="1"/>
    <xf numFmtId="167" fontId="19" fillId="3" borderId="17" xfId="1" applyNumberFormat="1" applyFont="1" applyFill="1" applyBorder="1"/>
    <xf numFmtId="167" fontId="3" fillId="0" borderId="21" xfId="1" applyNumberFormat="1" applyFont="1" applyFill="1" applyBorder="1"/>
    <xf numFmtId="167" fontId="18" fillId="0" borderId="21" xfId="1" applyNumberFormat="1" applyFont="1" applyFill="1" applyBorder="1"/>
    <xf numFmtId="167" fontId="20" fillId="0" borderId="21" xfId="1" applyNumberFormat="1" applyFont="1" applyFill="1" applyBorder="1"/>
    <xf numFmtId="43" fontId="17" fillId="0" borderId="21" xfId="1" applyFont="1" applyFill="1" applyBorder="1"/>
    <xf numFmtId="167" fontId="19" fillId="3" borderId="21" xfId="1" applyNumberFormat="1" applyFont="1" applyFill="1" applyBorder="1"/>
    <xf numFmtId="44" fontId="17" fillId="0" borderId="21" xfId="2" applyFont="1" applyFill="1" applyBorder="1"/>
    <xf numFmtId="1" fontId="17" fillId="0" borderId="21" xfId="2" applyNumberFormat="1" applyFont="1" applyFill="1" applyBorder="1"/>
    <xf numFmtId="174" fontId="40" fillId="0" borderId="21" xfId="3" applyNumberFormat="1" applyFont="1" applyFill="1" applyBorder="1"/>
    <xf numFmtId="44" fontId="40" fillId="0" borderId="21" xfId="2" applyFont="1" applyFill="1" applyBorder="1"/>
    <xf numFmtId="176" fontId="17" fillId="0" borderId="21" xfId="2" applyNumberFormat="1" applyFont="1" applyFill="1" applyBorder="1"/>
    <xf numFmtId="177" fontId="17" fillId="0" borderId="30" xfId="2" applyNumberFormat="1" applyFont="1" applyFill="1" applyBorder="1"/>
    <xf numFmtId="164" fontId="5" fillId="0" borderId="21" xfId="0" applyNumberFormat="1" applyFont="1" applyBorder="1" applyAlignment="1">
      <alignment wrapText="1"/>
    </xf>
    <xf numFmtId="165" fontId="4" fillId="0" borderId="21" xfId="0" applyNumberFormat="1" applyFont="1" applyBorder="1" applyAlignment="1">
      <alignment horizontal="right" wrapText="1"/>
    </xf>
    <xf numFmtId="9" fontId="17" fillId="0" borderId="0" xfId="3" applyFont="1" applyFill="1" applyBorder="1"/>
    <xf numFmtId="9" fontId="17" fillId="0" borderId="21" xfId="3" applyFont="1" applyFill="1" applyBorder="1"/>
    <xf numFmtId="167" fontId="40" fillId="0" borderId="0" xfId="1" applyNumberFormat="1" applyFont="1" applyFill="1" applyBorder="1"/>
    <xf numFmtId="167" fontId="40" fillId="0" borderId="21" xfId="1" applyNumberFormat="1" applyFont="1" applyFill="1" applyBorder="1"/>
    <xf numFmtId="167" fontId="18" fillId="0" borderId="30" xfId="1" applyNumberFormat="1" applyFont="1" applyFill="1" applyBorder="1"/>
    <xf numFmtId="44" fontId="28" fillId="3" borderId="39" xfId="2" applyFont="1" applyFill="1" applyBorder="1"/>
    <xf numFmtId="44" fontId="28" fillId="3" borderId="1" xfId="2" applyFont="1" applyFill="1" applyBorder="1"/>
    <xf numFmtId="43" fontId="0" fillId="3" borderId="0" xfId="1" applyFont="1" applyFill="1" applyBorder="1"/>
    <xf numFmtId="167" fontId="0" fillId="2" borderId="58" xfId="1" applyNumberFormat="1" applyFont="1" applyFill="1" applyBorder="1" applyAlignment="1">
      <alignment horizontal="center"/>
    </xf>
    <xf numFmtId="167" fontId="0" fillId="2" borderId="12" xfId="1" applyNumberFormat="1" applyFont="1" applyFill="1" applyBorder="1" applyAlignment="1">
      <alignment horizontal="center"/>
    </xf>
    <xf numFmtId="169" fontId="0" fillId="2" borderId="12" xfId="1" applyNumberFormat="1" applyFont="1" applyFill="1" applyBorder="1" applyAlignment="1">
      <alignment horizontal="center"/>
    </xf>
    <xf numFmtId="43" fontId="0" fillId="2" borderId="12" xfId="1" applyFont="1" applyFill="1" applyBorder="1" applyAlignment="1">
      <alignment horizontal="center"/>
    </xf>
    <xf numFmtId="10" fontId="0" fillId="2" borderId="85" xfId="3" applyNumberFormat="1" applyFont="1" applyFill="1" applyBorder="1" applyAlignment="1"/>
    <xf numFmtId="172" fontId="0" fillId="2" borderId="63" xfId="2" applyNumberFormat="1" applyFont="1" applyFill="1" applyBorder="1"/>
    <xf numFmtId="167" fontId="18" fillId="0" borderId="1" xfId="1" applyNumberFormat="1" applyFont="1" applyFill="1" applyBorder="1"/>
    <xf numFmtId="170" fontId="30" fillId="4" borderId="8" xfId="0" applyNumberFormat="1" applyFont="1" applyFill="1" applyBorder="1" applyAlignment="1">
      <alignment horizontal="center" vertical="center"/>
    </xf>
    <xf numFmtId="14" fontId="9" fillId="0" borderId="8" xfId="0" applyNumberFormat="1" applyFont="1" applyBorder="1"/>
    <xf numFmtId="167" fontId="16" fillId="2" borderId="44" xfId="1" applyNumberFormat="1" applyFont="1" applyFill="1" applyBorder="1" applyAlignment="1">
      <alignment horizontal="right"/>
    </xf>
    <xf numFmtId="172" fontId="16" fillId="2" borderId="8" xfId="2" applyNumberFormat="1" applyFont="1" applyFill="1" applyBorder="1" applyAlignment="1">
      <alignment horizontal="right"/>
    </xf>
    <xf numFmtId="167" fontId="16" fillId="2" borderId="47" xfId="1" applyNumberFormat="1" applyFont="1" applyFill="1" applyBorder="1" applyAlignment="1">
      <alignment horizontal="right"/>
    </xf>
    <xf numFmtId="43" fontId="0" fillId="0" borderId="8" xfId="1" applyFont="1" applyBorder="1" applyAlignment="1">
      <alignment horizontal="right" vertical="center"/>
    </xf>
    <xf numFmtId="171" fontId="30" fillId="4" borderId="91" xfId="0" applyNumberFormat="1" applyFont="1" applyFill="1" applyBorder="1" applyAlignment="1">
      <alignment horizontal="center" vertical="center"/>
    </xf>
    <xf numFmtId="0" fontId="0" fillId="0" borderId="91" xfId="0" applyBorder="1"/>
    <xf numFmtId="167" fontId="0" fillId="0" borderId="91" xfId="0" applyNumberFormat="1" applyBorder="1" applyAlignment="1">
      <alignment horizontal="right" vertical="center"/>
    </xf>
    <xf numFmtId="172" fontId="16" fillId="2" borderId="92" xfId="2" applyNumberFormat="1" applyFont="1" applyFill="1" applyBorder="1" applyAlignment="1">
      <alignment horizontal="right"/>
    </xf>
    <xf numFmtId="1" fontId="16" fillId="2" borderId="92" xfId="1" applyNumberFormat="1" applyFont="1" applyFill="1" applyBorder="1" applyAlignment="1">
      <alignment horizontal="center"/>
    </xf>
    <xf numFmtId="172" fontId="16" fillId="2" borderId="93" xfId="2" applyNumberFormat="1" applyFont="1" applyFill="1" applyBorder="1" applyAlignment="1">
      <alignment horizontal="center"/>
    </xf>
    <xf numFmtId="1" fontId="16" fillId="2" borderId="91" xfId="1" applyNumberFormat="1" applyFont="1" applyFill="1" applyBorder="1" applyAlignment="1">
      <alignment horizontal="center"/>
    </xf>
    <xf numFmtId="173" fontId="0" fillId="0" borderId="91" xfId="0" applyNumberFormat="1" applyBorder="1"/>
    <xf numFmtId="172" fontId="30" fillId="10" borderId="92" xfId="2" applyNumberFormat="1" applyFont="1" applyFill="1" applyBorder="1"/>
    <xf numFmtId="168" fontId="32" fillId="10" borderId="91" xfId="0" applyNumberFormat="1" applyFont="1" applyFill="1" applyBorder="1" applyAlignment="1">
      <alignment horizontal="right"/>
    </xf>
    <xf numFmtId="172" fontId="10" fillId="2" borderId="92" xfId="2" applyNumberFormat="1" applyFont="1" applyFill="1" applyBorder="1" applyAlignment="1"/>
    <xf numFmtId="168" fontId="33" fillId="0" borderId="91" xfId="0" applyNumberFormat="1" applyFont="1" applyBorder="1"/>
    <xf numFmtId="43" fontId="0" fillId="0" borderId="91" xfId="1" applyFont="1" applyBorder="1"/>
    <xf numFmtId="0" fontId="0" fillId="4" borderId="4" xfId="0" applyFill="1" applyBorder="1"/>
    <xf numFmtId="0" fontId="7" fillId="4" borderId="6" xfId="0" applyFont="1" applyFill="1" applyBorder="1" applyAlignment="1">
      <alignment horizontal="center"/>
    </xf>
    <xf numFmtId="0" fontId="0" fillId="4" borderId="7" xfId="0" applyFill="1" applyBorder="1"/>
    <xf numFmtId="0" fontId="9" fillId="4" borderId="8" xfId="0" applyFont="1" applyFill="1" applyBorder="1" applyAlignment="1">
      <alignment horizontal="center"/>
    </xf>
    <xf numFmtId="0" fontId="7" fillId="4" borderId="7" xfId="0" applyFont="1" applyFill="1" applyBorder="1"/>
    <xf numFmtId="0" fontId="4" fillId="0" borderId="7" xfId="0" applyFont="1" applyBorder="1" applyAlignment="1">
      <alignment horizontal="left" wrapText="1"/>
    </xf>
    <xf numFmtId="0" fontId="4" fillId="0" borderId="46" xfId="0" applyFont="1" applyBorder="1" applyAlignment="1">
      <alignment horizontal="left" wrapText="1"/>
    </xf>
    <xf numFmtId="44" fontId="27" fillId="0" borderId="47" xfId="0" applyNumberFormat="1" applyFont="1" applyBorder="1"/>
    <xf numFmtId="43" fontId="4" fillId="0" borderId="7" xfId="1" applyFont="1" applyBorder="1" applyAlignment="1">
      <alignment horizontal="left" wrapText="1"/>
    </xf>
    <xf numFmtId="0" fontId="4" fillId="0" borderId="59" xfId="0" applyFont="1" applyBorder="1" applyAlignment="1">
      <alignment horizontal="right" wrapText="1"/>
    </xf>
    <xf numFmtId="44" fontId="10" fillId="0" borderId="47" xfId="0" applyNumberFormat="1" applyFont="1" applyBorder="1"/>
    <xf numFmtId="0" fontId="4" fillId="0" borderId="63" xfId="0" applyFont="1" applyBorder="1" applyAlignment="1">
      <alignment horizontal="left" wrapText="1"/>
    </xf>
    <xf numFmtId="44" fontId="10" fillId="0" borderId="8" xfId="0" applyNumberFormat="1" applyFont="1" applyBorder="1"/>
    <xf numFmtId="43" fontId="17" fillId="2" borderId="59" xfId="0" applyNumberFormat="1" applyFont="1" applyFill="1" applyBorder="1" applyAlignment="1">
      <alignment horizontal="right"/>
    </xf>
    <xf numFmtId="167" fontId="17" fillId="2" borderId="44" xfId="1" applyNumberFormat="1" applyFont="1" applyFill="1" applyBorder="1" applyAlignment="1"/>
    <xf numFmtId="43" fontId="17" fillId="2" borderId="63" xfId="0" applyNumberFormat="1" applyFont="1" applyFill="1" applyBorder="1" applyAlignment="1">
      <alignment horizontal="right"/>
    </xf>
    <xf numFmtId="167" fontId="17" fillId="2" borderId="47" xfId="1" applyNumberFormat="1" applyFont="1" applyFill="1" applyBorder="1" applyAlignment="1"/>
    <xf numFmtId="0" fontId="13" fillId="2" borderId="63" xfId="0" applyFont="1" applyFill="1" applyBorder="1" applyAlignment="1">
      <alignment horizontal="right"/>
    </xf>
    <xf numFmtId="167" fontId="14" fillId="3" borderId="44" xfId="1" applyNumberFormat="1" applyFont="1" applyFill="1" applyBorder="1"/>
    <xf numFmtId="167" fontId="14" fillId="3" borderId="47" xfId="1" applyNumberFormat="1" applyFont="1" applyFill="1" applyBorder="1"/>
    <xf numFmtId="0" fontId="17" fillId="2" borderId="63" xfId="0" applyFont="1" applyFill="1" applyBorder="1" applyAlignment="1">
      <alignment horizontal="right"/>
    </xf>
    <xf numFmtId="0" fontId="17" fillId="2" borderId="94" xfId="0" applyFont="1" applyFill="1" applyBorder="1" applyAlignment="1">
      <alignment horizontal="right"/>
    </xf>
    <xf numFmtId="13" fontId="17" fillId="0" borderId="0" xfId="2" applyNumberFormat="1" applyFont="1" applyFill="1" applyBorder="1"/>
    <xf numFmtId="164" fontId="56" fillId="14" borderId="0" xfId="0" applyNumberFormat="1" applyFont="1" applyFill="1" applyAlignment="1">
      <alignment horizontal="right" wrapText="1"/>
    </xf>
    <xf numFmtId="164" fontId="26" fillId="3" borderId="0" xfId="0" applyNumberFormat="1" applyFont="1" applyFill="1" applyAlignment="1">
      <alignment horizontal="right" wrapText="1"/>
    </xf>
    <xf numFmtId="44" fontId="28" fillId="3" borderId="0" xfId="0" applyNumberFormat="1" applyFont="1" applyFill="1"/>
    <xf numFmtId="1" fontId="16" fillId="7" borderId="0" xfId="0" applyNumberFormat="1" applyFont="1" applyFill="1" applyAlignment="1">
      <alignment horizontal="center"/>
    </xf>
    <xf numFmtId="1" fontId="16" fillId="7" borderId="12" xfId="0" applyNumberFormat="1" applyFont="1" applyFill="1" applyBorder="1" applyAlignment="1">
      <alignment horizontal="center"/>
    </xf>
    <xf numFmtId="1" fontId="16" fillId="7" borderId="21" xfId="0" applyNumberFormat="1" applyFont="1" applyFill="1" applyBorder="1" applyAlignment="1">
      <alignment horizontal="center"/>
    </xf>
    <xf numFmtId="1" fontId="16" fillId="7" borderId="2" xfId="0" applyNumberFormat="1" applyFont="1" applyFill="1" applyBorder="1" applyAlignment="1">
      <alignment horizontal="center"/>
    </xf>
    <xf numFmtId="44" fontId="28" fillId="3" borderId="21" xfId="2" applyFont="1" applyFill="1" applyBorder="1"/>
    <xf numFmtId="44" fontId="28" fillId="3" borderId="30" xfId="2" applyFont="1" applyFill="1" applyBorder="1"/>
    <xf numFmtId="172" fontId="7" fillId="4" borderId="80" xfId="0" applyNumberFormat="1" applyFont="1" applyFill="1" applyBorder="1" applyAlignment="1">
      <alignment horizontal="right"/>
    </xf>
    <xf numFmtId="0" fontId="41" fillId="0" borderId="4" xfId="0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41" fillId="0" borderId="6" xfId="0" applyFont="1" applyBorder="1" applyAlignment="1">
      <alignment horizontal="center"/>
    </xf>
    <xf numFmtId="0" fontId="41" fillId="0" borderId="7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8" xfId="0" applyFont="1" applyBorder="1" applyAlignment="1">
      <alignment horizontal="center"/>
    </xf>
    <xf numFmtId="0" fontId="59" fillId="0" borderId="4" xfId="0" applyFont="1" applyBorder="1" applyAlignment="1">
      <alignment horizontal="center"/>
    </xf>
    <xf numFmtId="0" fontId="59" fillId="0" borderId="5" xfId="0" applyFont="1" applyBorder="1" applyAlignment="1">
      <alignment horizontal="center"/>
    </xf>
    <xf numFmtId="0" fontId="59" fillId="0" borderId="6" xfId="0" applyFont="1" applyBorder="1" applyAlignment="1">
      <alignment horizontal="center"/>
    </xf>
    <xf numFmtId="0" fontId="47" fillId="0" borderId="27" xfId="0" applyFont="1" applyBorder="1" applyAlignment="1">
      <alignment horizontal="center" wrapText="1"/>
    </xf>
    <xf numFmtId="0" fontId="47" fillId="0" borderId="3" xfId="0" applyFont="1" applyBorder="1" applyAlignment="1">
      <alignment horizontal="center" wrapText="1"/>
    </xf>
    <xf numFmtId="0" fontId="47" fillId="0" borderId="24" xfId="0" applyFont="1" applyBorder="1" applyAlignment="1">
      <alignment horizontal="center" wrapText="1"/>
    </xf>
    <xf numFmtId="0" fontId="47" fillId="0" borderId="2" xfId="0" applyFont="1" applyBorder="1" applyAlignment="1">
      <alignment horizontal="center" wrapText="1"/>
    </xf>
    <xf numFmtId="0" fontId="47" fillId="2" borderId="27" xfId="0" applyFont="1" applyFill="1" applyBorder="1" applyAlignment="1">
      <alignment horizontal="right" wrapText="1"/>
    </xf>
    <xf numFmtId="0" fontId="47" fillId="2" borderId="3" xfId="0" applyFont="1" applyFill="1" applyBorder="1" applyAlignment="1">
      <alignment horizontal="right" wrapText="1"/>
    </xf>
    <xf numFmtId="0" fontId="47" fillId="0" borderId="52" xfId="0" applyFont="1" applyBorder="1" applyAlignment="1">
      <alignment horizontal="center" wrapText="1"/>
    </xf>
    <xf numFmtId="0" fontId="47" fillId="0" borderId="28" xfId="0" applyFont="1" applyBorder="1" applyAlignment="1">
      <alignment horizontal="center" wrapText="1"/>
    </xf>
    <xf numFmtId="0" fontId="47" fillId="0" borderId="23" xfId="0" applyFont="1" applyBorder="1" applyAlignment="1">
      <alignment horizontal="center" wrapText="1"/>
    </xf>
    <xf numFmtId="0" fontId="47" fillId="0" borderId="0" xfId="0" applyFont="1" applyAlignment="1">
      <alignment horizontal="center" wrapText="1"/>
    </xf>
    <xf numFmtId="0" fontId="47" fillId="0" borderId="29" xfId="0" applyFont="1" applyBorder="1" applyAlignment="1">
      <alignment horizontal="center" wrapText="1"/>
    </xf>
    <xf numFmtId="0" fontId="47" fillId="0" borderId="1" xfId="0" applyFont="1" applyBorder="1" applyAlignment="1">
      <alignment horizontal="center" wrapText="1"/>
    </xf>
    <xf numFmtId="178" fontId="30" fillId="4" borderId="75" xfId="0" applyNumberFormat="1" applyFont="1" applyFill="1" applyBorder="1" applyAlignment="1">
      <alignment horizontal="center"/>
    </xf>
    <xf numFmtId="178" fontId="30" fillId="4" borderId="74" xfId="0" applyNumberFormat="1" applyFont="1" applyFill="1" applyBorder="1" applyAlignment="1">
      <alignment horizontal="center"/>
    </xf>
    <xf numFmtId="178" fontId="30" fillId="4" borderId="73" xfId="0" applyNumberFormat="1" applyFont="1" applyFill="1" applyBorder="1" applyAlignment="1">
      <alignment horizontal="center"/>
    </xf>
    <xf numFmtId="0" fontId="47" fillId="0" borderId="29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7" fillId="0" borderId="26" xfId="0" applyFont="1" applyBorder="1" applyAlignment="1">
      <alignment horizontal="center" wrapText="1"/>
    </xf>
    <xf numFmtId="0" fontId="47" fillId="0" borderId="5" xfId="0" applyFont="1" applyBorder="1" applyAlignment="1">
      <alignment horizontal="center" wrapText="1"/>
    </xf>
    <xf numFmtId="0" fontId="51" fillId="2" borderId="26" xfId="0" applyFont="1" applyFill="1" applyBorder="1" applyAlignment="1">
      <alignment horizontal="right" vertical="center" textRotation="90"/>
    </xf>
    <xf numFmtId="0" fontId="51" fillId="2" borderId="23" xfId="0" applyFont="1" applyFill="1" applyBorder="1" applyAlignment="1">
      <alignment horizontal="right" vertical="center" textRotation="90"/>
    </xf>
    <xf numFmtId="43" fontId="51" fillId="2" borderId="24" xfId="0" applyNumberFormat="1" applyFont="1" applyFill="1" applyBorder="1" applyAlignment="1">
      <alignment horizontal="right" vertical="center" textRotation="90"/>
    </xf>
    <xf numFmtId="43" fontId="51" fillId="2" borderId="23" xfId="0" applyNumberFormat="1" applyFont="1" applyFill="1" applyBorder="1" applyAlignment="1">
      <alignment horizontal="right" vertical="center" textRotation="90"/>
    </xf>
  </cellXfs>
  <cellStyles count="8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</cellStyles>
  <dxfs count="4">
    <dxf>
      <fill>
        <patternFill>
          <bgColor rgb="FFFF0000"/>
        </patternFill>
      </fill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3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1"/>
          <c:order val="3"/>
          <c:tx>
            <c:v>Cash Balance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cat>
            <c:numRef>
              <c:f>'Monthly Detail'!$T$4:$AQ$4</c:f>
              <c:numCache>
                <c:formatCode>m/d/yyyy</c:formatCode>
                <c:ptCount val="19"/>
                <c:pt idx="0">
                  <c:v>45473</c:v>
                </c:pt>
                <c:pt idx="1">
                  <c:v>45504</c:v>
                </c:pt>
                <c:pt idx="2">
                  <c:v>45535</c:v>
                </c:pt>
                <c:pt idx="3">
                  <c:v>45565</c:v>
                </c:pt>
                <c:pt idx="4">
                  <c:v>45596</c:v>
                </c:pt>
                <c:pt idx="5">
                  <c:v>45626</c:v>
                </c:pt>
                <c:pt idx="6">
                  <c:v>45657</c:v>
                </c:pt>
                <c:pt idx="7">
                  <c:v>45688</c:v>
                </c:pt>
                <c:pt idx="8">
                  <c:v>45716</c:v>
                </c:pt>
                <c:pt idx="9">
                  <c:v>45747</c:v>
                </c:pt>
                <c:pt idx="10">
                  <c:v>45777</c:v>
                </c:pt>
                <c:pt idx="11">
                  <c:v>45808</c:v>
                </c:pt>
                <c:pt idx="12">
                  <c:v>45838</c:v>
                </c:pt>
                <c:pt idx="13">
                  <c:v>45869</c:v>
                </c:pt>
                <c:pt idx="14">
                  <c:v>45900</c:v>
                </c:pt>
                <c:pt idx="15">
                  <c:v>45930</c:v>
                </c:pt>
                <c:pt idx="16">
                  <c:v>45961</c:v>
                </c:pt>
                <c:pt idx="17">
                  <c:v>45991</c:v>
                </c:pt>
                <c:pt idx="18">
                  <c:v>46022</c:v>
                </c:pt>
              </c:numCache>
            </c:numRef>
          </c:cat>
          <c:val>
            <c:numRef>
              <c:f>'Monthly Detail'!$T$104:$AQ$104</c:f>
              <c:numCache>
                <c:formatCode>_("$"* #,##0.00_);_("$"* \(#,##0.00\);_("$"* "-"??_);_(@_)</c:formatCode>
                <c:ptCount val="19"/>
                <c:pt idx="0">
                  <c:v>438.16799999999995</c:v>
                </c:pt>
                <c:pt idx="1">
                  <c:v>685.89</c:v>
                </c:pt>
                <c:pt idx="2">
                  <c:v>3.2160000000000002</c:v>
                </c:pt>
                <c:pt idx="3">
                  <c:v>36.137999999999998</c:v>
                </c:pt>
                <c:pt idx="4">
                  <c:v>180.48599999999999</c:v>
                </c:pt>
                <c:pt idx="5">
                  <c:v>39.680906116800614</c:v>
                </c:pt>
                <c:pt idx="6">
                  <c:v>302.43457066462491</c:v>
                </c:pt>
                <c:pt idx="7">
                  <c:v>641.04126508724573</c:v>
                </c:pt>
                <c:pt idx="8">
                  <c:v>1049.0951050664894</c:v>
                </c:pt>
                <c:pt idx="9">
                  <c:v>1379.2104040015338</c:v>
                </c:pt>
                <c:pt idx="10">
                  <c:v>1598.0863631948246</c:v>
                </c:pt>
                <c:pt idx="11">
                  <c:v>2058.553180082688</c:v>
                </c:pt>
                <c:pt idx="12">
                  <c:v>3299.0780894395493</c:v>
                </c:pt>
                <c:pt idx="13">
                  <c:v>4881.586881123696</c:v>
                </c:pt>
                <c:pt idx="14">
                  <c:v>5676.2102239542974</c:v>
                </c:pt>
                <c:pt idx="15">
                  <c:v>6221.6422418828743</c:v>
                </c:pt>
                <c:pt idx="16">
                  <c:v>6758.3082966416268</c:v>
                </c:pt>
                <c:pt idx="17">
                  <c:v>7238.463210044144</c:v>
                </c:pt>
                <c:pt idx="18">
                  <c:v>7777.9821675054218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6-4D91-BD48-7C29EBE3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0"/>
          <c:order val="0"/>
          <c:tx>
            <c:v>Total Income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'Monthly Detail'!$T$4:$AQ$4</c:f>
              <c:numCache>
                <c:formatCode>m/d/yyyy</c:formatCode>
                <c:ptCount val="19"/>
                <c:pt idx="0">
                  <c:v>45473</c:v>
                </c:pt>
                <c:pt idx="1">
                  <c:v>45504</c:v>
                </c:pt>
                <c:pt idx="2">
                  <c:v>45535</c:v>
                </c:pt>
                <c:pt idx="3">
                  <c:v>45565</c:v>
                </c:pt>
                <c:pt idx="4">
                  <c:v>45596</c:v>
                </c:pt>
                <c:pt idx="5">
                  <c:v>45626</c:v>
                </c:pt>
                <c:pt idx="6">
                  <c:v>45657</c:v>
                </c:pt>
                <c:pt idx="7">
                  <c:v>45688</c:v>
                </c:pt>
                <c:pt idx="8">
                  <c:v>45716</c:v>
                </c:pt>
                <c:pt idx="9">
                  <c:v>45747</c:v>
                </c:pt>
                <c:pt idx="10">
                  <c:v>45777</c:v>
                </c:pt>
                <c:pt idx="11">
                  <c:v>45808</c:v>
                </c:pt>
                <c:pt idx="12">
                  <c:v>45838</c:v>
                </c:pt>
                <c:pt idx="13">
                  <c:v>45869</c:v>
                </c:pt>
                <c:pt idx="14">
                  <c:v>45900</c:v>
                </c:pt>
                <c:pt idx="15">
                  <c:v>45930</c:v>
                </c:pt>
                <c:pt idx="16">
                  <c:v>45961</c:v>
                </c:pt>
                <c:pt idx="17">
                  <c:v>45991</c:v>
                </c:pt>
                <c:pt idx="18">
                  <c:v>46022</c:v>
                </c:pt>
              </c:numCache>
            </c:numRef>
          </c:cat>
          <c:val>
            <c:numRef>
              <c:f>'Monthly Detail'!$Q$12:$AQ$12</c:f>
              <c:numCache>
                <c:formatCode>_("$"* #,##0.00_);_("$"* \(#,##0.00\);_("$"* "-"??_);_(@_)</c:formatCode>
                <c:ptCount val="19"/>
                <c:pt idx="0">
                  <c:v>3945</c:v>
                </c:pt>
                <c:pt idx="1">
                  <c:v>4742.9400000000005</c:v>
                </c:pt>
                <c:pt idx="2">
                  <c:v>720</c:v>
                </c:pt>
                <c:pt idx="3">
                  <c:v>1705</c:v>
                </c:pt>
                <c:pt idx="4">
                  <c:v>810</c:v>
                </c:pt>
                <c:pt idx="5">
                  <c:v>2360</c:v>
                </c:pt>
                <c:pt idx="6">
                  <c:v>5180</c:v>
                </c:pt>
                <c:pt idx="7">
                  <c:v>5979.5</c:v>
                </c:pt>
                <c:pt idx="8">
                  <c:v>6424.2</c:v>
                </c:pt>
                <c:pt idx="9">
                  <c:v>5123.5199999999995</c:v>
                </c:pt>
                <c:pt idx="10">
                  <c:v>6888.1119999999992</c:v>
                </c:pt>
                <c:pt idx="11">
                  <c:v>7211.8671999999988</c:v>
                </c:pt>
                <c:pt idx="12">
                  <c:v>23796.120319999998</c:v>
                </c:pt>
                <c:pt idx="13">
                  <c:v>24979.672191999998</c:v>
                </c:pt>
                <c:pt idx="14">
                  <c:v>8213.8033151999989</c:v>
                </c:pt>
                <c:pt idx="15">
                  <c:v>8479.7819891199979</c:v>
                </c:pt>
                <c:pt idx="16">
                  <c:v>8576.8691934719991</c:v>
                </c:pt>
                <c:pt idx="17">
                  <c:v>6737.6215160831989</c:v>
                </c:pt>
                <c:pt idx="18">
                  <c:v>8731.5729096499199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D-407D-9E4B-5BBA3B3A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axId val="2026245648"/>
        <c:axId val="2026246064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v>Expenses</c:v>
                </c:tx>
                <c:spPr>
                  <a:solidFill>
                    <a:schemeClr val="accent3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'Monthly Detail'!$T$4:$AQ$4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45473</c:v>
                      </c:pt>
                      <c:pt idx="1">
                        <c:v>45504</c:v>
                      </c:pt>
                      <c:pt idx="2">
                        <c:v>45535</c:v>
                      </c:pt>
                      <c:pt idx="3">
                        <c:v>45565</c:v>
                      </c:pt>
                      <c:pt idx="4">
                        <c:v>45596</c:v>
                      </c:pt>
                      <c:pt idx="5">
                        <c:v>45626</c:v>
                      </c:pt>
                      <c:pt idx="6">
                        <c:v>45657</c:v>
                      </c:pt>
                      <c:pt idx="7">
                        <c:v>45688</c:v>
                      </c:pt>
                      <c:pt idx="8">
                        <c:v>45716</c:v>
                      </c:pt>
                      <c:pt idx="9">
                        <c:v>45747</c:v>
                      </c:pt>
                      <c:pt idx="10">
                        <c:v>45777</c:v>
                      </c:pt>
                      <c:pt idx="11">
                        <c:v>45808</c:v>
                      </c:pt>
                      <c:pt idx="12">
                        <c:v>45838</c:v>
                      </c:pt>
                      <c:pt idx="13">
                        <c:v>45869</c:v>
                      </c:pt>
                      <c:pt idx="14">
                        <c:v>45900</c:v>
                      </c:pt>
                      <c:pt idx="15">
                        <c:v>45930</c:v>
                      </c:pt>
                      <c:pt idx="16">
                        <c:v>45961</c:v>
                      </c:pt>
                      <c:pt idx="17">
                        <c:v>45991</c:v>
                      </c:pt>
                      <c:pt idx="18">
                        <c:v>46022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'Monthly Detail'!$Q$82:$AE$82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7"/>
                      <c:pt idx="0">
                        <c:v>585.07000000000005</c:v>
                      </c:pt>
                      <c:pt idx="1">
                        <c:v>1356.68</c:v>
                      </c:pt>
                      <c:pt idx="2">
                        <c:v>1016.6899999999999</c:v>
                      </c:pt>
                      <c:pt idx="3">
                        <c:v>943.14</c:v>
                      </c:pt>
                      <c:pt idx="4">
                        <c:v>834.44</c:v>
                      </c:pt>
                      <c:pt idx="5">
                        <c:v>3029.2570434004388</c:v>
                      </c:pt>
                      <c:pt idx="6">
                        <c:v>1142.7704596670637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51D-407D-9E4B-5BBA3B3A31C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2"/>
          <c:tx>
            <c:v>EBITDA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'Monthly Detail'!$T$4:$AK$4</c:f>
              <c:numCache>
                <c:formatCode>m/d/yyyy</c:formatCode>
                <c:ptCount val="13"/>
                <c:pt idx="0">
                  <c:v>45473</c:v>
                </c:pt>
                <c:pt idx="1">
                  <c:v>45504</c:v>
                </c:pt>
                <c:pt idx="2">
                  <c:v>45535</c:v>
                </c:pt>
                <c:pt idx="3">
                  <c:v>45565</c:v>
                </c:pt>
                <c:pt idx="4">
                  <c:v>45596</c:v>
                </c:pt>
                <c:pt idx="5">
                  <c:v>45626</c:v>
                </c:pt>
                <c:pt idx="6">
                  <c:v>45657</c:v>
                </c:pt>
                <c:pt idx="7">
                  <c:v>45688</c:v>
                </c:pt>
                <c:pt idx="8">
                  <c:v>45716</c:v>
                </c:pt>
                <c:pt idx="9">
                  <c:v>45747</c:v>
                </c:pt>
                <c:pt idx="10">
                  <c:v>45777</c:v>
                </c:pt>
                <c:pt idx="11">
                  <c:v>45808</c:v>
                </c:pt>
                <c:pt idx="12">
                  <c:v>45838</c:v>
                </c:pt>
              </c:numCache>
            </c:numRef>
          </c:cat>
          <c:val>
            <c:numRef>
              <c:f>'Monthly Detail'!$Q$84:$AQ$84</c:f>
              <c:numCache>
                <c:formatCode>_("$"* #,##0.00_);_("$"* \(#,##0.00\);_("$"* "-"??_);_(@_)</c:formatCode>
                <c:ptCount val="19"/>
                <c:pt idx="0">
                  <c:v>3359.93</c:v>
                </c:pt>
                <c:pt idx="1">
                  <c:v>3386.26</c:v>
                </c:pt>
                <c:pt idx="2">
                  <c:v>-296.68999999999994</c:v>
                </c:pt>
                <c:pt idx="3">
                  <c:v>761.86</c:v>
                </c:pt>
                <c:pt idx="4">
                  <c:v>-38.440000000000055</c:v>
                </c:pt>
                <c:pt idx="5">
                  <c:v>-694.25704340043876</c:v>
                </c:pt>
                <c:pt idx="6">
                  <c:v>3537.2295403329363</c:v>
                </c:pt>
                <c:pt idx="7">
                  <c:v>3937.4337078032413</c:v>
                </c:pt>
                <c:pt idx="8">
                  <c:v>4631.3467770283487</c:v>
                </c:pt>
                <c:pt idx="9">
                  <c:v>3383.0230288970279</c:v>
                </c:pt>
                <c:pt idx="10">
                  <c:v>2818.5036087725439</c:v>
                </c:pt>
                <c:pt idx="11">
                  <c:v>5187.2192260135471</c:v>
                </c:pt>
                <c:pt idx="12">
                  <c:v>17416.528238596147</c:v>
                </c:pt>
                <c:pt idx="13">
                  <c:v>17842.697868293108</c:v>
                </c:pt>
                <c:pt idx="14">
                  <c:v>5156.445681863288</c:v>
                </c:pt>
                <c:pt idx="15">
                  <c:v>6118.620588331316</c:v>
                </c:pt>
                <c:pt idx="16">
                  <c:v>5984.2239209830041</c:v>
                </c:pt>
                <c:pt idx="17">
                  <c:v>4932.1521416852829</c:v>
                </c:pt>
                <c:pt idx="18">
                  <c:v>6431.4466661505421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D-407D-9E4B-5BBA3B3A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245648"/>
        <c:axId val="2026246064"/>
      </c:lineChart>
      <c:lineChart>
        <c:grouping val="standard"/>
        <c:varyColors val="0"/>
        <c:ser>
          <c:idx val="4"/>
          <c:order val="4"/>
          <c:tx>
            <c:strRef>
              <c:f>'Monthly Detail'!$C$15</c:f>
              <c:strCache>
                <c:ptCount val="1"/>
                <c:pt idx="0">
                  <c:v> # of Recurring Clients </c:v>
                </c:pt>
              </c:strCache>
            </c:strRef>
          </c:tx>
          <c:spPr>
            <a:ln w="28575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'Monthly Detail'!$T$4:$AQ$4</c:f>
              <c:numCache>
                <c:formatCode>m/d/yyyy</c:formatCode>
                <c:ptCount val="19"/>
                <c:pt idx="0">
                  <c:v>45473</c:v>
                </c:pt>
                <c:pt idx="1">
                  <c:v>45504</c:v>
                </c:pt>
                <c:pt idx="2">
                  <c:v>45535</c:v>
                </c:pt>
                <c:pt idx="3">
                  <c:v>45565</c:v>
                </c:pt>
                <c:pt idx="4">
                  <c:v>45596</c:v>
                </c:pt>
                <c:pt idx="5">
                  <c:v>45626</c:v>
                </c:pt>
                <c:pt idx="6">
                  <c:v>45657</c:v>
                </c:pt>
                <c:pt idx="7">
                  <c:v>45688</c:v>
                </c:pt>
                <c:pt idx="8">
                  <c:v>45716</c:v>
                </c:pt>
                <c:pt idx="9">
                  <c:v>45747</c:v>
                </c:pt>
                <c:pt idx="10">
                  <c:v>45777</c:v>
                </c:pt>
                <c:pt idx="11">
                  <c:v>45808</c:v>
                </c:pt>
                <c:pt idx="12">
                  <c:v>45838</c:v>
                </c:pt>
                <c:pt idx="13">
                  <c:v>45869</c:v>
                </c:pt>
                <c:pt idx="14">
                  <c:v>45900</c:v>
                </c:pt>
                <c:pt idx="15">
                  <c:v>45930</c:v>
                </c:pt>
                <c:pt idx="16">
                  <c:v>45961</c:v>
                </c:pt>
                <c:pt idx="17">
                  <c:v>45991</c:v>
                </c:pt>
                <c:pt idx="18">
                  <c:v>46022</c:v>
                </c:pt>
              </c:numCache>
            </c:numRef>
          </c:cat>
          <c:val>
            <c:numRef>
              <c:f>'Monthly Detail'!$T$15:$AQ$15</c:f>
              <c:numCache>
                <c:formatCode>_(* #,##0_);_(* \(#,##0\);_(* "-"??_);_(@_)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11.857142857142858</c:v>
                </c:pt>
                <c:pt idx="6">
                  <c:v>19.114285714285714</c:v>
                </c:pt>
                <c:pt idx="7">
                  <c:v>23.46857142857143</c:v>
                </c:pt>
                <c:pt idx="8">
                  <c:v>26.081142857142858</c:v>
                </c:pt>
                <c:pt idx="9">
                  <c:v>27.648685714285712</c:v>
                </c:pt>
                <c:pt idx="10">
                  <c:v>28.589211428571424</c:v>
                </c:pt>
                <c:pt idx="11">
                  <c:v>30.153526857142854</c:v>
                </c:pt>
                <c:pt idx="12">
                  <c:v>31.092116114285712</c:v>
                </c:pt>
                <c:pt idx="13">
                  <c:v>32.655269668571428</c:v>
                </c:pt>
                <c:pt idx="14">
                  <c:v>34.593161801142855</c:v>
                </c:pt>
                <c:pt idx="15">
                  <c:v>35.755897080685713</c:v>
                </c:pt>
                <c:pt idx="16">
                  <c:v>36.453538248411427</c:v>
                </c:pt>
                <c:pt idx="17">
                  <c:v>36.872122949046855</c:v>
                </c:pt>
                <c:pt idx="18">
                  <c:v>37.12327376942811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6-4504-A472-6A218611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962271"/>
        <c:axId val="479974751"/>
      </c:lineChart>
      <c:date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Offset val="100"/>
        <c:baseTimeUnit val="months"/>
        <c:majorUnit val="3"/>
      </c:date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  <c:valAx>
        <c:axId val="479974751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62271"/>
        <c:crosses val="max"/>
        <c:crossBetween val="between"/>
      </c:valAx>
      <c:dateAx>
        <c:axId val="47996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7997475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'2025 Overview'!$B$35</c:f>
              <c:strCache>
                <c:ptCount val="1"/>
                <c:pt idx="0">
                  <c:v>Total Cash Balance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19050">
              <a:solidFill>
                <a:schemeClr val="accent2">
                  <a:lumMod val="50000"/>
                </a:schemeClr>
              </a:solidFill>
            </a:ln>
            <a:effectLst/>
          </c:spPr>
          <c:cat>
            <c:strRef>
              <c:f>'2025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Overview'!$C$35:$N$35</c:f>
              <c:numCache>
                <c:formatCode>_("$"* #,##0.00_);_("$"* \(#,##0.00\);_("$"* "-"??_);_(@_)</c:formatCode>
                <c:ptCount val="12"/>
                <c:pt idx="0">
                  <c:v>2136.804216957486</c:v>
                </c:pt>
                <c:pt idx="1">
                  <c:v>3496.9836835549645</c:v>
                </c:pt>
                <c:pt idx="2">
                  <c:v>4597.368013338446</c:v>
                </c:pt>
                <c:pt idx="3">
                  <c:v>5326.9545439827489</c:v>
                </c:pt>
                <c:pt idx="4">
                  <c:v>6861.8439336089605</c:v>
                </c:pt>
                <c:pt idx="5">
                  <c:v>10996.926964798498</c:v>
                </c:pt>
                <c:pt idx="6">
                  <c:v>16271.95627041232</c:v>
                </c:pt>
                <c:pt idx="7">
                  <c:v>18920.700746514325</c:v>
                </c:pt>
                <c:pt idx="8">
                  <c:v>20738.807472942914</c:v>
                </c:pt>
                <c:pt idx="9">
                  <c:v>22527.694322138756</c:v>
                </c:pt>
                <c:pt idx="10">
                  <c:v>24128.210700147149</c:v>
                </c:pt>
                <c:pt idx="11">
                  <c:v>25926.607225018073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C-421A-B0F7-668FF6B5557A}"/>
            </c:ext>
          </c:extLst>
        </c:ser>
        <c:ser>
          <c:idx val="4"/>
          <c:order val="2"/>
          <c:tx>
            <c:strRef>
              <c:f>'2025 Overview'!$B$34</c:f>
              <c:strCache>
                <c:ptCount val="1"/>
                <c:pt idx="0">
                  <c:v>Total Operating (Business) Cash Balance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cat>
            <c:strRef>
              <c:f>'2025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Overview'!$C$34:$N$34</c:f>
              <c:numCache>
                <c:formatCode>_("$"* #,##0.00_);_("$"* \(#,##0.00\);_("$"* "-"??_);_(@_)</c:formatCode>
                <c:ptCount val="12"/>
                <c:pt idx="0">
                  <c:v>641.04126508724573</c:v>
                </c:pt>
                <c:pt idx="1">
                  <c:v>1049.0951050664894</c:v>
                </c:pt>
                <c:pt idx="2">
                  <c:v>1379.2104040015338</c:v>
                </c:pt>
                <c:pt idx="3">
                  <c:v>1598.0863631948246</c:v>
                </c:pt>
                <c:pt idx="4">
                  <c:v>2058.553180082688</c:v>
                </c:pt>
                <c:pt idx="5">
                  <c:v>3299.0780894395493</c:v>
                </c:pt>
                <c:pt idx="6">
                  <c:v>4881.586881123696</c:v>
                </c:pt>
                <c:pt idx="7">
                  <c:v>5676.2102239542974</c:v>
                </c:pt>
                <c:pt idx="8">
                  <c:v>6221.6422418828743</c:v>
                </c:pt>
                <c:pt idx="9">
                  <c:v>6758.3082966416268</c:v>
                </c:pt>
                <c:pt idx="10">
                  <c:v>7238.463210044144</c:v>
                </c:pt>
                <c:pt idx="11">
                  <c:v>7777.9821675054218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C-421A-B0F7-668FF6B5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stacked"/>
        <c:varyColors val="0"/>
        <c:ser>
          <c:idx val="1"/>
          <c:order val="4"/>
          <c:tx>
            <c:strRef>
              <c:f>'2025 Overview'!$B$27</c:f>
              <c:strCache>
                <c:ptCount val="1"/>
                <c:pt idx="0">
                  <c:v> Net Operating Income (EBITDA)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'2025 Overview'!$C$27:$N$27</c:f>
              <c:numCache>
                <c:formatCode>_("$"* #,##0_);_("$"* \(#,##0\);_("$"* "-"??_);_(@_)</c:formatCode>
                <c:ptCount val="12"/>
                <c:pt idx="0">
                  <c:v>3937.4337078032413</c:v>
                </c:pt>
                <c:pt idx="1">
                  <c:v>4631.3467770283487</c:v>
                </c:pt>
                <c:pt idx="2">
                  <c:v>3383.0230288970279</c:v>
                </c:pt>
                <c:pt idx="3">
                  <c:v>2818.5036087725439</c:v>
                </c:pt>
                <c:pt idx="4">
                  <c:v>5187.2192260135471</c:v>
                </c:pt>
                <c:pt idx="5">
                  <c:v>17416.528238596147</c:v>
                </c:pt>
                <c:pt idx="6">
                  <c:v>17842.697868293108</c:v>
                </c:pt>
                <c:pt idx="7">
                  <c:v>5156.445681863288</c:v>
                </c:pt>
                <c:pt idx="8">
                  <c:v>6118.620588331316</c:v>
                </c:pt>
                <c:pt idx="9">
                  <c:v>5984.2239209830041</c:v>
                </c:pt>
                <c:pt idx="10">
                  <c:v>4932.1521416852829</c:v>
                </c:pt>
                <c:pt idx="11">
                  <c:v>6431.4466661505421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C-421A-B0F7-668FF6B5557A}"/>
            </c:ext>
          </c:extLst>
        </c:ser>
        <c:ser>
          <c:idx val="5"/>
          <c:order val="5"/>
          <c:tx>
            <c:strRef>
              <c:f>'2025 Overview'!$B$25</c:f>
              <c:strCache>
                <c:ptCount val="1"/>
                <c:pt idx="0">
                  <c:v>Operating Expenses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'2025 Overview'!$C$25:$N$25</c:f>
              <c:numCache>
                <c:formatCode>_("$"* #,##0_);_("$"* \(#,##0\);_("$"* "-"??_);_(@_)</c:formatCode>
                <c:ptCount val="12"/>
                <c:pt idx="0">
                  <c:v>1924.9527207681867</c:v>
                </c:pt>
                <c:pt idx="1">
                  <c:v>1792.8532229716509</c:v>
                </c:pt>
                <c:pt idx="2">
                  <c:v>1740.4969711029719</c:v>
                </c:pt>
                <c:pt idx="3">
                  <c:v>3961.5270655131699</c:v>
                </c:pt>
                <c:pt idx="4">
                  <c:v>1824.5591785578802</c:v>
                </c:pt>
                <c:pt idx="5">
                  <c:v>2492.1248622038529</c:v>
                </c:pt>
                <c:pt idx="6">
                  <c:v>2689.7663573526047</c:v>
                </c:pt>
                <c:pt idx="7">
                  <c:v>1939.8900974647111</c:v>
                </c:pt>
                <c:pt idx="8">
                  <c:v>1875.596532901139</c:v>
                </c:pt>
                <c:pt idx="9">
                  <c:v>2029.5045826322632</c:v>
                </c:pt>
                <c:pt idx="10">
                  <c:v>1805.4693743979162</c:v>
                </c:pt>
                <c:pt idx="11">
                  <c:v>1885.7318689203832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C-421A-B0F7-668FF6B5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'2025 Overview'!$B$14</c15:sqref>
                        </c15:formulaRef>
                      </c:ext>
                    </c:extLst>
                    <c:strCache>
                      <c:ptCount val="1"/>
                      <c:pt idx="0">
                        <c:v> Total Income </c:v>
                      </c:pt>
                    </c:strCache>
                  </c:strRef>
                </c:tx>
                <c:spPr>
                  <a:solidFill>
                    <a:schemeClr val="accent2">
                      <a:lumMod val="20000"/>
                      <a:lumOff val="8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'2025 Overview'!$C$9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'2025 Overview'!$C$14:$N$14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5979.5</c:v>
                      </c:pt>
                      <c:pt idx="1">
                        <c:v>6424.2</c:v>
                      </c:pt>
                      <c:pt idx="2">
                        <c:v>5123.5199999999995</c:v>
                      </c:pt>
                      <c:pt idx="3">
                        <c:v>6888.1119999999992</c:v>
                      </c:pt>
                      <c:pt idx="4">
                        <c:v>7211.8671999999988</c:v>
                      </c:pt>
                      <c:pt idx="5">
                        <c:v>23796.120319999998</c:v>
                      </c:pt>
                      <c:pt idx="6">
                        <c:v>24979.672191999998</c:v>
                      </c:pt>
                      <c:pt idx="7">
                        <c:v>8213.8033151999989</c:v>
                      </c:pt>
                      <c:pt idx="8">
                        <c:v>8479.7819891199979</c:v>
                      </c:pt>
                      <c:pt idx="9">
                        <c:v>8576.8691934719991</c:v>
                      </c:pt>
                      <c:pt idx="10">
                        <c:v>6737.6215160831989</c:v>
                      </c:pt>
                      <c:pt idx="11">
                        <c:v>8731.5729096499199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4E3C-421A-B0F7-668FF6B5557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3"/>
          <c:tx>
            <c:strRef>
              <c:f>'Monthly Detail'!$C$15</c:f>
              <c:strCache>
                <c:ptCount val="1"/>
                <c:pt idx="0">
                  <c:v> # of Recurring Clients 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3C-421A-B0F7-668FF6B5557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3C-421A-B0F7-668FF6B5557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3C-421A-B0F7-668FF6B5557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3C-421A-B0F7-668FF6B5557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3C-421A-B0F7-668FF6B5557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E3C-421A-B0F7-668FF6B5557A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E3C-421A-B0F7-668FF6B5557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E3C-421A-B0F7-668FF6B555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'Monthly Detail'!$AF$15:$AQ$15</c:f>
              <c:numCache>
                <c:formatCode>_(* #,##0_);_(* \(#,##0\);_(* "-"??_);_(@_)</c:formatCode>
                <c:ptCount val="12"/>
                <c:pt idx="0">
                  <c:v>23.46857142857143</c:v>
                </c:pt>
                <c:pt idx="1">
                  <c:v>26.081142857142858</c:v>
                </c:pt>
                <c:pt idx="2">
                  <c:v>27.648685714285712</c:v>
                </c:pt>
                <c:pt idx="3">
                  <c:v>28.589211428571424</c:v>
                </c:pt>
                <c:pt idx="4">
                  <c:v>30.153526857142854</c:v>
                </c:pt>
                <c:pt idx="5">
                  <c:v>31.092116114285712</c:v>
                </c:pt>
                <c:pt idx="6">
                  <c:v>32.655269668571428</c:v>
                </c:pt>
                <c:pt idx="7">
                  <c:v>34.593161801142855</c:v>
                </c:pt>
                <c:pt idx="8">
                  <c:v>35.755897080685713</c:v>
                </c:pt>
                <c:pt idx="9">
                  <c:v>36.453538248411427</c:v>
                </c:pt>
                <c:pt idx="10">
                  <c:v>36.872122949046855</c:v>
                </c:pt>
                <c:pt idx="11">
                  <c:v>37.12327376942811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E3C-421A-B0F7-668FF6B5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312495"/>
        <c:axId val="174931009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49310095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12495"/>
        <c:crosses val="max"/>
        <c:crossBetween val="between"/>
      </c:valAx>
      <c:catAx>
        <c:axId val="1749312495"/>
        <c:scaling>
          <c:orientation val="minMax"/>
        </c:scaling>
        <c:delete val="1"/>
        <c:axPos val="b"/>
        <c:majorTickMark val="out"/>
        <c:minorTickMark val="none"/>
        <c:tickLblPos val="nextTo"/>
        <c:crossAx val="1749310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'2025 AOP'!$B$35</c:f>
              <c:strCache>
                <c:ptCount val="1"/>
                <c:pt idx="0">
                  <c:v>Total Cash Balance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19050">
              <a:solidFill>
                <a:schemeClr val="accent2">
                  <a:lumMod val="50000"/>
                </a:schemeClr>
              </a:solidFill>
            </a:ln>
            <a:effectLst/>
          </c:spPr>
          <c:cat>
            <c:strRef>
              <c:f>'2025 AOP'!$C$10:$N$10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AOP'!$C$35:$N$35</c:f>
              <c:numCache>
                <c:formatCode>_("$"* #,##0.00_);_("$"* \(#,##0.00\);_("$"* "-"??_);_(@_)</c:formatCode>
                <c:ptCount val="12"/>
                <c:pt idx="0">
                  <c:v>4713.3913766721516</c:v>
                </c:pt>
                <c:pt idx="1">
                  <c:v>6361.8680011331335</c:v>
                </c:pt>
                <c:pt idx="2">
                  <c:v>7704.6903471099113</c:v>
                </c:pt>
                <c:pt idx="3">
                  <c:v>8657.9428965312709</c:v>
                </c:pt>
                <c:pt idx="4">
                  <c:v>10404.159538651998</c:v>
                </c:pt>
                <c:pt idx="5">
                  <c:v>14812.634834694465</c:v>
                </c:pt>
                <c:pt idx="6">
                  <c:v>20361.101356801206</c:v>
                </c:pt>
                <c:pt idx="7">
                  <c:v>23210.146846901411</c:v>
                </c:pt>
                <c:pt idx="8">
                  <c:v>25227.052039269729</c:v>
                </c:pt>
                <c:pt idx="9">
                  <c:v>27214.078218888662</c:v>
                </c:pt>
                <c:pt idx="10">
                  <c:v>29004.363812051859</c:v>
                </c:pt>
                <c:pt idx="11">
                  <c:v>31000.537465189984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E35-9A9D-2BAE754F3D43}"/>
            </c:ext>
          </c:extLst>
        </c:ser>
        <c:ser>
          <c:idx val="4"/>
          <c:order val="2"/>
          <c:tx>
            <c:strRef>
              <c:f>'2025 AOP'!$B$34</c:f>
              <c:strCache>
                <c:ptCount val="1"/>
                <c:pt idx="0">
                  <c:v>Total Operating (Business) Cash Balance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cat>
            <c:strRef>
              <c:f>'2025 AOP'!$C$10:$N$10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AOP'!$C$34:$N$34</c:f>
              <c:numCache>
                <c:formatCode>_("$"* #,##0.00_);_("$"* \(#,##0.00\);_("$"* "-"??_);_(@_)</c:formatCode>
                <c:ptCount val="12"/>
                <c:pt idx="0">
                  <c:v>1414.0174130016455</c:v>
                </c:pt>
                <c:pt idx="1">
                  <c:v>1908.5604003399399</c:v>
                </c:pt>
                <c:pt idx="2">
                  <c:v>2311.4071041329735</c:v>
                </c:pt>
                <c:pt idx="3">
                  <c:v>2597.3828689593811</c:v>
                </c:pt>
                <c:pt idx="4">
                  <c:v>3121.2478615955993</c:v>
                </c:pt>
                <c:pt idx="5">
                  <c:v>4443.790450408339</c:v>
                </c:pt>
                <c:pt idx="6">
                  <c:v>6108.3304070403619</c:v>
                </c:pt>
                <c:pt idx="7">
                  <c:v>6963.044054070423</c:v>
                </c:pt>
                <c:pt idx="8">
                  <c:v>7568.1156117809187</c:v>
                </c:pt>
                <c:pt idx="9">
                  <c:v>8164.2234656665987</c:v>
                </c:pt>
                <c:pt idx="10">
                  <c:v>8701.3091436155573</c:v>
                </c:pt>
                <c:pt idx="11">
                  <c:v>9300.1612395569955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8-4E35-9A9D-2BAE754F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stacked"/>
        <c:varyColors val="0"/>
        <c:ser>
          <c:idx val="1"/>
          <c:order val="4"/>
          <c:tx>
            <c:strRef>
              <c:f>'2025 AOP'!$B$27</c:f>
              <c:strCache>
                <c:ptCount val="1"/>
                <c:pt idx="0">
                  <c:v> Net Operating Income (EBITDA)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'2025 AOP'!$C$27:$N$27</c:f>
              <c:numCache>
                <c:formatCode>_("$"* #,##0_);_("$"* \(#,##0\);_("$"* "-"??_);_(@_)</c:formatCode>
                <c:ptCount val="12"/>
                <c:pt idx="0">
                  <c:v>5010.3438137232952</c:v>
                </c:pt>
                <c:pt idx="1">
                  <c:v>5548.490595850426</c:v>
                </c:pt>
                <c:pt idx="2">
                  <c:v>4164.8417251075844</c:v>
                </c:pt>
                <c:pt idx="3">
                  <c:v>3548.2721900358233</c:v>
                </c:pt>
                <c:pt idx="4">
                  <c:v>5882.172512199113</c:v>
                </c:pt>
                <c:pt idx="5">
                  <c:v>18322.15325482823</c:v>
                </c:pt>
                <c:pt idx="6">
                  <c:v>18750.74573663617</c:v>
                </c:pt>
                <c:pt idx="7">
                  <c:v>5822.0700165440139</c:v>
                </c:pt>
                <c:pt idx="8">
                  <c:v>6780.0547142757659</c:v>
                </c:pt>
                <c:pt idx="9">
                  <c:v>6643.9518994138853</c:v>
                </c:pt>
                <c:pt idx="10">
                  <c:v>5564.274318413637</c:v>
                </c:pt>
                <c:pt idx="11">
                  <c:v>7090.4386361019551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8-4E35-9A9D-2BAE754F3D43}"/>
            </c:ext>
          </c:extLst>
        </c:ser>
        <c:ser>
          <c:idx val="5"/>
          <c:order val="5"/>
          <c:tx>
            <c:strRef>
              <c:f>'2025 AOP'!$B$25</c:f>
              <c:strCache>
                <c:ptCount val="1"/>
                <c:pt idx="0">
                  <c:v>Operating Expenses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'2025 AOP'!$C$25:$N$25</c:f>
              <c:numCache>
                <c:formatCode>_("$"* #,##0_);_("$"* \(#,##0\);_("$"* "-"??_);_(@_)</c:formatCode>
                <c:ptCount val="12"/>
                <c:pt idx="0">
                  <c:v>1914.5591862767037</c:v>
                </c:pt>
                <c:pt idx="1">
                  <c:v>1770.9494041495743</c:v>
                </c:pt>
                <c:pt idx="2">
                  <c:v>1733.8222748924159</c:v>
                </c:pt>
                <c:pt idx="3">
                  <c:v>3928.0508819641759</c:v>
                </c:pt>
                <c:pt idx="4">
                  <c:v>1785.3813310008859</c:v>
                </c:pt>
                <c:pt idx="5">
                  <c:v>2218.0762837317698</c:v>
                </c:pt>
                <c:pt idx="6">
                  <c:v>2398.5976469158304</c:v>
                </c:pt>
                <c:pt idx="7">
                  <c:v>1885.2348798655837</c:v>
                </c:pt>
                <c:pt idx="8">
                  <c:v>1817.0389038029532</c:v>
                </c:pt>
                <c:pt idx="9">
                  <c:v>1969.4880940832024</c:v>
                </c:pt>
                <c:pt idx="10">
                  <c:v>1771.3729251166017</c:v>
                </c:pt>
                <c:pt idx="11">
                  <c:v>1823.4464092490994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38-4E35-9A9D-2BAE754F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'2025 AOP'!$B$14</c15:sqref>
                        </c15:formulaRef>
                      </c:ext>
                    </c:extLst>
                    <c:strCache>
                      <c:ptCount val="1"/>
                      <c:pt idx="0">
                        <c:v> Total Income </c:v>
                      </c:pt>
                    </c:strCache>
                  </c:strRef>
                </c:tx>
                <c:spPr>
                  <a:solidFill>
                    <a:schemeClr val="accent2">
                      <a:lumMod val="20000"/>
                      <a:lumOff val="8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'2025 AOP'!$C$9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'2025 AOP'!$C$14:$N$14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7074.9</c:v>
                      </c:pt>
                      <c:pt idx="1">
                        <c:v>7319.4400000000005</c:v>
                      </c:pt>
                      <c:pt idx="2">
                        <c:v>5898.6639999999998</c:v>
                      </c:pt>
                      <c:pt idx="3">
                        <c:v>7591.1983999999993</c:v>
                      </c:pt>
                      <c:pt idx="4">
                        <c:v>7871.719039999999</c:v>
                      </c:pt>
                      <c:pt idx="5">
                        <c:v>24430.031424000001</c:v>
                      </c:pt>
                      <c:pt idx="6">
                        <c:v>25598.018854400001</c:v>
                      </c:pt>
                      <c:pt idx="7">
                        <c:v>8822.8113126399985</c:v>
                      </c:pt>
                      <c:pt idx="8">
                        <c:v>9083.1867875839998</c:v>
                      </c:pt>
                      <c:pt idx="9">
                        <c:v>9176.9120725503999</c:v>
                      </c:pt>
                      <c:pt idx="10">
                        <c:v>7335.6472435302385</c:v>
                      </c:pt>
                      <c:pt idx="11">
                        <c:v>9328.3883461181431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2B38-4E35-9A9D-2BAE754F3D4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3"/>
          <c:tx>
            <c:strRef>
              <c:f>'Monthly Detail'!$C$15</c:f>
              <c:strCache>
                <c:ptCount val="1"/>
                <c:pt idx="0">
                  <c:v> # of Recurring Clients 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38-4E35-9A9D-2BAE754F3D43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38-4E35-9A9D-2BAE754F3D43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38-4E35-9A9D-2BAE754F3D43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38-4E35-9A9D-2BAE754F3D43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B38-4E35-9A9D-2BAE754F3D43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B38-4E35-9A9D-2BAE754F3D4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B38-4E35-9A9D-2BAE754F3D43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B38-4E35-9A9D-2BAE754F3D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'Monthly Detail'!$AF$15:$AQ$15</c:f>
              <c:numCache>
                <c:formatCode>_(* #,##0_);_(* \(#,##0\);_(* "-"??_);_(@_)</c:formatCode>
                <c:ptCount val="12"/>
                <c:pt idx="0">
                  <c:v>23.46857142857143</c:v>
                </c:pt>
                <c:pt idx="1">
                  <c:v>26.081142857142858</c:v>
                </c:pt>
                <c:pt idx="2">
                  <c:v>27.648685714285712</c:v>
                </c:pt>
                <c:pt idx="3">
                  <c:v>28.589211428571424</c:v>
                </c:pt>
                <c:pt idx="4">
                  <c:v>30.153526857142854</c:v>
                </c:pt>
                <c:pt idx="5">
                  <c:v>31.092116114285712</c:v>
                </c:pt>
                <c:pt idx="6">
                  <c:v>32.655269668571428</c:v>
                </c:pt>
                <c:pt idx="7">
                  <c:v>34.593161801142855</c:v>
                </c:pt>
                <c:pt idx="8">
                  <c:v>35.755897080685713</c:v>
                </c:pt>
                <c:pt idx="9">
                  <c:v>36.453538248411427</c:v>
                </c:pt>
                <c:pt idx="10">
                  <c:v>36.872122949046855</c:v>
                </c:pt>
                <c:pt idx="11">
                  <c:v>37.12327376942811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B38-4E35-9A9D-2BAE754F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312495"/>
        <c:axId val="174931009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49310095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12495"/>
        <c:crosses val="max"/>
        <c:crossBetween val="between"/>
      </c:valAx>
      <c:catAx>
        <c:axId val="1749312495"/>
        <c:scaling>
          <c:orientation val="minMax"/>
        </c:scaling>
        <c:delete val="1"/>
        <c:axPos val="b"/>
        <c:majorTickMark val="out"/>
        <c:minorTickMark val="none"/>
        <c:tickLblPos val="nextTo"/>
        <c:crossAx val="1749310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'2024 Overview'!$B$34</c:f>
              <c:strCache>
                <c:ptCount val="1"/>
                <c:pt idx="0">
                  <c:v>Total Cash Balance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19050">
              <a:solidFill>
                <a:schemeClr val="accent2">
                  <a:lumMod val="50000"/>
                </a:schemeClr>
              </a:solidFill>
            </a:ln>
            <a:effectLst/>
          </c:spP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Overview'!$C$34:$N$34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1278.3900000000001</c:v>
                </c:pt>
                <c:pt idx="2">
                  <c:v>-222.65</c:v>
                </c:pt>
                <c:pt idx="3">
                  <c:v>551.46</c:v>
                </c:pt>
                <c:pt idx="4">
                  <c:v>307.57</c:v>
                </c:pt>
                <c:pt idx="5">
                  <c:v>1460.56</c:v>
                </c:pt>
                <c:pt idx="6">
                  <c:v>2286.3000000000002</c:v>
                </c:pt>
                <c:pt idx="7">
                  <c:v>10.72</c:v>
                </c:pt>
                <c:pt idx="8">
                  <c:v>120.46</c:v>
                </c:pt>
                <c:pt idx="9">
                  <c:v>601.62</c:v>
                </c:pt>
                <c:pt idx="10">
                  <c:v>132.26968705600206</c:v>
                </c:pt>
                <c:pt idx="11">
                  <c:v>1008.1152355487498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E-45C3-B2DB-88758EC9FF95}"/>
            </c:ext>
          </c:extLst>
        </c:ser>
        <c:ser>
          <c:idx val="4"/>
          <c:order val="2"/>
          <c:tx>
            <c:strRef>
              <c:f>'2024 Overview'!$B$33</c:f>
              <c:strCache>
                <c:ptCount val="1"/>
                <c:pt idx="0">
                  <c:v>Total Operating (Business) Cash Balance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Overview'!$C$33:$N$33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383.517</c:v>
                </c:pt>
                <c:pt idx="2">
                  <c:v>-66.795000000000002</c:v>
                </c:pt>
                <c:pt idx="3">
                  <c:v>165.43800000000002</c:v>
                </c:pt>
                <c:pt idx="4">
                  <c:v>92.271000000000001</c:v>
                </c:pt>
                <c:pt idx="5">
                  <c:v>438.16799999999995</c:v>
                </c:pt>
                <c:pt idx="6">
                  <c:v>685.89</c:v>
                </c:pt>
                <c:pt idx="7">
                  <c:v>3.2160000000000002</c:v>
                </c:pt>
                <c:pt idx="8">
                  <c:v>36.137999999999998</c:v>
                </c:pt>
                <c:pt idx="9">
                  <c:v>180.48599999999999</c:v>
                </c:pt>
                <c:pt idx="10">
                  <c:v>39.680906116800614</c:v>
                </c:pt>
                <c:pt idx="11">
                  <c:v>302.43457066462491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3-4DF6-A394-7D02AD0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stacked"/>
        <c:varyColors val="0"/>
        <c:ser>
          <c:idx val="1"/>
          <c:order val="4"/>
          <c:tx>
            <c:strRef>
              <c:f>'2024 Overview'!$B$26</c:f>
              <c:strCache>
                <c:ptCount val="1"/>
                <c:pt idx="0">
                  <c:v> Net Operating Income (EBITDA)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'2024 Overview'!$C$26:$N$26</c:f>
              <c:numCache>
                <c:formatCode>_("$"* #,##0_);_("$"* \(#,##0\);_("$"* "-"??_);_(@_)</c:formatCode>
                <c:ptCount val="12"/>
                <c:pt idx="0">
                  <c:v>-571.14</c:v>
                </c:pt>
                <c:pt idx="1">
                  <c:v>-774.06</c:v>
                </c:pt>
                <c:pt idx="2">
                  <c:v>-1076.0800000000002</c:v>
                </c:pt>
                <c:pt idx="3">
                  <c:v>-1064.21</c:v>
                </c:pt>
                <c:pt idx="4">
                  <c:v>617.13000000000011</c:v>
                </c:pt>
                <c:pt idx="5">
                  <c:v>3359.93</c:v>
                </c:pt>
                <c:pt idx="6">
                  <c:v>3386.26</c:v>
                </c:pt>
                <c:pt idx="7">
                  <c:v>-296.68999999999994</c:v>
                </c:pt>
                <c:pt idx="8">
                  <c:v>761.86</c:v>
                </c:pt>
                <c:pt idx="9">
                  <c:v>-38.440000000000055</c:v>
                </c:pt>
                <c:pt idx="10">
                  <c:v>-694.25704340043876</c:v>
                </c:pt>
                <c:pt idx="11">
                  <c:v>3537.2295403329363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9-4A53-ADAA-07AFB0E5850B}"/>
            </c:ext>
          </c:extLst>
        </c:ser>
        <c:ser>
          <c:idx val="5"/>
          <c:order val="5"/>
          <c:tx>
            <c:strRef>
              <c:f>'2024 Overview'!$B$24</c:f>
              <c:strCache>
                <c:ptCount val="1"/>
                <c:pt idx="0">
                  <c:v>Operating Expenses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'2024 Overview'!$C$24:$N$24</c:f>
              <c:numCache>
                <c:formatCode>_("$"* #,##0_);_("$"* \(#,##0\);_("$"* "-"??_);_(@_)</c:formatCode>
                <c:ptCount val="12"/>
                <c:pt idx="0">
                  <c:v>571.14</c:v>
                </c:pt>
                <c:pt idx="1">
                  <c:v>1144.06</c:v>
                </c:pt>
                <c:pt idx="2">
                  <c:v>1586.0800000000002</c:v>
                </c:pt>
                <c:pt idx="3">
                  <c:v>1064.21</c:v>
                </c:pt>
                <c:pt idx="4">
                  <c:v>1032.8699999999999</c:v>
                </c:pt>
                <c:pt idx="5">
                  <c:v>585.07000000000005</c:v>
                </c:pt>
                <c:pt idx="6">
                  <c:v>1356.68</c:v>
                </c:pt>
                <c:pt idx="7">
                  <c:v>1016.6899999999999</c:v>
                </c:pt>
                <c:pt idx="8">
                  <c:v>943.14</c:v>
                </c:pt>
                <c:pt idx="9">
                  <c:v>848.44</c:v>
                </c:pt>
                <c:pt idx="10">
                  <c:v>3054.2570434004388</c:v>
                </c:pt>
                <c:pt idx="11">
                  <c:v>1642.7704596670637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9-4A53-ADAA-07AFB0E5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'2024 Overview'!$B$14</c15:sqref>
                        </c15:formulaRef>
                      </c:ext>
                    </c:extLst>
                    <c:strCache>
                      <c:ptCount val="1"/>
                      <c:pt idx="0">
                        <c:v> Total Income </c:v>
                      </c:pt>
                    </c:strCache>
                  </c:strRef>
                </c:tx>
                <c:spPr>
                  <a:solidFill>
                    <a:schemeClr val="accent2">
                      <a:lumMod val="20000"/>
                      <a:lumOff val="8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'2024 Overview'!$C$9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 Overview'!$C$14:$N$14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0</c:v>
                      </c:pt>
                      <c:pt idx="1">
                        <c:v>370</c:v>
                      </c:pt>
                      <c:pt idx="2">
                        <c:v>510</c:v>
                      </c:pt>
                      <c:pt idx="3">
                        <c:v>0</c:v>
                      </c:pt>
                      <c:pt idx="4">
                        <c:v>1650</c:v>
                      </c:pt>
                      <c:pt idx="5">
                        <c:v>3945</c:v>
                      </c:pt>
                      <c:pt idx="6">
                        <c:v>4742.9400000000005</c:v>
                      </c:pt>
                      <c:pt idx="7">
                        <c:v>720</c:v>
                      </c:pt>
                      <c:pt idx="8">
                        <c:v>1705</c:v>
                      </c:pt>
                      <c:pt idx="9">
                        <c:v>810</c:v>
                      </c:pt>
                      <c:pt idx="10">
                        <c:v>2360</c:v>
                      </c:pt>
                      <c:pt idx="11">
                        <c:v>5180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F53-4DF6-A394-7D02AD009F1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3"/>
          <c:tx>
            <c:strRef>
              <c:f>'Monthly Detail'!$C$15</c:f>
              <c:strCache>
                <c:ptCount val="1"/>
                <c:pt idx="0">
                  <c:v> # of Recurring Clients 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FD09-4A53-ADAA-07AFB0E5850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D09-4A53-ADAA-07AFB0E5850B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D09-4A53-ADAA-07AFB0E5850B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D09-4A53-ADAA-07AFB0E5850B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D09-4A53-ADAA-07AFB0E5850B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D09-4A53-ADAA-07AFB0E5850B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D09-4A53-ADAA-07AFB0E5850B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09-4A53-ADAA-07AFB0E5850B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78ED-4FB9-ABB3-48E271234A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'Monthly Detail'!$T$15:$AE$15</c:f>
              <c:numCache>
                <c:formatCode>_(* #,##0_);_(* \(#,##0\);_(* "-"??_);_(@_)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11.857142857142858</c:v>
                </c:pt>
                <c:pt idx="6">
                  <c:v>19.114285714285714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9-4A53-ADAA-07AFB0E5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312495"/>
        <c:axId val="174931009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49310095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12495"/>
        <c:crosses val="max"/>
        <c:crossBetween val="between"/>
      </c:valAx>
      <c:catAx>
        <c:axId val="1749312495"/>
        <c:scaling>
          <c:orientation val="minMax"/>
        </c:scaling>
        <c:delete val="1"/>
        <c:axPos val="b"/>
        <c:majorTickMark val="out"/>
        <c:minorTickMark val="none"/>
        <c:tickLblPos val="nextTo"/>
        <c:crossAx val="1749310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vs</a:t>
            </a:r>
            <a:r>
              <a:rPr lang="en-US" baseline="0"/>
              <a:t> Budget (AOP)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2024 AOP Total Income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Q1</c:v>
              </c:pt>
              <c:pt idx="1">
                <c:v>Q2</c:v>
              </c:pt>
              <c:pt idx="2">
                <c:v>Q3</c:v>
              </c:pt>
              <c:pt idx="3">
                <c:v>Q4</c:v>
              </c:pt>
            </c:strLit>
          </c:cat>
          <c:val>
            <c:numRef>
              <c:f>('Quarterly Overview'!$C$37,'Quarterly Overview'!$D$37,'Quarterly Overview'!$F$37,'Quarterly Overview'!$H$37)</c:f>
              <c:numCache>
                <c:formatCode>General</c:formatCode>
                <c:ptCount val="4"/>
                <c:pt idx="0">
                  <c:v>0</c:v>
                </c:pt>
                <c:pt idx="1">
                  <c:v>8188.1746031746025</c:v>
                </c:pt>
                <c:pt idx="2">
                  <c:v>25440.396825396827</c:v>
                </c:pt>
                <c:pt idx="3">
                  <c:v>17262.283174603177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6-4C29-87D9-7AB012224FB8}"/>
            </c:ext>
          </c:extLst>
        </c:ser>
        <c:ser>
          <c:idx val="2"/>
          <c:order val="2"/>
          <c:tx>
            <c:v>Rolling Forecast Total Income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E76-4C29-87D9-7AB012224F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E76-4C29-87D9-7AB012224F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E76-4C29-87D9-7AB012224FB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E76-4C29-87D9-7AB012224FB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E76-4C29-87D9-7AB012224FB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E76-4C29-87D9-7AB012224FB8}"/>
              </c:ext>
            </c:extLst>
          </c:dPt>
          <c:cat>
            <c:strLit>
              <c:ptCount val="4"/>
              <c:pt idx="0">
                <c:v>Q1</c:v>
              </c:pt>
              <c:pt idx="1">
                <c:v>Q2</c:v>
              </c:pt>
              <c:pt idx="2">
                <c:v>Q3</c:v>
              </c:pt>
              <c:pt idx="3">
                <c:v>Q4</c:v>
              </c:pt>
            </c:strLit>
          </c:cat>
          <c:val>
            <c:numRef>
              <c:f>('Quarterly Overview'!$C$14,'Quarterly Overview'!$D$14,'Quarterly Overview'!$F$14,'Quarterly Overview'!$H$14)</c:f>
              <c:numCache>
                <c:formatCode>_("$"* #,##0_);_("$"* \(#,##0\);_("$"* "-"??_);_(@_)</c:formatCode>
                <c:ptCount val="4"/>
                <c:pt idx="0">
                  <c:v>880</c:v>
                </c:pt>
                <c:pt idx="1">
                  <c:v>10337.94</c:v>
                </c:pt>
                <c:pt idx="2">
                  <c:v>2425</c:v>
                </c:pt>
                <c:pt idx="3">
                  <c:v>8350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76-4C29-87D9-7AB01222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1"/>
          <c:order val="1"/>
          <c:tx>
            <c:v>2024 AOP # of Bookings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72843450479233E-2"/>
                  <c:y val="-2.83687943262411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76-4C29-87D9-7AB012224FB8}"/>
                </c:ext>
              </c:extLst>
            </c:dLbl>
            <c:dLbl>
              <c:idx val="1"/>
              <c:layout>
                <c:manualLayout>
                  <c:x val="2.3457753522497668E-2"/>
                  <c:y val="-1.5271959055435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76-4C29-87D9-7AB012224FB8}"/>
                </c:ext>
              </c:extLst>
            </c:dLbl>
            <c:dLbl>
              <c:idx val="2"/>
              <c:layout>
                <c:manualLayout>
                  <c:x val="-1.4909478168264111E-2"/>
                  <c:y val="-3.8927856326851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E76-4C29-87D9-7AB012224F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Q1</c:v>
              </c:pt>
              <c:pt idx="1">
                <c:v>Q2</c:v>
              </c:pt>
              <c:pt idx="2">
                <c:v>Q3</c:v>
              </c:pt>
              <c:pt idx="3">
                <c:v>Q4</c:v>
              </c:pt>
            </c:strLit>
          </c:cat>
          <c:val>
            <c:numRef>
              <c:f>('Quarterly Overview'!$C$39,'Quarterly Overview'!$D$39,'Quarterly Overview'!$F$39,'Quarterly Overview'!$H$39)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43.999999999999993</c:v>
                </c:pt>
                <c:pt idx="2">
                  <c:v>101.5</c:v>
                </c:pt>
                <c:pt idx="3">
                  <c:v>14.850000000000001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76-4C29-87D9-7AB012224FB8}"/>
            </c:ext>
          </c:extLst>
        </c:ser>
        <c:ser>
          <c:idx val="3"/>
          <c:order val="3"/>
          <c:tx>
            <c:v>Rolling Forecast Avg. # of Bookings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76-4C29-87D9-7AB012224FB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E76-4C29-87D9-7AB012224FB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E76-4C29-87D9-7AB012224FB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E76-4C29-87D9-7AB012224FB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E76-4C29-87D9-7AB012224FB8}"/>
              </c:ext>
            </c:extLst>
          </c:dPt>
          <c:dLbls>
            <c:dLbl>
              <c:idx val="0"/>
              <c:layout>
                <c:manualLayout>
                  <c:x val="-2.7689030883919101E-2"/>
                  <c:y val="-2.48226950354609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E76-4C29-87D9-7AB012224FB8}"/>
                </c:ext>
              </c:extLst>
            </c:dLbl>
            <c:dLbl>
              <c:idx val="1"/>
              <c:layout>
                <c:manualLayout>
                  <c:x val="-3.1955716213222705E-2"/>
                  <c:y val="-0.104613623007399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76-4C29-87D9-7AB012224FB8}"/>
                </c:ext>
              </c:extLst>
            </c:dLbl>
            <c:dLbl>
              <c:idx val="2"/>
              <c:layout>
                <c:manualLayout>
                  <c:x val="0"/>
                  <c:y val="-2.1276595744680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E76-4C29-87D9-7AB012224F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Q1</c:v>
              </c:pt>
              <c:pt idx="1">
                <c:v>Q2</c:v>
              </c:pt>
              <c:pt idx="2">
                <c:v>Q3</c:v>
              </c:pt>
              <c:pt idx="3">
                <c:v>Q4</c:v>
              </c:pt>
            </c:strLit>
          </c:cat>
          <c:val>
            <c:numRef>
              <c:f>('Quarterly Overview'!$C$15,'Quarterly Overview'!$D$15,'Quarterly Overview'!$F$15,'Quarterly Overview'!$H$15)</c:f>
              <c:numCache>
                <c:formatCode>_(* #,##0_);_(* \(#,##0\);_(* "-"??_);_(@_)</c:formatCode>
                <c:ptCount val="4"/>
                <c:pt idx="0">
                  <c:v>5</c:v>
                </c:pt>
                <c:pt idx="1">
                  <c:v>46</c:v>
                </c:pt>
                <c:pt idx="2">
                  <c:v>51</c:v>
                </c:pt>
                <c:pt idx="3">
                  <c:v>72.685714285714283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76-4C29-87D9-7AB01222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Forecast vs</a:t>
            </a:r>
            <a:r>
              <a:rPr lang="en-US" baseline="0"/>
              <a:t> AOP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2024 AOP Total Income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AOP'!$C$14:$N$14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2730</c:v>
                </c:pt>
                <c:pt idx="5">
                  <c:v>5458.1746031746025</c:v>
                </c:pt>
                <c:pt idx="6">
                  <c:v>9557.539682539682</c:v>
                </c:pt>
                <c:pt idx="7">
                  <c:v>10746.031746031746</c:v>
                </c:pt>
                <c:pt idx="8">
                  <c:v>5136.8253968253975</c:v>
                </c:pt>
                <c:pt idx="9">
                  <c:v>5569.460317460318</c:v>
                </c:pt>
                <c:pt idx="10">
                  <c:v>4951.5682539682548</c:v>
                </c:pt>
                <c:pt idx="11">
                  <c:v>6741.2546031746033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2-44A2-9931-9FF76A281220}"/>
            </c:ext>
          </c:extLst>
        </c:ser>
        <c:ser>
          <c:idx val="2"/>
          <c:order val="2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102-44A2-9931-9FF76A2812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102-44A2-9931-9FF76A2812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102-44A2-9931-9FF76A2812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102-44A2-9931-9FF76A2812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102-44A2-9931-9FF76A28122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102-44A2-9931-9FF76A2812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944-45BE-A44D-879C66DF2B6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141-4C91-B23A-F56252EAD42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45F-4CB4-A855-B9B3D2B408C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01F-4477-8E1E-8DC04FE32949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Overview'!$C$14:$N$14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370</c:v>
                </c:pt>
                <c:pt idx="2">
                  <c:v>510</c:v>
                </c:pt>
                <c:pt idx="3">
                  <c:v>0</c:v>
                </c:pt>
                <c:pt idx="4">
                  <c:v>1650</c:v>
                </c:pt>
                <c:pt idx="5">
                  <c:v>3945</c:v>
                </c:pt>
                <c:pt idx="6">
                  <c:v>4742.9400000000005</c:v>
                </c:pt>
                <c:pt idx="7">
                  <c:v>720</c:v>
                </c:pt>
                <c:pt idx="8">
                  <c:v>1705</c:v>
                </c:pt>
                <c:pt idx="9">
                  <c:v>810</c:v>
                </c:pt>
                <c:pt idx="10">
                  <c:v>2360</c:v>
                </c:pt>
                <c:pt idx="11">
                  <c:v>5180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02-44A2-9931-9FF76A281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1"/>
          <c:order val="1"/>
          <c:tx>
            <c:v>2024 AOP # of Bookings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AOP'!$C$16:$N$16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43.999999999999993</c:v>
                </c:pt>
                <c:pt idx="6">
                  <c:v>46</c:v>
                </c:pt>
                <c:pt idx="7">
                  <c:v>48</c:v>
                </c:pt>
                <c:pt idx="8">
                  <c:v>7.5</c:v>
                </c:pt>
                <c:pt idx="9">
                  <c:v>7.3500000000000005</c:v>
                </c:pt>
                <c:pt idx="10">
                  <c:v>0</c:v>
                </c:pt>
                <c:pt idx="1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02-44A2-9931-9FF76A281220}"/>
            </c:ext>
          </c:extLst>
        </c:ser>
        <c:ser>
          <c:idx val="3"/>
          <c:order val="3"/>
          <c:tx>
            <c:v>Rolling Forecast # of Bookings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0102-44A2-9931-9FF76A28122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0102-44A2-9931-9FF76A281220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0102-44A2-9931-9FF76A281220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0102-44A2-9931-9FF76A28122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0102-44A2-9931-9FF76A28122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8944-45BE-A44D-879C66DF2B6E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F141-4C91-B23A-F56252EAD422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645F-4CB4-A855-B9B3D2B408C9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801F-4477-8E1E-8DC04FE32949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Overview'!$C$15:$N$15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8</c:v>
                </c:pt>
                <c:pt idx="5">
                  <c:v>38</c:v>
                </c:pt>
                <c:pt idx="6">
                  <c:v>39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20.714285714285715</c:v>
                </c:pt>
                <c:pt idx="11">
                  <c:v>44.971428571428575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102-44A2-9931-9FF76A281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285751</xdr:colOff>
      <xdr:row>9</xdr:row>
      <xdr:rowOff>115453</xdr:rowOff>
    </xdr:from>
    <xdr:to>
      <xdr:col>21</xdr:col>
      <xdr:colOff>396240</xdr:colOff>
      <xdr:row>33</xdr:row>
      <xdr:rowOff>187612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272300</xdr:colOff>
      <xdr:row>3</xdr:row>
      <xdr:rowOff>10622</xdr:rowOff>
    </xdr:from>
    <xdr:to>
      <xdr:col>2</xdr:col>
      <xdr:colOff>2206419</xdr:colOff>
      <xdr:row>8</xdr:row>
      <xdr:rowOff>164024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529EAB-2536-4265-B5C6-9CF65B248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573" y="573463"/>
          <a:ext cx="1934119" cy="108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42</xdr:row>
      <xdr:rowOff>160019</xdr:rowOff>
    </xdr:from>
    <xdr:to>
      <xdr:col>15</xdr:col>
      <xdr:colOff>609600</xdr:colOff>
      <xdr:row>59</xdr:row>
      <xdr:rowOff>995794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62CDB-8736-4143-B6EE-1020DDE22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666552</xdr:colOff>
      <xdr:row>0</xdr:row>
      <xdr:rowOff>121647</xdr:rowOff>
    </xdr:from>
    <xdr:to>
      <xdr:col>7</xdr:col>
      <xdr:colOff>1084291</xdr:colOff>
      <xdr:row>5</xdr:row>
      <xdr:rowOff>96951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68FA72-767C-4E26-B845-3D761F41D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152" y="121647"/>
          <a:ext cx="1690279" cy="889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42</xdr:row>
      <xdr:rowOff>160019</xdr:rowOff>
    </xdr:from>
    <xdr:to>
      <xdr:col>15</xdr:col>
      <xdr:colOff>609600</xdr:colOff>
      <xdr:row>59</xdr:row>
      <xdr:rowOff>995794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AD6D7-9BDC-44E3-8E44-EF197842F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666552</xdr:colOff>
      <xdr:row>0</xdr:row>
      <xdr:rowOff>121647</xdr:rowOff>
    </xdr:from>
    <xdr:to>
      <xdr:col>7</xdr:col>
      <xdr:colOff>1084291</xdr:colOff>
      <xdr:row>5</xdr:row>
      <xdr:rowOff>96951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F93746-713E-44AE-83EA-CC63CC5FA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152" y="121647"/>
          <a:ext cx="1690279" cy="889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41</xdr:row>
      <xdr:rowOff>160019</xdr:rowOff>
    </xdr:from>
    <xdr:to>
      <xdr:col>15</xdr:col>
      <xdr:colOff>609600</xdr:colOff>
      <xdr:row>58</xdr:row>
      <xdr:rowOff>995794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BB4B0-0B06-40D3-9D19-7D81157D0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666552</xdr:colOff>
      <xdr:row>0</xdr:row>
      <xdr:rowOff>121647</xdr:rowOff>
    </xdr:from>
    <xdr:to>
      <xdr:col>7</xdr:col>
      <xdr:colOff>1084291</xdr:colOff>
      <xdr:row>5</xdr:row>
      <xdr:rowOff>96951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DEE3A7-505F-776D-FB7C-74B0E0F0D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702" y="121647"/>
          <a:ext cx="1667073" cy="9239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7</xdr:row>
      <xdr:rowOff>9525</xdr:rowOff>
    </xdr:from>
    <xdr:to>
      <xdr:col>21</xdr:col>
      <xdr:colOff>243840</xdr:colOff>
      <xdr:row>33</xdr:row>
      <xdr:rowOff>20955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D2FEF321-D4B9-4FD6-98BD-3DB8CA419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735779</xdr:colOff>
      <xdr:row>0</xdr:row>
      <xdr:rowOff>149485</xdr:rowOff>
    </xdr:from>
    <xdr:to>
      <xdr:col>12</xdr:col>
      <xdr:colOff>457535</xdr:colOff>
      <xdr:row>6</xdr:row>
      <xdr:rowOff>95395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1BD579-E379-4F02-AA27-91A63A713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0573" y="149485"/>
          <a:ext cx="1996551" cy="101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1513598</xdr:colOff>
      <xdr:row>6</xdr:row>
      <xdr:rowOff>102130</xdr:rowOff>
    </xdr:from>
    <xdr:to>
      <xdr:col>25</xdr:col>
      <xdr:colOff>286725</xdr:colOff>
      <xdr:row>12</xdr:row>
      <xdr:rowOff>102583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70BF3D-AE8A-48A2-8008-2E003310E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455" y="1212473"/>
          <a:ext cx="2060613" cy="1110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7520</xdr:colOff>
      <xdr:row>52</xdr:row>
      <xdr:rowOff>129058</xdr:rowOff>
    </xdr:from>
    <xdr:to>
      <xdr:col>30</xdr:col>
      <xdr:colOff>1238250</xdr:colOff>
      <xdr:row>84</xdr:row>
      <xdr:rowOff>13607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CAFB74B4-B405-417A-B0D0-AA8FBC12D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  <person displayName="Jordan Lee" id="{6E0280D1-14B9-4E4E-9F28-1CBC5A7EB944}" userId="S::jordan.lee.17@cnu.edu::c7004041-c18d-46a2-813c-11a6bccfe04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33" dT="2024-07-23T15:49:06.35" personId="{1EAB70DF-57F2-4E03-B78C-7A4DE89F3DCA}" id="{BF0FDB59-2023-4C23-B382-C0EB98D8D1F2}">
    <text>2 hours for summer camps/training
2 hours group sports
8 hours personal fitness
0 hours personal sports</text>
  </threadedComment>
  <threadedComment ref="Y33" dT="2024-07-23T15:49:06.35" personId="{1EAB70DF-57F2-4E03-B78C-7A4DE89F3DCA}" id="{2063327C-1A0B-43FC-8D3F-A71F56E02ED4}">
    <text>8 hours for camps
8 hours group sports
4 hours personal fitness
12 hours personal sports</text>
  </threadedComment>
  <threadedComment ref="Z33" dT="2024-07-23T15:49:06.35" personId="{1EAB70DF-57F2-4E03-B78C-7A4DE89F3DCA}" id="{395F5B66-C868-4B46-A34A-4DD1BC5D1311}">
    <text>8 hours for camps
2 hours group sports
1 hour group fitness
6 hours personal fitness
10 hours personal sports</text>
  </threadedComment>
  <threadedComment ref="AA33" dT="2024-07-23T15:49:06.35" personId="{1EAB70DF-57F2-4E03-B78C-7A4DE89F3DCA}" id="{CB4CA7F3-0F3D-4CFA-8EB0-69BAAD108487}">
    <text>0 hours for camps
0 hours group sports
0 hour group fitness
3 hours personal fitness
5 hours personal sports</text>
  </threadedComment>
  <threadedComment ref="AB33" dT="2024-07-23T15:49:06.35" personId="{1EAB70DF-57F2-4E03-B78C-7A4DE89F3DCA}" id="{EE9D4FF4-0EE6-493F-B152-41B46F8D648B}">
    <text>0 hours for camps
0 hours group sports
0 hour group fitness
11 hours personal fitness
5 hours personal sports</text>
  </threadedComment>
  <threadedComment ref="AC33" dT="2024-11-12T16:58:37.39" personId="{6E0280D1-14B9-4E4E-9F28-1CBC5A7EB944}" id="{BDD28B83-7534-4018-A23F-187FEDC84FAF}">
    <text xml:space="preserve">0 hours for camps
0 hours group sports
0 hour group fitness
3 hours personal fitness
6 hours personal sports
</text>
  </threadedComment>
  <threadedComment ref="K71" dT="2022-12-01T04:02:35.34" personId="{1EAB70DF-57F2-4E03-B78C-7A4DE89F3DCA}" id="{735C9239-FB8A-4B36-9D20-C68BC4D2B976}">
    <text>Tax Advice JMM Group LLC</text>
  </threadedComment>
  <threadedComment ref="L71" dT="2022-12-01T04:02:35.34" personId="{1EAB70DF-57F2-4E03-B78C-7A4DE89F3DCA}" id="{701A54C3-1B46-4893-BC62-B2EFF266C055}">
    <text>Offboarding JMM Group LLC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24" dT="2024-09-12T18:12:35.42" personId="{1EAB70DF-57F2-4E03-B78C-7A4DE89F3DCA}" id="{6BF16ADE-962C-4819-9420-DA3B2A8DD524}">
    <text>$50 30 min Consultation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pivotTable" Target="../pivotTables/pivotTable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fitToPage="1"/>
  </sheetPr>
  <dimension ref="A1:DJ151"/>
  <sheetViews>
    <sheetView tabSelected="1" topLeftCell="B1" zoomScale="82" zoomScaleNormal="100" workbookViewId="0">
      <pane xSplit="2" ySplit="4" topLeftCell="T29" activePane="bottomRight" state="frozen"/>
      <selection pane="topRight"/>
      <selection pane="bottomLeft"/>
      <selection pane="bottomRight" activeCell="C2" sqref="C2:AE47"/>
    </sheetView>
  </sheetViews>
  <sheetFormatPr defaultRowHeight="14.4" outlineLevelCol="1" x14ac:dyDescent="0.3"/>
  <cols>
    <col min="1" max="1" width="0" hidden="1" customWidth="1" outlineLevel="1"/>
    <col min="2" max="2" width="41.6640625" bestFit="1" customWidth="1" collapsed="1"/>
    <col min="3" max="3" width="40.33203125" bestFit="1" customWidth="1"/>
    <col min="4" max="12" width="12.88671875" hidden="1" customWidth="1" outlineLevel="1"/>
    <col min="13" max="17" width="13.33203125" hidden="1" customWidth="1" outlineLevel="1"/>
    <col min="18" max="18" width="14" hidden="1" customWidth="1" outlineLevel="1"/>
    <col min="19" max="19" width="14.33203125" hidden="1" customWidth="1" outlineLevel="1"/>
    <col min="20" max="20" width="11.5546875" hidden="1" customWidth="1" outlineLevel="1" collapsed="1"/>
    <col min="21" max="22" width="13.88671875" hidden="1" customWidth="1" outlineLevel="1"/>
    <col min="23" max="23" width="11.88671875" hidden="1" customWidth="1" outlineLevel="1"/>
    <col min="24" max="24" width="15" hidden="1" customWidth="1" outlineLevel="1"/>
    <col min="25" max="25" width="15.44140625" bestFit="1" customWidth="1" collapsed="1"/>
    <col min="26" max="27" width="16" bestFit="1" customWidth="1"/>
    <col min="28" max="28" width="15.88671875" bestFit="1" customWidth="1"/>
    <col min="29" max="33" width="16" bestFit="1" customWidth="1"/>
    <col min="34" max="38" width="16.6640625" bestFit="1" customWidth="1"/>
    <col min="39" max="39" width="17.109375" bestFit="1" customWidth="1"/>
    <col min="40" max="42" width="16.6640625" bestFit="1" customWidth="1"/>
    <col min="43" max="43" width="16.6640625" style="191" bestFit="1" customWidth="1"/>
    <col min="44" max="44" width="16.6640625" bestFit="1" customWidth="1"/>
    <col min="45" max="45" width="16" bestFit="1" customWidth="1"/>
    <col min="46" max="50" width="16.6640625" bestFit="1" customWidth="1"/>
    <col min="51" max="52" width="17.109375" bestFit="1" customWidth="1"/>
    <col min="53" max="54" width="17.6640625" bestFit="1" customWidth="1"/>
    <col min="55" max="55" width="17.6640625" style="191" bestFit="1" customWidth="1"/>
    <col min="56" max="56" width="17.6640625" bestFit="1" customWidth="1"/>
    <col min="57" max="58" width="17.33203125" bestFit="1" customWidth="1"/>
    <col min="59" max="66" width="17.6640625" bestFit="1" customWidth="1"/>
    <col min="67" max="67" width="17.6640625" style="191" bestFit="1" customWidth="1"/>
    <col min="68" max="69" width="17.6640625" bestFit="1" customWidth="1"/>
    <col min="70" max="71" width="18.109375" bestFit="1" customWidth="1"/>
    <col min="72" max="73" width="17.6640625" bestFit="1" customWidth="1"/>
    <col min="74" max="75" width="18.109375" bestFit="1" customWidth="1"/>
    <col min="76" max="76" width="17.6640625" bestFit="1" customWidth="1"/>
    <col min="77" max="78" width="18.109375" bestFit="1" customWidth="1"/>
    <col min="79" max="79" width="17.6640625" style="191" bestFit="1" customWidth="1"/>
    <col min="80" max="81" width="18.109375" bestFit="1" customWidth="1"/>
    <col min="82" max="83" width="17.6640625" bestFit="1" customWidth="1"/>
    <col min="84" max="84" width="18.109375" bestFit="1" customWidth="1"/>
    <col min="85" max="85" width="17.6640625" bestFit="1" customWidth="1"/>
    <col min="86" max="89" width="18.109375" bestFit="1" customWidth="1"/>
    <col min="90" max="90" width="17.6640625" bestFit="1" customWidth="1"/>
    <col min="91" max="91" width="18.109375" style="191" bestFit="1" customWidth="1"/>
    <col min="92" max="96" width="18.109375" bestFit="1" customWidth="1"/>
    <col min="97" max="97" width="17.6640625" bestFit="1" customWidth="1"/>
    <col min="98" max="103" width="18.109375" bestFit="1" customWidth="1"/>
    <col min="104" max="105" width="5.109375" bestFit="1" customWidth="1"/>
    <col min="106" max="106" width="8.5546875" bestFit="1" customWidth="1"/>
  </cols>
  <sheetData>
    <row r="1" spans="1:114" ht="15" thickBot="1" x14ac:dyDescent="0.35">
      <c r="A1" s="30"/>
      <c r="B1" s="30"/>
      <c r="C1" s="30"/>
      <c r="D1" s="31"/>
      <c r="E1" s="31">
        <f t="shared" ref="E1:AA1" si="0">YEAR(E4)</f>
        <v>2022</v>
      </c>
      <c r="F1" s="31">
        <f t="shared" si="0"/>
        <v>2022</v>
      </c>
      <c r="G1" s="31">
        <f t="shared" si="0"/>
        <v>2022</v>
      </c>
      <c r="H1" s="31">
        <f t="shared" si="0"/>
        <v>2023</v>
      </c>
      <c r="I1" s="31">
        <f t="shared" si="0"/>
        <v>2023</v>
      </c>
      <c r="J1" s="31">
        <f t="shared" si="0"/>
        <v>2023</v>
      </c>
      <c r="K1" s="31">
        <f t="shared" si="0"/>
        <v>2023</v>
      </c>
      <c r="L1" s="31">
        <f t="shared" si="0"/>
        <v>2023</v>
      </c>
      <c r="M1" s="31">
        <f t="shared" si="0"/>
        <v>2023</v>
      </c>
      <c r="N1" s="31">
        <f t="shared" si="0"/>
        <v>2023</v>
      </c>
      <c r="O1" s="31">
        <f t="shared" si="0"/>
        <v>2023</v>
      </c>
      <c r="P1" s="31">
        <f t="shared" si="0"/>
        <v>2023</v>
      </c>
      <c r="Q1" s="31">
        <f t="shared" si="0"/>
        <v>2023</v>
      </c>
      <c r="R1" s="31">
        <f t="shared" si="0"/>
        <v>2023</v>
      </c>
      <c r="S1" s="31">
        <f t="shared" si="0"/>
        <v>2023</v>
      </c>
      <c r="T1" s="31">
        <f t="shared" si="0"/>
        <v>2024</v>
      </c>
      <c r="U1" s="31">
        <f t="shared" si="0"/>
        <v>2024</v>
      </c>
      <c r="V1" s="31">
        <f t="shared" si="0"/>
        <v>2024</v>
      </c>
      <c r="W1" s="31">
        <f t="shared" si="0"/>
        <v>2024</v>
      </c>
      <c r="X1" s="188">
        <f t="shared" si="0"/>
        <v>2024</v>
      </c>
      <c r="Y1" s="31">
        <f t="shared" si="0"/>
        <v>2024</v>
      </c>
      <c r="Z1" s="31">
        <f t="shared" ref="Z1" si="1">YEAR(Z4)</f>
        <v>2024</v>
      </c>
      <c r="AA1" s="31">
        <f t="shared" si="0"/>
        <v>2024</v>
      </c>
      <c r="AB1" s="31">
        <f t="shared" ref="AB1:BG1" si="2">YEAR(AB4)</f>
        <v>2024</v>
      </c>
      <c r="AC1" s="188">
        <f t="shared" si="2"/>
        <v>2024</v>
      </c>
      <c r="AD1" s="31">
        <f t="shared" si="2"/>
        <v>2024</v>
      </c>
      <c r="AE1" s="188">
        <f t="shared" si="2"/>
        <v>2024</v>
      </c>
      <c r="AF1" s="31">
        <f t="shared" si="2"/>
        <v>2025</v>
      </c>
      <c r="AG1" s="31">
        <f t="shared" si="2"/>
        <v>2025</v>
      </c>
      <c r="AH1" s="31">
        <f t="shared" si="2"/>
        <v>2025</v>
      </c>
      <c r="AI1" s="31">
        <f t="shared" si="2"/>
        <v>2025</v>
      </c>
      <c r="AJ1" s="31">
        <f t="shared" si="2"/>
        <v>2025</v>
      </c>
      <c r="AK1" s="31">
        <f t="shared" si="2"/>
        <v>2025</v>
      </c>
      <c r="AL1" s="31">
        <f t="shared" si="2"/>
        <v>2025</v>
      </c>
      <c r="AM1" s="31">
        <f t="shared" si="2"/>
        <v>2025</v>
      </c>
      <c r="AN1" s="31">
        <f t="shared" si="2"/>
        <v>2025</v>
      </c>
      <c r="AO1" s="31">
        <f t="shared" si="2"/>
        <v>2025</v>
      </c>
      <c r="AP1" s="31">
        <f t="shared" si="2"/>
        <v>2025</v>
      </c>
      <c r="AQ1" s="188">
        <f t="shared" si="2"/>
        <v>2025</v>
      </c>
      <c r="AR1" s="31">
        <f t="shared" si="2"/>
        <v>2026</v>
      </c>
      <c r="AS1" s="31">
        <f t="shared" si="2"/>
        <v>2026</v>
      </c>
      <c r="AT1" s="31">
        <f t="shared" si="2"/>
        <v>2026</v>
      </c>
      <c r="AU1" s="31">
        <f t="shared" si="2"/>
        <v>2026</v>
      </c>
      <c r="AV1" s="31">
        <f t="shared" si="2"/>
        <v>2026</v>
      </c>
      <c r="AW1" s="31">
        <f t="shared" si="2"/>
        <v>2026</v>
      </c>
      <c r="AX1" s="31">
        <f t="shared" si="2"/>
        <v>2026</v>
      </c>
      <c r="AY1" s="31">
        <f t="shared" si="2"/>
        <v>2026</v>
      </c>
      <c r="AZ1" s="31">
        <f t="shared" si="2"/>
        <v>2026</v>
      </c>
      <c r="BA1" s="31">
        <f t="shared" si="2"/>
        <v>2026</v>
      </c>
      <c r="BB1" s="31">
        <f t="shared" si="2"/>
        <v>2026</v>
      </c>
      <c r="BC1" s="188">
        <f t="shared" si="2"/>
        <v>2026</v>
      </c>
      <c r="BD1" s="31">
        <f t="shared" si="2"/>
        <v>2027</v>
      </c>
      <c r="BE1" s="31">
        <f t="shared" si="2"/>
        <v>2027</v>
      </c>
      <c r="BF1" s="31">
        <f t="shared" si="2"/>
        <v>2027</v>
      </c>
      <c r="BG1" s="31">
        <f t="shared" si="2"/>
        <v>2027</v>
      </c>
      <c r="BH1" s="31">
        <f t="shared" ref="BH1:CM1" si="3">YEAR(BH4)</f>
        <v>2027</v>
      </c>
      <c r="BI1" s="31">
        <f t="shared" si="3"/>
        <v>2027</v>
      </c>
      <c r="BJ1" s="31">
        <f t="shared" si="3"/>
        <v>2027</v>
      </c>
      <c r="BK1" s="31">
        <f t="shared" si="3"/>
        <v>2027</v>
      </c>
      <c r="BL1" s="31">
        <f t="shared" si="3"/>
        <v>2027</v>
      </c>
      <c r="BM1" s="31">
        <f t="shared" si="3"/>
        <v>2027</v>
      </c>
      <c r="BN1" s="31">
        <f t="shared" si="3"/>
        <v>2027</v>
      </c>
      <c r="BO1" s="188">
        <f t="shared" si="3"/>
        <v>2027</v>
      </c>
      <c r="BP1" s="31">
        <f t="shared" si="3"/>
        <v>2028</v>
      </c>
      <c r="BQ1" s="31">
        <f t="shared" si="3"/>
        <v>2028</v>
      </c>
      <c r="BR1" s="31">
        <f t="shared" si="3"/>
        <v>2028</v>
      </c>
      <c r="BS1" s="31">
        <f t="shared" si="3"/>
        <v>2028</v>
      </c>
      <c r="BT1" s="31">
        <f t="shared" si="3"/>
        <v>2028</v>
      </c>
      <c r="BU1" s="31">
        <f t="shared" si="3"/>
        <v>2028</v>
      </c>
      <c r="BV1" s="31">
        <f t="shared" si="3"/>
        <v>2028</v>
      </c>
      <c r="BW1" s="31">
        <f t="shared" si="3"/>
        <v>2028</v>
      </c>
      <c r="BX1" s="31">
        <f t="shared" si="3"/>
        <v>2028</v>
      </c>
      <c r="BY1" s="31">
        <f t="shared" si="3"/>
        <v>2028</v>
      </c>
      <c r="BZ1" s="31">
        <f t="shared" si="3"/>
        <v>2028</v>
      </c>
      <c r="CA1" s="188">
        <f t="shared" si="3"/>
        <v>2028</v>
      </c>
      <c r="CB1" s="31">
        <f t="shared" si="3"/>
        <v>2029</v>
      </c>
      <c r="CC1" s="31">
        <f t="shared" si="3"/>
        <v>2029</v>
      </c>
      <c r="CD1" s="31">
        <f t="shared" si="3"/>
        <v>2029</v>
      </c>
      <c r="CE1" s="31">
        <f t="shared" si="3"/>
        <v>2029</v>
      </c>
      <c r="CF1" s="31">
        <f t="shared" si="3"/>
        <v>2029</v>
      </c>
      <c r="CG1" s="31">
        <f t="shared" si="3"/>
        <v>2029</v>
      </c>
      <c r="CH1" s="31">
        <f t="shared" si="3"/>
        <v>2029</v>
      </c>
      <c r="CI1" s="31">
        <f t="shared" si="3"/>
        <v>2029</v>
      </c>
      <c r="CJ1" s="31">
        <f t="shared" si="3"/>
        <v>2029</v>
      </c>
      <c r="CK1" s="31">
        <f t="shared" si="3"/>
        <v>2029</v>
      </c>
      <c r="CL1" s="31">
        <f t="shared" si="3"/>
        <v>2029</v>
      </c>
      <c r="CM1" s="188">
        <f t="shared" si="3"/>
        <v>2029</v>
      </c>
      <c r="CN1" s="31">
        <f t="shared" ref="CN1:CY1" si="4">YEAR(CN4)</f>
        <v>2030</v>
      </c>
      <c r="CO1" s="31">
        <f t="shared" si="4"/>
        <v>2030</v>
      </c>
      <c r="CP1" s="31">
        <f t="shared" si="4"/>
        <v>2030</v>
      </c>
      <c r="CQ1" s="31">
        <f t="shared" si="4"/>
        <v>2030</v>
      </c>
      <c r="CR1" s="31">
        <f t="shared" si="4"/>
        <v>2030</v>
      </c>
      <c r="CS1" s="31">
        <f t="shared" si="4"/>
        <v>2030</v>
      </c>
      <c r="CT1" s="31">
        <f t="shared" si="4"/>
        <v>2030</v>
      </c>
      <c r="CU1" s="31">
        <f t="shared" si="4"/>
        <v>2030</v>
      </c>
      <c r="CV1" s="31">
        <f t="shared" si="4"/>
        <v>2030</v>
      </c>
      <c r="CW1" s="31">
        <f t="shared" si="4"/>
        <v>2030</v>
      </c>
      <c r="CX1" s="31">
        <f t="shared" si="4"/>
        <v>2030</v>
      </c>
      <c r="CY1" s="31">
        <f t="shared" si="4"/>
        <v>2030</v>
      </c>
      <c r="CZ1" s="31"/>
      <c r="DA1" s="31"/>
      <c r="DB1" s="53"/>
    </row>
    <row r="2" spans="1:114" x14ac:dyDescent="0.3">
      <c r="A2" s="30"/>
      <c r="B2" s="30"/>
      <c r="C2" s="612"/>
      <c r="D2" s="434"/>
      <c r="E2" s="434"/>
      <c r="F2" s="434"/>
      <c r="G2" s="435" t="s">
        <v>191</v>
      </c>
      <c r="H2" s="435" t="s">
        <v>191</v>
      </c>
      <c r="I2" s="435" t="s">
        <v>193</v>
      </c>
      <c r="J2" s="435" t="s">
        <v>193</v>
      </c>
      <c r="K2" s="435" t="s">
        <v>192</v>
      </c>
      <c r="L2" s="435" t="s">
        <v>193</v>
      </c>
      <c r="M2" s="435" t="s">
        <v>193</v>
      </c>
      <c r="N2" s="435" t="s">
        <v>192</v>
      </c>
      <c r="O2" s="435" t="s">
        <v>193</v>
      </c>
      <c r="P2" s="435" t="s">
        <v>193</v>
      </c>
      <c r="Q2" s="435" t="s">
        <v>192</v>
      </c>
      <c r="R2" s="435" t="s">
        <v>192</v>
      </c>
      <c r="S2" s="435" t="s">
        <v>193</v>
      </c>
      <c r="T2" s="435" t="s">
        <v>193</v>
      </c>
      <c r="U2" s="435" t="s">
        <v>192</v>
      </c>
      <c r="V2" s="435" t="s">
        <v>192</v>
      </c>
      <c r="W2" s="435" t="s">
        <v>193</v>
      </c>
      <c r="X2" s="436" t="s">
        <v>193</v>
      </c>
      <c r="Y2" s="435" t="s">
        <v>191</v>
      </c>
      <c r="Z2" s="435" t="s">
        <v>191</v>
      </c>
      <c r="AA2" s="435" t="s">
        <v>193</v>
      </c>
      <c r="AB2" s="435" t="str">
        <f>+P2</f>
        <v>Shoulder</v>
      </c>
      <c r="AC2" s="436" t="str">
        <f t="shared" ref="AC2:CF2" si="5">+Q2</f>
        <v>Trough</v>
      </c>
      <c r="AD2" s="435" t="str">
        <f t="shared" si="5"/>
        <v>Trough</v>
      </c>
      <c r="AE2" s="613" t="str">
        <f t="shared" si="5"/>
        <v>Shoulder</v>
      </c>
      <c r="AF2" s="435" t="str">
        <f t="shared" si="5"/>
        <v>Shoulder</v>
      </c>
      <c r="AG2" s="437" t="str">
        <f t="shared" si="5"/>
        <v>Trough</v>
      </c>
      <c r="AH2" s="31" t="str">
        <f t="shared" si="5"/>
        <v>Trough</v>
      </c>
      <c r="AI2" s="31" t="str">
        <f t="shared" si="5"/>
        <v>Shoulder</v>
      </c>
      <c r="AJ2" s="31" t="str">
        <f t="shared" si="5"/>
        <v>Shoulder</v>
      </c>
      <c r="AK2" s="31" t="str">
        <f t="shared" si="5"/>
        <v>Peak</v>
      </c>
      <c r="AL2" s="31" t="str">
        <f t="shared" si="5"/>
        <v>Peak</v>
      </c>
      <c r="AM2" s="31" t="str">
        <f t="shared" si="5"/>
        <v>Shoulder</v>
      </c>
      <c r="AN2" s="31" t="str">
        <f t="shared" si="5"/>
        <v>Shoulder</v>
      </c>
      <c r="AO2" s="31" t="str">
        <f t="shared" si="5"/>
        <v>Trough</v>
      </c>
      <c r="AP2" s="31" t="str">
        <f t="shared" si="5"/>
        <v>Trough</v>
      </c>
      <c r="AQ2" s="188" t="str">
        <f t="shared" si="5"/>
        <v>Shoulder</v>
      </c>
      <c r="AR2" s="31" t="str">
        <f t="shared" si="5"/>
        <v>Shoulder</v>
      </c>
      <c r="AS2" s="31" t="str">
        <f t="shared" si="5"/>
        <v>Trough</v>
      </c>
      <c r="AT2" s="31" t="str">
        <f t="shared" si="5"/>
        <v>Trough</v>
      </c>
      <c r="AU2" s="31" t="str">
        <f t="shared" si="5"/>
        <v>Shoulder</v>
      </c>
      <c r="AV2" s="31" t="str">
        <f t="shared" si="5"/>
        <v>Shoulder</v>
      </c>
      <c r="AW2" s="31" t="str">
        <f t="shared" si="5"/>
        <v>Peak</v>
      </c>
      <c r="AX2" s="31" t="str">
        <f t="shared" si="5"/>
        <v>Peak</v>
      </c>
      <c r="AY2" s="31" t="str">
        <f t="shared" si="5"/>
        <v>Shoulder</v>
      </c>
      <c r="AZ2" s="31" t="str">
        <f t="shared" si="5"/>
        <v>Shoulder</v>
      </c>
      <c r="BA2" s="31" t="str">
        <f t="shared" si="5"/>
        <v>Trough</v>
      </c>
      <c r="BB2" s="31" t="str">
        <f t="shared" si="5"/>
        <v>Trough</v>
      </c>
      <c r="BC2" s="188" t="str">
        <f t="shared" si="5"/>
        <v>Shoulder</v>
      </c>
      <c r="BD2" s="31" t="str">
        <f t="shared" si="5"/>
        <v>Shoulder</v>
      </c>
      <c r="BE2" s="31" t="str">
        <f t="shared" si="5"/>
        <v>Trough</v>
      </c>
      <c r="BF2" s="31" t="str">
        <f t="shared" si="5"/>
        <v>Trough</v>
      </c>
      <c r="BG2" s="31" t="str">
        <f t="shared" si="5"/>
        <v>Shoulder</v>
      </c>
      <c r="BH2" s="31" t="str">
        <f t="shared" si="5"/>
        <v>Shoulder</v>
      </c>
      <c r="BI2" s="31" t="str">
        <f t="shared" si="5"/>
        <v>Peak</v>
      </c>
      <c r="BJ2" s="31" t="str">
        <f t="shared" si="5"/>
        <v>Peak</v>
      </c>
      <c r="BK2" s="31" t="str">
        <f t="shared" si="5"/>
        <v>Shoulder</v>
      </c>
      <c r="BL2" s="31" t="str">
        <f t="shared" si="5"/>
        <v>Shoulder</v>
      </c>
      <c r="BM2" s="31" t="str">
        <f t="shared" si="5"/>
        <v>Trough</v>
      </c>
      <c r="BN2" s="31" t="str">
        <f t="shared" si="5"/>
        <v>Trough</v>
      </c>
      <c r="BO2" s="188" t="str">
        <f t="shared" si="5"/>
        <v>Shoulder</v>
      </c>
      <c r="BP2" s="31" t="str">
        <f t="shared" si="5"/>
        <v>Shoulder</v>
      </c>
      <c r="BQ2" s="31" t="str">
        <f t="shared" si="5"/>
        <v>Trough</v>
      </c>
      <c r="BR2" s="31" t="str">
        <f t="shared" si="5"/>
        <v>Trough</v>
      </c>
      <c r="BS2" s="31" t="str">
        <f t="shared" si="5"/>
        <v>Shoulder</v>
      </c>
      <c r="BT2" s="31" t="str">
        <f t="shared" si="5"/>
        <v>Shoulder</v>
      </c>
      <c r="BU2" s="31" t="str">
        <f t="shared" si="5"/>
        <v>Peak</v>
      </c>
      <c r="BV2" s="31" t="str">
        <f t="shared" si="5"/>
        <v>Peak</v>
      </c>
      <c r="BW2" s="31" t="str">
        <f t="shared" si="5"/>
        <v>Shoulder</v>
      </c>
      <c r="BX2" s="31" t="str">
        <f t="shared" si="5"/>
        <v>Shoulder</v>
      </c>
      <c r="BY2" s="31" t="str">
        <f t="shared" si="5"/>
        <v>Trough</v>
      </c>
      <c r="BZ2" s="31" t="str">
        <f t="shared" si="5"/>
        <v>Trough</v>
      </c>
      <c r="CA2" s="188" t="str">
        <f t="shared" si="5"/>
        <v>Shoulder</v>
      </c>
      <c r="CB2" s="31" t="str">
        <f t="shared" si="5"/>
        <v>Shoulder</v>
      </c>
      <c r="CC2" s="31" t="str">
        <f t="shared" si="5"/>
        <v>Trough</v>
      </c>
      <c r="CD2" s="31" t="str">
        <f t="shared" si="5"/>
        <v>Trough</v>
      </c>
      <c r="CE2" s="31" t="str">
        <f t="shared" si="5"/>
        <v>Shoulder</v>
      </c>
      <c r="CF2" s="31" t="str">
        <f t="shared" si="5"/>
        <v>Shoulder</v>
      </c>
      <c r="CG2" s="31" t="str">
        <f t="shared" ref="CG2:CY2" si="6">+BU2</f>
        <v>Peak</v>
      </c>
      <c r="CH2" s="31" t="str">
        <f t="shared" si="6"/>
        <v>Peak</v>
      </c>
      <c r="CI2" s="31" t="str">
        <f t="shared" si="6"/>
        <v>Shoulder</v>
      </c>
      <c r="CJ2" s="31" t="str">
        <f t="shared" si="6"/>
        <v>Shoulder</v>
      </c>
      <c r="CK2" s="31" t="str">
        <f t="shared" si="6"/>
        <v>Trough</v>
      </c>
      <c r="CL2" s="31" t="str">
        <f t="shared" si="6"/>
        <v>Trough</v>
      </c>
      <c r="CM2" s="188" t="str">
        <f t="shared" si="6"/>
        <v>Shoulder</v>
      </c>
      <c r="CN2" s="31" t="str">
        <f t="shared" si="6"/>
        <v>Shoulder</v>
      </c>
      <c r="CO2" s="31" t="str">
        <f t="shared" si="6"/>
        <v>Trough</v>
      </c>
      <c r="CP2" s="31" t="str">
        <f t="shared" si="6"/>
        <v>Trough</v>
      </c>
      <c r="CQ2" s="31" t="str">
        <f t="shared" si="6"/>
        <v>Shoulder</v>
      </c>
      <c r="CR2" s="31" t="str">
        <f t="shared" si="6"/>
        <v>Shoulder</v>
      </c>
      <c r="CS2" s="31" t="str">
        <f t="shared" si="6"/>
        <v>Peak</v>
      </c>
      <c r="CT2" s="31" t="str">
        <f t="shared" si="6"/>
        <v>Peak</v>
      </c>
      <c r="CU2" s="31" t="str">
        <f t="shared" si="6"/>
        <v>Shoulder</v>
      </c>
      <c r="CV2" s="31" t="str">
        <f t="shared" si="6"/>
        <v>Shoulder</v>
      </c>
      <c r="CW2" s="31" t="str">
        <f t="shared" si="6"/>
        <v>Trough</v>
      </c>
      <c r="CX2" s="31" t="str">
        <f t="shared" si="6"/>
        <v>Trough</v>
      </c>
      <c r="CY2" s="31" t="str">
        <f t="shared" si="6"/>
        <v>Shoulder</v>
      </c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</row>
    <row r="3" spans="1:114" x14ac:dyDescent="0.3">
      <c r="A3" s="30"/>
      <c r="B3" s="30"/>
      <c r="C3" s="614"/>
      <c r="D3" s="165"/>
      <c r="E3" s="165" t="str">
        <f>+"Q4 "&amp;E1</f>
        <v>Q4 2022</v>
      </c>
      <c r="F3" s="165" t="str">
        <f>+"Q4 "&amp;F1</f>
        <v>Q4 2022</v>
      </c>
      <c r="G3" s="165" t="str">
        <f>+"Q4 "&amp;G1</f>
        <v>Q4 2022</v>
      </c>
      <c r="H3" s="165" t="str">
        <f>+"Q1 "&amp;H1</f>
        <v>Q1 2023</v>
      </c>
      <c r="I3" s="165" t="str">
        <f>+"Q1 "&amp;I1</f>
        <v>Q1 2023</v>
      </c>
      <c r="J3" s="165" t="str">
        <f>+"Q1 "&amp;J1</f>
        <v>Q1 2023</v>
      </c>
      <c r="K3" s="165" t="str">
        <f>+"Q2 "&amp;K1</f>
        <v>Q2 2023</v>
      </c>
      <c r="L3" s="165" t="str">
        <f>+"Q2 "&amp;L1</f>
        <v>Q2 2023</v>
      </c>
      <c r="M3" s="165" t="str">
        <f>+"Q2 "&amp;M1</f>
        <v>Q2 2023</v>
      </c>
      <c r="N3" s="165" t="str">
        <f>+"Q3 "&amp;N1</f>
        <v>Q3 2023</v>
      </c>
      <c r="O3" s="165" t="str">
        <f>+"Q3 "&amp;O1</f>
        <v>Q3 2023</v>
      </c>
      <c r="P3" s="165" t="str">
        <f>+"Q3 "&amp;P1</f>
        <v>Q3 2023</v>
      </c>
      <c r="Q3" s="165" t="str">
        <f>+"Q4 "&amp;Q1</f>
        <v>Q4 2023</v>
      </c>
      <c r="R3" s="165" t="str">
        <f>+"Q4 "&amp;R1</f>
        <v>Q4 2023</v>
      </c>
      <c r="S3" s="165" t="str">
        <f>+"Q4 "&amp;S1</f>
        <v>Q4 2023</v>
      </c>
      <c r="T3" s="165" t="str">
        <f>+"Q1 "&amp;T1</f>
        <v>Q1 2024</v>
      </c>
      <c r="U3" s="165" t="str">
        <f>+"Q1 "&amp;U1</f>
        <v>Q1 2024</v>
      </c>
      <c r="V3" s="165" t="str">
        <f>+"Q1 "&amp;V1</f>
        <v>Q1 2024</v>
      </c>
      <c r="W3" s="165" t="str">
        <f>+"Q2 "&amp;W1</f>
        <v>Q2 2024</v>
      </c>
      <c r="X3" s="189" t="str">
        <f>+"Q2 "&amp;X1</f>
        <v>Q2 2024</v>
      </c>
      <c r="Y3" s="165" t="str">
        <f>+"Q2 "&amp;Y1</f>
        <v>Q2 2024</v>
      </c>
      <c r="Z3" s="165" t="str">
        <f>+"Q2 "&amp;Z1</f>
        <v>Q2 2024</v>
      </c>
      <c r="AA3" s="165" t="str">
        <f>+"Q3 "&amp;AA1</f>
        <v>Q3 2024</v>
      </c>
      <c r="AB3" s="165" t="str">
        <f>+"Q3 "&amp;AB1</f>
        <v>Q3 2024</v>
      </c>
      <c r="AC3" s="189" t="str">
        <f>+"Q4 "&amp;AC1</f>
        <v>Q4 2024</v>
      </c>
      <c r="AD3" s="165" t="str">
        <f>+"Q4 "&amp;AD1</f>
        <v>Q4 2024</v>
      </c>
      <c r="AE3" s="615" t="str">
        <f>+"Q4 "&amp;AE1</f>
        <v>Q4 2024</v>
      </c>
      <c r="AF3" s="165" t="str">
        <f>+"Q1 "&amp;AF1</f>
        <v>Q1 2025</v>
      </c>
      <c r="AG3" s="165" t="str">
        <f>+"Q1 "&amp;AG1</f>
        <v>Q1 2025</v>
      </c>
      <c r="AH3" s="165" t="str">
        <f>+"Q1 "&amp;AH1</f>
        <v>Q1 2025</v>
      </c>
      <c r="AI3" s="165" t="str">
        <f>+"Q2 "&amp;AI1</f>
        <v>Q2 2025</v>
      </c>
      <c r="AJ3" s="165" t="str">
        <f>+"Q2 "&amp;AJ1</f>
        <v>Q2 2025</v>
      </c>
      <c r="AK3" s="165" t="str">
        <f>+"Q2 "&amp;AK1</f>
        <v>Q2 2025</v>
      </c>
      <c r="AL3" s="165" t="str">
        <f>+"Q3 "&amp;AL1</f>
        <v>Q3 2025</v>
      </c>
      <c r="AM3" s="165" t="str">
        <f>+"Q3 "&amp;AM1</f>
        <v>Q3 2025</v>
      </c>
      <c r="AN3" s="165" t="str">
        <f>+"Q3 "&amp;AN1</f>
        <v>Q3 2025</v>
      </c>
      <c r="AO3" s="165" t="str">
        <f>+"Q4 "&amp;AO1</f>
        <v>Q4 2025</v>
      </c>
      <c r="AP3" s="165" t="str">
        <f>+"Q4 "&amp;AP1</f>
        <v>Q4 2025</v>
      </c>
      <c r="AQ3" s="189" t="str">
        <f>+"Q4 "&amp;AQ1</f>
        <v>Q4 2025</v>
      </c>
      <c r="AR3" s="165" t="str">
        <f>+"Q1 "&amp;AR1</f>
        <v>Q1 2026</v>
      </c>
      <c r="AS3" s="165" t="str">
        <f>+"Q1 "&amp;AS1</f>
        <v>Q1 2026</v>
      </c>
      <c r="AT3" s="165" t="str">
        <f>+"Q1 "&amp;AT1</f>
        <v>Q1 2026</v>
      </c>
      <c r="AU3" s="165" t="str">
        <f>+"Q2 "&amp;AU1</f>
        <v>Q2 2026</v>
      </c>
      <c r="AV3" s="165" t="str">
        <f>+"Q2 "&amp;AV1</f>
        <v>Q2 2026</v>
      </c>
      <c r="AW3" s="165" t="str">
        <f>+"Q2 "&amp;AW1</f>
        <v>Q2 2026</v>
      </c>
      <c r="AX3" s="165" t="str">
        <f>+"Q3 "&amp;AX1</f>
        <v>Q3 2026</v>
      </c>
      <c r="AY3" s="165" t="str">
        <f>+"Q3 "&amp;AY1</f>
        <v>Q3 2026</v>
      </c>
      <c r="AZ3" s="165" t="str">
        <f>+"Q3 "&amp;AZ1</f>
        <v>Q3 2026</v>
      </c>
      <c r="BA3" s="165" t="str">
        <f>+"Q4 "&amp;BA1</f>
        <v>Q4 2026</v>
      </c>
      <c r="BB3" s="165" t="str">
        <f>+"Q4 "&amp;BB1</f>
        <v>Q4 2026</v>
      </c>
      <c r="BC3" s="189" t="str">
        <f>+"Q4 "&amp;BC1</f>
        <v>Q4 2026</v>
      </c>
      <c r="BD3" s="165" t="str">
        <f>+"Q1 "&amp;BD1</f>
        <v>Q1 2027</v>
      </c>
      <c r="BE3" s="165" t="str">
        <f>+"Q1 "&amp;BE1</f>
        <v>Q1 2027</v>
      </c>
      <c r="BF3" s="165" t="str">
        <f>+"Q1 "&amp;BF1</f>
        <v>Q1 2027</v>
      </c>
      <c r="BG3" s="165" t="str">
        <f>+"Q2 "&amp;BG1</f>
        <v>Q2 2027</v>
      </c>
      <c r="BH3" s="165" t="str">
        <f>+"Q2 "&amp;BH1</f>
        <v>Q2 2027</v>
      </c>
      <c r="BI3" s="165" t="str">
        <f>+"Q2 "&amp;BI1</f>
        <v>Q2 2027</v>
      </c>
      <c r="BJ3" s="165" t="str">
        <f>+"Q3 "&amp;BJ1</f>
        <v>Q3 2027</v>
      </c>
      <c r="BK3" s="165" t="str">
        <f>+"Q3 "&amp;BK1</f>
        <v>Q3 2027</v>
      </c>
      <c r="BL3" s="165" t="str">
        <f>+"Q3 "&amp;BL1</f>
        <v>Q3 2027</v>
      </c>
      <c r="BM3" s="165" t="str">
        <f>+"Q4 "&amp;BM1</f>
        <v>Q4 2027</v>
      </c>
      <c r="BN3" s="165" t="str">
        <f>+"Q4 "&amp;BN1</f>
        <v>Q4 2027</v>
      </c>
      <c r="BO3" s="189" t="str">
        <f>+"Q4 "&amp;BO1</f>
        <v>Q4 2027</v>
      </c>
      <c r="BP3" s="165" t="str">
        <f>+"Q1 "&amp;BP1</f>
        <v>Q1 2028</v>
      </c>
      <c r="BQ3" s="165" t="str">
        <f>+"Q1 "&amp;BQ1</f>
        <v>Q1 2028</v>
      </c>
      <c r="BR3" s="165" t="str">
        <f>+"Q1 "&amp;BR1</f>
        <v>Q1 2028</v>
      </c>
      <c r="BS3" s="165" t="str">
        <f>+"Q2 "&amp;BS1</f>
        <v>Q2 2028</v>
      </c>
      <c r="BT3" s="165" t="str">
        <f>+"Q2 "&amp;BT1</f>
        <v>Q2 2028</v>
      </c>
      <c r="BU3" s="165" t="str">
        <f>+"Q2 "&amp;BU1</f>
        <v>Q2 2028</v>
      </c>
      <c r="BV3" s="165" t="str">
        <f>+"Q3 "&amp;BV1</f>
        <v>Q3 2028</v>
      </c>
      <c r="BW3" s="165" t="str">
        <f>+"Q3 "&amp;BW1</f>
        <v>Q3 2028</v>
      </c>
      <c r="BX3" s="165" t="str">
        <f>+"Q3 "&amp;BX1</f>
        <v>Q3 2028</v>
      </c>
      <c r="BY3" s="165" t="str">
        <f>+"Q4 "&amp;BY1</f>
        <v>Q4 2028</v>
      </c>
      <c r="BZ3" s="165" t="str">
        <f>+"Q4 "&amp;BZ1</f>
        <v>Q4 2028</v>
      </c>
      <c r="CA3" s="189" t="str">
        <f>+"Q4 "&amp;CA1</f>
        <v>Q4 2028</v>
      </c>
      <c r="CB3" s="165" t="str">
        <f>+"Q1 "&amp;CB1</f>
        <v>Q1 2029</v>
      </c>
      <c r="CC3" s="165" t="str">
        <f>+"Q1 "&amp;CC1</f>
        <v>Q1 2029</v>
      </c>
      <c r="CD3" s="165" t="str">
        <f>+"Q1 "&amp;CD1</f>
        <v>Q1 2029</v>
      </c>
      <c r="CE3" s="165" t="str">
        <f>+"Q2 "&amp;CE1</f>
        <v>Q2 2029</v>
      </c>
      <c r="CF3" s="165" t="str">
        <f>+"Q2 "&amp;CF1</f>
        <v>Q2 2029</v>
      </c>
      <c r="CG3" s="165" t="str">
        <f>+"Q2 "&amp;CG1</f>
        <v>Q2 2029</v>
      </c>
      <c r="CH3" s="165" t="str">
        <f>+"Q3 "&amp;CH1</f>
        <v>Q3 2029</v>
      </c>
      <c r="CI3" s="165" t="str">
        <f>+"Q3 "&amp;CI1</f>
        <v>Q3 2029</v>
      </c>
      <c r="CJ3" s="165" t="str">
        <f>+"Q3 "&amp;CJ1</f>
        <v>Q3 2029</v>
      </c>
      <c r="CK3" s="165" t="str">
        <f>+"Q4 "&amp;CK1</f>
        <v>Q4 2029</v>
      </c>
      <c r="CL3" s="165" t="str">
        <f>+"Q4 "&amp;CL1</f>
        <v>Q4 2029</v>
      </c>
      <c r="CM3" s="189" t="str">
        <f>+"Q4 "&amp;CM1</f>
        <v>Q4 2029</v>
      </c>
      <c r="CN3" s="165" t="str">
        <f>+"Q1 "&amp;CN1</f>
        <v>Q1 2030</v>
      </c>
      <c r="CO3" s="165" t="str">
        <f>+"Q1 "&amp;CO1</f>
        <v>Q1 2030</v>
      </c>
      <c r="CP3" s="165" t="str">
        <f>+"Q1 "&amp;CP1</f>
        <v>Q1 2030</v>
      </c>
      <c r="CQ3" s="165" t="str">
        <f>+"Q2 "&amp;CQ1</f>
        <v>Q2 2030</v>
      </c>
      <c r="CR3" s="165" t="str">
        <f>+"Q2 "&amp;CR1</f>
        <v>Q2 2030</v>
      </c>
      <c r="CS3" s="165" t="str">
        <f>+"Q2 "&amp;CS1</f>
        <v>Q2 2030</v>
      </c>
      <c r="CT3" s="165" t="str">
        <f>+"Q3 "&amp;CT1</f>
        <v>Q3 2030</v>
      </c>
      <c r="CU3" s="165" t="str">
        <f>+"Q3 "&amp;CU1</f>
        <v>Q3 2030</v>
      </c>
      <c r="CV3" s="165" t="str">
        <f>+"Q3 "&amp;CV1</f>
        <v>Q3 2030</v>
      </c>
      <c r="CW3" s="165" t="str">
        <f>+"Q4 "&amp;CW1</f>
        <v>Q4 2030</v>
      </c>
      <c r="CX3" s="165" t="str">
        <f>+"Q4 "&amp;CX1</f>
        <v>Q4 2030</v>
      </c>
      <c r="CY3" s="165" t="str">
        <f>+"Q4 "&amp;CY1</f>
        <v>Q4 2030</v>
      </c>
      <c r="CZ3" s="31"/>
      <c r="DA3" s="31"/>
      <c r="DB3" s="31"/>
    </row>
    <row r="4" spans="1:114" ht="15" thickBot="1" x14ac:dyDescent="0.35">
      <c r="A4" s="32"/>
      <c r="B4" s="33"/>
      <c r="C4" s="616"/>
      <c r="D4" s="34"/>
      <c r="E4" s="34">
        <v>44865</v>
      </c>
      <c r="F4" s="34">
        <v>44895</v>
      </c>
      <c r="G4" s="34">
        <v>44926</v>
      </c>
      <c r="H4" s="163">
        <v>44957</v>
      </c>
      <c r="I4" s="34">
        <v>44985</v>
      </c>
      <c r="J4" s="34">
        <v>45016</v>
      </c>
      <c r="K4" s="34">
        <v>45046</v>
      </c>
      <c r="L4" s="34">
        <v>45077</v>
      </c>
      <c r="M4" s="34">
        <v>45107</v>
      </c>
      <c r="N4" s="34">
        <v>45138</v>
      </c>
      <c r="O4" s="34">
        <v>45169</v>
      </c>
      <c r="P4" s="34">
        <v>45199</v>
      </c>
      <c r="Q4" s="34">
        <v>45230</v>
      </c>
      <c r="R4" s="34">
        <v>45260</v>
      </c>
      <c r="S4" s="34">
        <v>45291</v>
      </c>
      <c r="T4" s="34">
        <v>45322</v>
      </c>
      <c r="U4" s="34">
        <v>45351</v>
      </c>
      <c r="V4" s="34">
        <v>45382</v>
      </c>
      <c r="W4" s="34">
        <v>45412</v>
      </c>
      <c r="X4" s="190">
        <v>45443</v>
      </c>
      <c r="Y4" s="34">
        <v>45473</v>
      </c>
      <c r="Z4" s="34">
        <v>45504</v>
      </c>
      <c r="AA4" s="34">
        <v>45535</v>
      </c>
      <c r="AB4" s="34">
        <v>45565</v>
      </c>
      <c r="AC4" s="190">
        <v>45596</v>
      </c>
      <c r="AD4" s="34">
        <v>45626</v>
      </c>
      <c r="AE4" s="54">
        <v>45657</v>
      </c>
      <c r="AF4" s="34">
        <v>45688</v>
      </c>
      <c r="AG4" s="34">
        <v>45716</v>
      </c>
      <c r="AH4" s="34">
        <v>45747</v>
      </c>
      <c r="AI4" s="34">
        <v>45777</v>
      </c>
      <c r="AJ4" s="34">
        <v>45808</v>
      </c>
      <c r="AK4" s="34">
        <v>45838</v>
      </c>
      <c r="AL4" s="34">
        <v>45869</v>
      </c>
      <c r="AM4" s="34">
        <v>45900</v>
      </c>
      <c r="AN4" s="34">
        <v>45930</v>
      </c>
      <c r="AO4" s="34">
        <v>45961</v>
      </c>
      <c r="AP4" s="34">
        <v>45991</v>
      </c>
      <c r="AQ4" s="190">
        <v>46022</v>
      </c>
      <c r="AR4" s="34">
        <v>46053</v>
      </c>
      <c r="AS4" s="34">
        <v>46081</v>
      </c>
      <c r="AT4" s="34">
        <v>46112</v>
      </c>
      <c r="AU4" s="34">
        <v>46142</v>
      </c>
      <c r="AV4" s="34">
        <v>46173</v>
      </c>
      <c r="AW4" s="34">
        <v>46203</v>
      </c>
      <c r="AX4" s="34">
        <v>46234</v>
      </c>
      <c r="AY4" s="34">
        <v>46265</v>
      </c>
      <c r="AZ4" s="34">
        <v>46295</v>
      </c>
      <c r="BA4" s="34">
        <v>46326</v>
      </c>
      <c r="BB4" s="34">
        <v>46356</v>
      </c>
      <c r="BC4" s="190">
        <v>46387</v>
      </c>
      <c r="BD4" s="34">
        <v>46418</v>
      </c>
      <c r="BE4" s="34">
        <v>46446</v>
      </c>
      <c r="BF4" s="34">
        <v>46477</v>
      </c>
      <c r="BG4" s="34">
        <v>46507</v>
      </c>
      <c r="BH4" s="34">
        <v>46538</v>
      </c>
      <c r="BI4" s="34">
        <v>46568</v>
      </c>
      <c r="BJ4" s="34">
        <v>46599</v>
      </c>
      <c r="BK4" s="34">
        <v>46630</v>
      </c>
      <c r="BL4" s="34">
        <v>46660</v>
      </c>
      <c r="BM4" s="34">
        <v>46691</v>
      </c>
      <c r="BN4" s="34">
        <v>46721</v>
      </c>
      <c r="BO4" s="190">
        <v>46752</v>
      </c>
      <c r="BP4" s="34">
        <v>46783</v>
      </c>
      <c r="BQ4" s="34">
        <v>46812</v>
      </c>
      <c r="BR4" s="34">
        <v>46843</v>
      </c>
      <c r="BS4" s="34">
        <v>46873</v>
      </c>
      <c r="BT4" s="34">
        <v>46904</v>
      </c>
      <c r="BU4" s="34">
        <v>46934</v>
      </c>
      <c r="BV4" s="34">
        <v>46965</v>
      </c>
      <c r="BW4" s="34">
        <v>46996</v>
      </c>
      <c r="BX4" s="34">
        <v>47026</v>
      </c>
      <c r="BY4" s="34">
        <v>47057</v>
      </c>
      <c r="BZ4" s="34">
        <v>47087</v>
      </c>
      <c r="CA4" s="190">
        <v>47118</v>
      </c>
      <c r="CB4" s="34">
        <v>47149</v>
      </c>
      <c r="CC4" s="34">
        <v>47177</v>
      </c>
      <c r="CD4" s="34">
        <v>47208</v>
      </c>
      <c r="CE4" s="34">
        <v>47238</v>
      </c>
      <c r="CF4" s="34">
        <v>47269</v>
      </c>
      <c r="CG4" s="34">
        <v>47299</v>
      </c>
      <c r="CH4" s="34">
        <v>47330</v>
      </c>
      <c r="CI4" s="34">
        <v>47361</v>
      </c>
      <c r="CJ4" s="34">
        <v>47391</v>
      </c>
      <c r="CK4" s="34">
        <v>47422</v>
      </c>
      <c r="CL4" s="34">
        <v>47452</v>
      </c>
      <c r="CM4" s="190">
        <v>47483</v>
      </c>
      <c r="CN4" s="34">
        <v>47514</v>
      </c>
      <c r="CO4" s="34">
        <v>47542</v>
      </c>
      <c r="CP4" s="34">
        <v>47573</v>
      </c>
      <c r="CQ4" s="34">
        <v>47603</v>
      </c>
      <c r="CR4" s="34">
        <v>47634</v>
      </c>
      <c r="CS4" s="34">
        <v>47664</v>
      </c>
      <c r="CT4" s="34">
        <v>47695</v>
      </c>
      <c r="CU4" s="34">
        <v>47726</v>
      </c>
      <c r="CV4" s="34">
        <v>47756</v>
      </c>
      <c r="CW4" s="34">
        <v>47787</v>
      </c>
      <c r="CX4" s="34">
        <v>47817</v>
      </c>
      <c r="CY4" s="34">
        <v>47848</v>
      </c>
      <c r="CZ4" s="34"/>
      <c r="DA4" s="34"/>
      <c r="DB4" s="54"/>
    </row>
    <row r="5" spans="1:114" hidden="1" x14ac:dyDescent="0.3">
      <c r="B5" s="1" t="s">
        <v>1</v>
      </c>
      <c r="C5" s="617"/>
      <c r="D5" s="1"/>
      <c r="E5" s="2"/>
      <c r="F5" s="2"/>
      <c r="G5" s="2"/>
      <c r="H5" s="2"/>
      <c r="AC5" s="191"/>
      <c r="AE5" s="97"/>
    </row>
    <row r="6" spans="1:114" s="113" customFormat="1" hidden="1" x14ac:dyDescent="0.3">
      <c r="A6"/>
      <c r="B6" s="1" t="s">
        <v>291</v>
      </c>
      <c r="C6" s="617"/>
      <c r="D6" s="115"/>
      <c r="E6" s="115">
        <v>0</v>
      </c>
      <c r="F6" s="115"/>
      <c r="G6" s="160"/>
      <c r="H6" s="160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92"/>
      <c r="AD6" s="115"/>
      <c r="AE6" s="322"/>
      <c r="AQ6" s="192"/>
      <c r="BC6" s="192"/>
      <c r="BO6" s="192"/>
      <c r="CA6" s="192"/>
      <c r="CM6" s="192"/>
    </row>
    <row r="7" spans="1:114" s="113" customFormat="1" hidden="1" x14ac:dyDescent="0.3">
      <c r="A7"/>
      <c r="B7" s="1" t="s">
        <v>290</v>
      </c>
      <c r="C7" s="617"/>
      <c r="D7" s="115"/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5">
        <v>0</v>
      </c>
      <c r="O7" s="115">
        <v>0</v>
      </c>
      <c r="P7" s="115">
        <v>0</v>
      </c>
      <c r="Q7" s="115">
        <v>0</v>
      </c>
      <c r="R7" s="115">
        <v>0</v>
      </c>
      <c r="S7" s="115">
        <v>0</v>
      </c>
      <c r="T7" s="115">
        <v>0</v>
      </c>
      <c r="U7" s="115">
        <v>370</v>
      </c>
      <c r="V7" s="115">
        <v>510</v>
      </c>
      <c r="W7" s="115"/>
      <c r="X7" s="115">
        <v>800</v>
      </c>
      <c r="Y7" s="115">
        <v>890</v>
      </c>
      <c r="Z7" s="115">
        <v>1710</v>
      </c>
      <c r="AA7" s="115">
        <v>720</v>
      </c>
      <c r="AB7" s="115">
        <v>1705</v>
      </c>
      <c r="AC7" s="192">
        <v>810</v>
      </c>
      <c r="AD7" s="115"/>
      <c r="AE7" s="322"/>
      <c r="AQ7" s="192"/>
      <c r="BC7" s="192"/>
      <c r="BO7" s="192"/>
      <c r="CA7" s="192"/>
      <c r="CM7" s="192"/>
    </row>
    <row r="8" spans="1:114" s="113" customFormat="1" hidden="1" x14ac:dyDescent="0.3">
      <c r="A8"/>
      <c r="B8" s="1" t="s">
        <v>347</v>
      </c>
      <c r="C8" s="617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>
        <v>850</v>
      </c>
      <c r="Y8" s="115">
        <v>1305</v>
      </c>
      <c r="Z8" s="115">
        <v>470</v>
      </c>
      <c r="AA8" s="115"/>
      <c r="AB8" s="115"/>
      <c r="AC8" s="192"/>
      <c r="AD8" s="115"/>
      <c r="AE8" s="322"/>
      <c r="AQ8" s="192"/>
      <c r="BC8" s="192"/>
      <c r="BO8" s="192"/>
      <c r="CA8" s="192"/>
      <c r="CM8" s="192"/>
    </row>
    <row r="9" spans="1:114" s="113" customFormat="1" hidden="1" x14ac:dyDescent="0.3">
      <c r="A9"/>
      <c r="B9" s="1" t="s">
        <v>338</v>
      </c>
      <c r="C9" s="617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>
        <v>1750</v>
      </c>
      <c r="Z9" s="115">
        <v>2562.94</v>
      </c>
      <c r="AA9" s="115"/>
      <c r="AB9" s="115"/>
      <c r="AC9" s="192"/>
      <c r="AD9" s="115"/>
      <c r="AE9" s="322"/>
      <c r="AQ9" s="192"/>
      <c r="BC9" s="192"/>
      <c r="BO9" s="192"/>
      <c r="CA9" s="192"/>
      <c r="CM9" s="192"/>
    </row>
    <row r="10" spans="1:114" s="3" customFormat="1" hidden="1" x14ac:dyDescent="0.3">
      <c r="B10" s="4" t="s">
        <v>292</v>
      </c>
      <c r="C10" s="618"/>
      <c r="D10" s="56"/>
      <c r="E10" s="56">
        <f t="shared" ref="E10:S10" si="7">SUM(E7:E7)</f>
        <v>0</v>
      </c>
      <c r="F10" s="56">
        <f t="shared" si="7"/>
        <v>0</v>
      </c>
      <c r="G10" s="56">
        <f t="shared" si="7"/>
        <v>0</v>
      </c>
      <c r="H10" s="56">
        <f t="shared" si="7"/>
        <v>0</v>
      </c>
      <c r="I10" s="56">
        <f t="shared" si="7"/>
        <v>0</v>
      </c>
      <c r="J10" s="56">
        <f t="shared" si="7"/>
        <v>0</v>
      </c>
      <c r="K10" s="56">
        <f t="shared" si="7"/>
        <v>0</v>
      </c>
      <c r="L10" s="56">
        <f t="shared" si="7"/>
        <v>0</v>
      </c>
      <c r="M10" s="56">
        <f t="shared" si="7"/>
        <v>0</v>
      </c>
      <c r="N10" s="56">
        <f t="shared" si="7"/>
        <v>0</v>
      </c>
      <c r="O10" s="56">
        <f t="shared" si="7"/>
        <v>0</v>
      </c>
      <c r="P10" s="56">
        <f t="shared" si="7"/>
        <v>0</v>
      </c>
      <c r="Q10" s="56">
        <f t="shared" si="7"/>
        <v>0</v>
      </c>
      <c r="R10" s="56">
        <f t="shared" si="7"/>
        <v>0</v>
      </c>
      <c r="S10" s="56">
        <f t="shared" si="7"/>
        <v>0</v>
      </c>
      <c r="T10" s="56">
        <f t="shared" ref="T10:X10" si="8">SUM(T7:T9)</f>
        <v>0</v>
      </c>
      <c r="U10" s="56">
        <f t="shared" si="8"/>
        <v>370</v>
      </c>
      <c r="V10" s="56">
        <f t="shared" si="8"/>
        <v>510</v>
      </c>
      <c r="W10" s="56">
        <f t="shared" si="8"/>
        <v>0</v>
      </c>
      <c r="X10" s="56">
        <f t="shared" si="8"/>
        <v>1650</v>
      </c>
      <c r="Y10" s="56">
        <f>SUM(Y7:Y9)</f>
        <v>3945</v>
      </c>
      <c r="Z10" s="56">
        <f>SUM(Z7:Z9)</f>
        <v>4742.9400000000005</v>
      </c>
      <c r="AA10" s="56">
        <f>SUM(AA7:AA9)</f>
        <v>720</v>
      </c>
      <c r="AB10" s="56">
        <f>SUM(AB7:AB9)</f>
        <v>1705</v>
      </c>
      <c r="AC10" s="193">
        <f>SUM(AC7:AC9)</f>
        <v>810</v>
      </c>
      <c r="AD10" s="65">
        <f>+'Revenue Build'!P26</f>
        <v>2360</v>
      </c>
      <c r="AE10" s="619">
        <f>+'Revenue Build'!Q26</f>
        <v>5180</v>
      </c>
      <c r="AF10" s="65">
        <f>+'Revenue Build'!R26</f>
        <v>5979.5</v>
      </c>
      <c r="AG10" s="65">
        <f>+'Revenue Build'!S26</f>
        <v>6424.2</v>
      </c>
      <c r="AH10" s="65">
        <f>+'Revenue Build'!T26</f>
        <v>5123.5199999999995</v>
      </c>
      <c r="AI10" s="65">
        <f>+'Revenue Build'!U26</f>
        <v>6888.1119999999992</v>
      </c>
      <c r="AJ10" s="65">
        <f>+'Revenue Build'!V26</f>
        <v>7211.8671999999988</v>
      </c>
      <c r="AK10" s="65">
        <f>+'Revenue Build'!W26</f>
        <v>23796.120319999998</v>
      </c>
      <c r="AL10" s="65">
        <f>+'Revenue Build'!X26</f>
        <v>24979.672191999998</v>
      </c>
      <c r="AM10" s="65">
        <f>+'Revenue Build'!Y26</f>
        <v>8213.8033151999989</v>
      </c>
      <c r="AN10" s="65">
        <f>+'Revenue Build'!Z26</f>
        <v>8479.7819891199979</v>
      </c>
      <c r="AO10" s="65">
        <f>+'Revenue Build'!AA26</f>
        <v>8576.8691934719991</v>
      </c>
      <c r="AP10" s="65">
        <f>+'Revenue Build'!AB26</f>
        <v>6737.6215160831989</v>
      </c>
      <c r="AQ10" s="292">
        <f>+'Revenue Build'!AC26</f>
        <v>8731.5729096499199</v>
      </c>
      <c r="AR10" s="65">
        <f>+'Revenue Build'!AD26</f>
        <v>8995.4437457899512</v>
      </c>
      <c r="AS10" s="65">
        <f>+'Revenue Build'!AE26</f>
        <v>8916.26624747397</v>
      </c>
      <c r="AT10" s="65">
        <f>+'Revenue Build'!AF26</f>
        <v>6896.2597484843809</v>
      </c>
      <c r="AU10" s="65">
        <f>+'Revenue Build'!AG26</f>
        <v>9089.2558490906267</v>
      </c>
      <c r="AV10" s="65">
        <f>+'Revenue Build'!AH26</f>
        <v>9232.5535094543757</v>
      </c>
      <c r="AW10" s="65">
        <f>+'Revenue Build'!AI26</f>
        <v>30256.032105672628</v>
      </c>
      <c r="AX10" s="65">
        <f>+'Revenue Build'!AJ26</f>
        <v>31739.619263403572</v>
      </c>
      <c r="AY10" s="65">
        <f>+'Revenue Build'!AK26</f>
        <v>10427.771558042143</v>
      </c>
      <c r="AZ10" s="65">
        <f>+'Revenue Build'!AL26</f>
        <v>10720.662934825286</v>
      </c>
      <c r="BA10" s="65">
        <f>+'Revenue Build'!AM26</f>
        <v>10826.397760895172</v>
      </c>
      <c r="BB10" s="65">
        <f>+'Revenue Build'!AN26</f>
        <v>8479.8386565371038</v>
      </c>
      <c r="BC10" s="292">
        <f>+'Revenue Build'!AO26</f>
        <v>11001.903193922262</v>
      </c>
      <c r="BD10" s="65">
        <f>+'Revenue Build'!AP26</f>
        <v>11280.141916353357</v>
      </c>
      <c r="BE10" s="65">
        <f>+'Revenue Build'!AQ26</f>
        <v>11377.085149812016</v>
      </c>
      <c r="BF10" s="65">
        <f>+'Revenue Build'!AR26</f>
        <v>8925.2510898872097</v>
      </c>
      <c r="BG10" s="65">
        <f>+'Revenue Build'!AS26</f>
        <v>11544.150653932325</v>
      </c>
      <c r="BH10" s="65">
        <f>+'Revenue Build'!AT26</f>
        <v>11820.490392359396</v>
      </c>
      <c r="BI10" s="65">
        <f>+'Revenue Build'!AU26</f>
        <v>38456.29423541564</v>
      </c>
      <c r="BJ10" s="65">
        <f>+'Revenue Build'!AV26</f>
        <v>40238.776541249383</v>
      </c>
      <c r="BK10" s="65">
        <f>+'Revenue Build'!AW26</f>
        <v>13217.765924749627</v>
      </c>
      <c r="BL10" s="65">
        <f>+'Revenue Build'!AX26</f>
        <v>13537.159554849775</v>
      </c>
      <c r="BM10" s="65">
        <f>+'Revenue Build'!AY26</f>
        <v>13638.795732909864</v>
      </c>
      <c r="BN10" s="65">
        <f>+'Revenue Build'!AZ26</f>
        <v>10659.777439745918</v>
      </c>
      <c r="BO10" s="292">
        <f>+'Revenue Build'!BA26</f>
        <v>14009.866463847547</v>
      </c>
      <c r="BP10" s="65">
        <f>+'Revenue Build'!BB26</f>
        <v>14244.919878308527</v>
      </c>
      <c r="BQ10" s="65">
        <f>+'Revenue Build'!BC26</f>
        <v>14288.451926985113</v>
      </c>
      <c r="BR10" s="65">
        <f>+'Revenue Build'!BD26</f>
        <v>11149.571156191067</v>
      </c>
      <c r="BS10" s="65">
        <f>+'Revenue Build'!BE26</f>
        <v>14603.742693714637</v>
      </c>
      <c r="BT10" s="65">
        <f>+'Revenue Build'!BF26</f>
        <v>14826.24561622878</v>
      </c>
      <c r="BU10" s="65">
        <f>+'Revenue Build'!BG26</f>
        <v>48559.74736973727</v>
      </c>
      <c r="BV10" s="65">
        <f>+'Revenue Build'!BH26</f>
        <v>50808.848421842355</v>
      </c>
      <c r="BW10" s="65">
        <f>+'Revenue Build'!BI26</f>
        <v>16561.309053105411</v>
      </c>
      <c r="BX10" s="65">
        <f>+'Revenue Build'!BJ26</f>
        <v>17120.785431863245</v>
      </c>
      <c r="BY10" s="65">
        <f>+'Revenue Build'!BK26</f>
        <v>17343.971259117941</v>
      </c>
      <c r="BZ10" s="65">
        <f>+'Revenue Build'!BL26</f>
        <v>13437.882755470762</v>
      </c>
      <c r="CA10" s="292">
        <f>+'Revenue Build'!BM26</f>
        <v>17564.229653282455</v>
      </c>
      <c r="CB10" s="65">
        <f>+'Revenue Build'!BN26</f>
        <v>17950.037791969469</v>
      </c>
      <c r="CC10" s="65">
        <f>+'Revenue Build'!BO26</f>
        <v>18076.522675181681</v>
      </c>
      <c r="CD10" s="65">
        <f>+'Revenue Build'!BP26</f>
        <v>14137.413605109006</v>
      </c>
      <c r="CE10" s="65">
        <f>+'Revenue Build'!BQ26</f>
        <v>18308.948163065401</v>
      </c>
      <c r="CF10" s="65">
        <f>+'Revenue Build'!BR26</f>
        <v>18644.368897839238</v>
      </c>
      <c r="CG10" s="65">
        <f>+'Revenue Build'!BS26</f>
        <v>61163.121338703539</v>
      </c>
      <c r="CH10" s="65">
        <f>+'Revenue Build'!BT26</f>
        <v>64138.872803222119</v>
      </c>
      <c r="CI10" s="65">
        <f>+'Revenue Build'!BU26</f>
        <v>20887.823681933271</v>
      </c>
      <c r="CJ10" s="65">
        <f>+'Revenue Build'!BV26</f>
        <v>21546.694209159959</v>
      </c>
      <c r="CK10" s="65">
        <f>+'Revenue Build'!BW26</f>
        <v>21802.016525495968</v>
      </c>
      <c r="CL10" s="65">
        <f>+'Revenue Build'!BX26</f>
        <v>16897.709915297579</v>
      </c>
      <c r="CM10" s="292">
        <f>+'Revenue Build'!BY26</f>
        <v>22265.125949178542</v>
      </c>
      <c r="CN10" s="65">
        <f>+'Revenue Build'!BZ26</f>
        <v>22803.075569507124</v>
      </c>
      <c r="CO10" s="65">
        <f>+'Revenue Build'!CA26</f>
        <v>22798.345341704273</v>
      </c>
      <c r="CP10" s="65">
        <f>+'Revenue Build'!CB26</f>
        <v>17733.007205022557</v>
      </c>
      <c r="CQ10" s="65">
        <f>+'Revenue Build'!CC26</f>
        <v>23128.80432301353</v>
      </c>
      <c r="CR10" s="65">
        <f>+'Revenue Build'!CD26</f>
        <v>23583.782593808115</v>
      </c>
      <c r="CS10" s="65">
        <f>+'Revenue Build'!CE26</f>
        <v>77421.769556284868</v>
      </c>
      <c r="CT10" s="65">
        <f>+'Revenue Build'!CF26</f>
        <v>81182.061733770912</v>
      </c>
      <c r="CU10" s="65">
        <f>+'Revenue Build'!CG26</f>
        <v>26416.737040262549</v>
      </c>
      <c r="CV10" s="65">
        <f>+'Revenue Build'!CH26</f>
        <v>27336.542224157529</v>
      </c>
      <c r="CW10" s="65">
        <f>+'Revenue Build'!CI26</f>
        <v>27538.425334494517</v>
      </c>
      <c r="CX10" s="65">
        <f>+'Revenue Build'!CJ26</f>
        <v>21484.555200696708</v>
      </c>
      <c r="CY10" s="65">
        <f>+'Revenue Build'!CK26</f>
        <v>28092.233120418023</v>
      </c>
    </row>
    <row r="11" spans="1:114" s="113" customFormat="1" hidden="1" x14ac:dyDescent="0.3">
      <c r="B11" s="114" t="s">
        <v>236</v>
      </c>
      <c r="C11" s="62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92"/>
      <c r="AD11" s="115"/>
      <c r="AE11" s="322"/>
      <c r="AQ11" s="192"/>
      <c r="BC11" s="192"/>
      <c r="BO11" s="192"/>
      <c r="CA11" s="192"/>
      <c r="CM11" s="192"/>
    </row>
    <row r="12" spans="1:114" s="3" customFormat="1" x14ac:dyDescent="0.3">
      <c r="B12" s="4" t="s">
        <v>2</v>
      </c>
      <c r="C12" s="621" t="s">
        <v>350</v>
      </c>
      <c r="D12" s="56"/>
      <c r="E12" s="56">
        <f>E11+E10</f>
        <v>0</v>
      </c>
      <c r="F12" s="56">
        <f t="shared" ref="F12:AK12" si="9">F11+F10</f>
        <v>0</v>
      </c>
      <c r="G12" s="56">
        <f t="shared" si="9"/>
        <v>0</v>
      </c>
      <c r="H12" s="56">
        <f>H11+H10</f>
        <v>0</v>
      </c>
      <c r="I12" s="56">
        <f t="shared" ref="I12:N12" si="10">I11+I10</f>
        <v>0</v>
      </c>
      <c r="J12" s="56">
        <f t="shared" si="10"/>
        <v>0</v>
      </c>
      <c r="K12" s="56">
        <f t="shared" si="10"/>
        <v>0</v>
      </c>
      <c r="L12" s="56">
        <f t="shared" si="10"/>
        <v>0</v>
      </c>
      <c r="M12" s="56">
        <f t="shared" si="10"/>
        <v>0</v>
      </c>
      <c r="N12" s="56">
        <f t="shared" si="10"/>
        <v>0</v>
      </c>
      <c r="O12" s="56">
        <f t="shared" ref="O12:T12" si="11">O11+O10</f>
        <v>0</v>
      </c>
      <c r="P12" s="56">
        <f t="shared" si="11"/>
        <v>0</v>
      </c>
      <c r="Q12" s="56">
        <f t="shared" si="11"/>
        <v>0</v>
      </c>
      <c r="R12" s="56">
        <f t="shared" si="11"/>
        <v>0</v>
      </c>
      <c r="S12" s="56">
        <f t="shared" si="11"/>
        <v>0</v>
      </c>
      <c r="T12" s="56">
        <f t="shared" si="11"/>
        <v>0</v>
      </c>
      <c r="U12" s="56">
        <f t="shared" ref="U12:V12" si="12">U11+U10</f>
        <v>370</v>
      </c>
      <c r="V12" s="56">
        <f t="shared" si="12"/>
        <v>510</v>
      </c>
      <c r="W12" s="56">
        <f t="shared" ref="W12" si="13">W11+W10</f>
        <v>0</v>
      </c>
      <c r="X12" s="56">
        <f t="shared" ref="X12" si="14">X11+X10</f>
        <v>1650</v>
      </c>
      <c r="Y12" s="56">
        <f t="shared" ref="Y12:Z12" si="15">Y11+Y10</f>
        <v>3945</v>
      </c>
      <c r="Z12" s="56">
        <f t="shared" si="15"/>
        <v>4742.9400000000005</v>
      </c>
      <c r="AA12" s="56">
        <f t="shared" ref="AA12:AB12" si="16">AA11+AA10</f>
        <v>720</v>
      </c>
      <c r="AB12" s="56">
        <f t="shared" si="16"/>
        <v>1705</v>
      </c>
      <c r="AC12" s="193">
        <f t="shared" ref="AC12" si="17">AC11+AC10</f>
        <v>810</v>
      </c>
      <c r="AD12" s="56">
        <f t="shared" ref="AD12" si="18">AD11+AD10</f>
        <v>2360</v>
      </c>
      <c r="AE12" s="622">
        <f t="shared" si="9"/>
        <v>5180</v>
      </c>
      <c r="AF12" s="56">
        <f t="shared" si="9"/>
        <v>5979.5</v>
      </c>
      <c r="AG12" s="56">
        <f t="shared" si="9"/>
        <v>6424.2</v>
      </c>
      <c r="AH12" s="56">
        <f t="shared" si="9"/>
        <v>5123.5199999999995</v>
      </c>
      <c r="AI12" s="56">
        <f t="shared" si="9"/>
        <v>6888.1119999999992</v>
      </c>
      <c r="AJ12" s="56">
        <f t="shared" si="9"/>
        <v>7211.8671999999988</v>
      </c>
      <c r="AK12" s="56">
        <f t="shared" si="9"/>
        <v>23796.120319999998</v>
      </c>
      <c r="AL12" s="56">
        <f t="shared" ref="AL12:BQ12" si="19">AL11+AL10</f>
        <v>24979.672191999998</v>
      </c>
      <c r="AM12" s="56">
        <f t="shared" si="19"/>
        <v>8213.8033151999989</v>
      </c>
      <c r="AN12" s="56">
        <f t="shared" si="19"/>
        <v>8479.7819891199979</v>
      </c>
      <c r="AO12" s="56">
        <f t="shared" si="19"/>
        <v>8576.8691934719991</v>
      </c>
      <c r="AP12" s="56">
        <f t="shared" si="19"/>
        <v>6737.6215160831989</v>
      </c>
      <c r="AQ12" s="193">
        <f t="shared" si="19"/>
        <v>8731.5729096499199</v>
      </c>
      <c r="AR12" s="56">
        <f t="shared" si="19"/>
        <v>8995.4437457899512</v>
      </c>
      <c r="AS12" s="56">
        <f t="shared" si="19"/>
        <v>8916.26624747397</v>
      </c>
      <c r="AT12" s="56">
        <f t="shared" si="19"/>
        <v>6896.2597484843809</v>
      </c>
      <c r="AU12" s="56">
        <f t="shared" si="19"/>
        <v>9089.2558490906267</v>
      </c>
      <c r="AV12" s="56">
        <f t="shared" si="19"/>
        <v>9232.5535094543757</v>
      </c>
      <c r="AW12" s="56">
        <f t="shared" si="19"/>
        <v>30256.032105672628</v>
      </c>
      <c r="AX12" s="56">
        <f t="shared" si="19"/>
        <v>31739.619263403572</v>
      </c>
      <c r="AY12" s="56">
        <f t="shared" si="19"/>
        <v>10427.771558042143</v>
      </c>
      <c r="AZ12" s="56">
        <f t="shared" si="19"/>
        <v>10720.662934825286</v>
      </c>
      <c r="BA12" s="56">
        <f t="shared" si="19"/>
        <v>10826.397760895172</v>
      </c>
      <c r="BB12" s="56">
        <f t="shared" si="19"/>
        <v>8479.8386565371038</v>
      </c>
      <c r="BC12" s="193">
        <f t="shared" si="19"/>
        <v>11001.903193922262</v>
      </c>
      <c r="BD12" s="56">
        <f t="shared" si="19"/>
        <v>11280.141916353357</v>
      </c>
      <c r="BE12" s="56">
        <f t="shared" si="19"/>
        <v>11377.085149812016</v>
      </c>
      <c r="BF12" s="56">
        <f t="shared" si="19"/>
        <v>8925.2510898872097</v>
      </c>
      <c r="BG12" s="56">
        <f t="shared" si="19"/>
        <v>11544.150653932325</v>
      </c>
      <c r="BH12" s="56">
        <f t="shared" si="19"/>
        <v>11820.490392359396</v>
      </c>
      <c r="BI12" s="56">
        <f t="shared" si="19"/>
        <v>38456.29423541564</v>
      </c>
      <c r="BJ12" s="56">
        <f t="shared" si="19"/>
        <v>40238.776541249383</v>
      </c>
      <c r="BK12" s="56">
        <f t="shared" si="19"/>
        <v>13217.765924749627</v>
      </c>
      <c r="BL12" s="56">
        <f t="shared" si="19"/>
        <v>13537.159554849775</v>
      </c>
      <c r="BM12" s="56">
        <f t="shared" si="19"/>
        <v>13638.795732909864</v>
      </c>
      <c r="BN12" s="56">
        <f t="shared" si="19"/>
        <v>10659.777439745918</v>
      </c>
      <c r="BO12" s="193">
        <f t="shared" si="19"/>
        <v>14009.866463847547</v>
      </c>
      <c r="BP12" s="56">
        <f t="shared" si="19"/>
        <v>14244.919878308527</v>
      </c>
      <c r="BQ12" s="56">
        <f t="shared" si="19"/>
        <v>14288.451926985113</v>
      </c>
      <c r="BR12" s="56">
        <f t="shared" ref="BR12:CW12" si="20">BR11+BR10</f>
        <v>11149.571156191067</v>
      </c>
      <c r="BS12" s="56">
        <f t="shared" si="20"/>
        <v>14603.742693714637</v>
      </c>
      <c r="BT12" s="56">
        <f t="shared" si="20"/>
        <v>14826.24561622878</v>
      </c>
      <c r="BU12" s="56">
        <f t="shared" si="20"/>
        <v>48559.74736973727</v>
      </c>
      <c r="BV12" s="56">
        <f t="shared" si="20"/>
        <v>50808.848421842355</v>
      </c>
      <c r="BW12" s="56">
        <f t="shared" si="20"/>
        <v>16561.309053105411</v>
      </c>
      <c r="BX12" s="56">
        <f t="shared" si="20"/>
        <v>17120.785431863245</v>
      </c>
      <c r="BY12" s="56">
        <f t="shared" si="20"/>
        <v>17343.971259117941</v>
      </c>
      <c r="BZ12" s="56">
        <f t="shared" si="20"/>
        <v>13437.882755470762</v>
      </c>
      <c r="CA12" s="193">
        <f t="shared" si="20"/>
        <v>17564.229653282455</v>
      </c>
      <c r="CB12" s="56">
        <f t="shared" si="20"/>
        <v>17950.037791969469</v>
      </c>
      <c r="CC12" s="56">
        <f t="shared" si="20"/>
        <v>18076.522675181681</v>
      </c>
      <c r="CD12" s="56">
        <f t="shared" si="20"/>
        <v>14137.413605109006</v>
      </c>
      <c r="CE12" s="56">
        <f t="shared" si="20"/>
        <v>18308.948163065401</v>
      </c>
      <c r="CF12" s="56">
        <f t="shared" si="20"/>
        <v>18644.368897839238</v>
      </c>
      <c r="CG12" s="56">
        <f t="shared" si="20"/>
        <v>61163.121338703539</v>
      </c>
      <c r="CH12" s="56">
        <f t="shared" si="20"/>
        <v>64138.872803222119</v>
      </c>
      <c r="CI12" s="56">
        <f t="shared" si="20"/>
        <v>20887.823681933271</v>
      </c>
      <c r="CJ12" s="56">
        <f t="shared" si="20"/>
        <v>21546.694209159959</v>
      </c>
      <c r="CK12" s="56">
        <f t="shared" si="20"/>
        <v>21802.016525495968</v>
      </c>
      <c r="CL12" s="56">
        <f t="shared" si="20"/>
        <v>16897.709915297579</v>
      </c>
      <c r="CM12" s="193">
        <f t="shared" si="20"/>
        <v>22265.125949178542</v>
      </c>
      <c r="CN12" s="56">
        <f t="shared" si="20"/>
        <v>22803.075569507124</v>
      </c>
      <c r="CO12" s="56">
        <f t="shared" si="20"/>
        <v>22798.345341704273</v>
      </c>
      <c r="CP12" s="56">
        <f t="shared" si="20"/>
        <v>17733.007205022557</v>
      </c>
      <c r="CQ12" s="56">
        <f t="shared" si="20"/>
        <v>23128.80432301353</v>
      </c>
      <c r="CR12" s="56">
        <f t="shared" si="20"/>
        <v>23583.782593808115</v>
      </c>
      <c r="CS12" s="56">
        <f t="shared" si="20"/>
        <v>77421.769556284868</v>
      </c>
      <c r="CT12" s="56">
        <f t="shared" si="20"/>
        <v>81182.061733770912</v>
      </c>
      <c r="CU12" s="56">
        <f t="shared" si="20"/>
        <v>26416.737040262549</v>
      </c>
      <c r="CV12" s="56">
        <f t="shared" si="20"/>
        <v>27336.542224157529</v>
      </c>
      <c r="CW12" s="56">
        <f t="shared" si="20"/>
        <v>27538.425334494517</v>
      </c>
      <c r="CX12" s="56">
        <f>CX11+CX10</f>
        <v>21484.555200696708</v>
      </c>
      <c r="CY12" s="56">
        <f>CY11+CY10</f>
        <v>28092.233120418023</v>
      </c>
    </row>
    <row r="13" spans="1:114" hidden="1" x14ac:dyDescent="0.3">
      <c r="B13" s="1"/>
      <c r="C13" s="623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194"/>
      <c r="AD13" s="58"/>
      <c r="AE13" s="624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194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194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194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194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194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</row>
    <row r="14" spans="1:114" s="3" customFormat="1" x14ac:dyDescent="0.3">
      <c r="A14" s="144"/>
      <c r="B14" s="144"/>
      <c r="C14" s="625" t="s">
        <v>237</v>
      </c>
      <c r="D14" s="145"/>
      <c r="E14" s="145">
        <v>0</v>
      </c>
      <c r="F14" s="145">
        <v>0</v>
      </c>
      <c r="G14" s="145">
        <v>0</v>
      </c>
      <c r="H14" s="145">
        <v>0</v>
      </c>
      <c r="I14" s="145">
        <v>0</v>
      </c>
      <c r="J14" s="145">
        <v>0</v>
      </c>
      <c r="K14" s="145">
        <v>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1</v>
      </c>
      <c r="U14" s="145">
        <v>2</v>
      </c>
      <c r="V14" s="145">
        <v>2</v>
      </c>
      <c r="W14" s="145">
        <v>0</v>
      </c>
      <c r="X14" s="145">
        <v>8</v>
      </c>
      <c r="Y14" s="145">
        <v>38</v>
      </c>
      <c r="Z14" s="145">
        <v>39</v>
      </c>
      <c r="AA14" s="145">
        <v>4</v>
      </c>
      <c r="AB14" s="145">
        <v>8</v>
      </c>
      <c r="AC14" s="564">
        <v>7</v>
      </c>
      <c r="AD14" s="146">
        <f>+IF(AD16&lt;0, AC16+AD15+AD16, AD15+AD16)</f>
        <v>20.714285714285715</v>
      </c>
      <c r="AE14" s="626">
        <f>+IF(AE16&lt;0, AD16+AE15+AE16, AE15+AE16)</f>
        <v>44.971428571428575</v>
      </c>
      <c r="AF14" s="146">
        <f t="shared" ref="AF14:CL14" si="21">+IF(AF16&lt;0, AE16+AF15+AF16, AF15+AF16)</f>
        <v>46.872857142857143</v>
      </c>
      <c r="AG14" s="146">
        <f t="shared" si="21"/>
        <v>47.443714285714293</v>
      </c>
      <c r="AH14" s="146">
        <f t="shared" si="21"/>
        <v>31.678799999999999</v>
      </c>
      <c r="AI14" s="146">
        <f t="shared" si="21"/>
        <v>48.72973714285714</v>
      </c>
      <c r="AJ14" s="146">
        <f t="shared" si="21"/>
        <v>51.517842285714281</v>
      </c>
      <c r="AK14" s="146">
        <f t="shared" si="21"/>
        <v>171.03070537142858</v>
      </c>
      <c r="AL14" s="146">
        <f t="shared" si="21"/>
        <v>180.21842322285713</v>
      </c>
      <c r="AM14" s="146">
        <f t="shared" si="21"/>
        <v>83.094207487999995</v>
      </c>
      <c r="AN14" s="146">
        <f t="shared" si="21"/>
        <v>60.168632360228571</v>
      </c>
      <c r="AO14" s="146">
        <f t="shared" si="21"/>
        <v>59.801179416137145</v>
      </c>
      <c r="AP14" s="146">
        <f t="shared" si="21"/>
        <v>37.688348817407999</v>
      </c>
      <c r="AQ14" s="147">
        <f t="shared" si="21"/>
        <v>60.774424589809371</v>
      </c>
      <c r="AR14" s="146">
        <f t="shared" si="21"/>
        <v>63.574654753885625</v>
      </c>
      <c r="AS14" s="146">
        <f t="shared" si="21"/>
        <v>61.204792852331373</v>
      </c>
      <c r="AT14" s="146">
        <f t="shared" si="21"/>
        <v>36.98329000673607</v>
      </c>
      <c r="AU14" s="146">
        <f t="shared" si="21"/>
        <v>64.005725426839291</v>
      </c>
      <c r="AV14" s="146">
        <f t="shared" si="21"/>
        <v>64.783435256103573</v>
      </c>
      <c r="AW14" s="146">
        <f t="shared" si="21"/>
        <v>217.84006115366211</v>
      </c>
      <c r="AX14" s="146">
        <f t="shared" si="21"/>
        <v>229.1040366921973</v>
      </c>
      <c r="AY14" s="146">
        <f t="shared" si="21"/>
        <v>105.2543486309238</v>
      </c>
      <c r="AZ14" s="146">
        <f t="shared" si="21"/>
        <v>76.277453209191023</v>
      </c>
      <c r="BA14" s="146">
        <f t="shared" si="21"/>
        <v>75.926471925514619</v>
      </c>
      <c r="BB14" s="146">
        <f t="shared" si="21"/>
        <v>47.722939304279528</v>
      </c>
      <c r="BC14" s="147">
        <f t="shared" si="21"/>
        <v>77.065529893185257</v>
      </c>
      <c r="BD14" s="146">
        <f t="shared" si="21"/>
        <v>80.019317935911147</v>
      </c>
      <c r="BE14" s="146">
        <f t="shared" si="21"/>
        <v>79.6515907615467</v>
      </c>
      <c r="BF14" s="146">
        <f t="shared" si="21"/>
        <v>50.187772933834637</v>
      </c>
      <c r="BG14" s="146">
        <f t="shared" si="21"/>
        <v>80.774572674156815</v>
      </c>
      <c r="BH14" s="146">
        <f t="shared" si="21"/>
        <v>83.72474360449408</v>
      </c>
      <c r="BI14" s="146">
        <f t="shared" si="21"/>
        <v>277.15484616269646</v>
      </c>
      <c r="BJ14" s="146">
        <f t="shared" si="21"/>
        <v>290.49290769761785</v>
      </c>
      <c r="BK14" s="146">
        <f t="shared" si="21"/>
        <v>133.209929223335</v>
      </c>
      <c r="BL14" s="146">
        <f t="shared" si="21"/>
        <v>96.537446771142442</v>
      </c>
      <c r="BM14" s="146">
        <f t="shared" si="21"/>
        <v>95.902468062685458</v>
      </c>
      <c r="BN14" s="146">
        <f t="shared" si="21"/>
        <v>60.10654471224035</v>
      </c>
      <c r="BO14" s="147">
        <f t="shared" si="21"/>
        <v>99.356888502566761</v>
      </c>
      <c r="BP14" s="146">
        <f t="shared" si="21"/>
        <v>100.81413310154005</v>
      </c>
      <c r="BQ14" s="146">
        <f t="shared" si="21"/>
        <v>100.06847986092403</v>
      </c>
      <c r="BR14" s="146">
        <f t="shared" si="21"/>
        <v>62.374128194706344</v>
      </c>
      <c r="BS14" s="146">
        <f t="shared" si="21"/>
        <v>103.41665274993265</v>
      </c>
      <c r="BT14" s="146">
        <f t="shared" si="21"/>
        <v>104.84999164995959</v>
      </c>
      <c r="BU14" s="146">
        <f t="shared" si="21"/>
        <v>350.78999498997575</v>
      </c>
      <c r="BV14" s="146">
        <f t="shared" si="21"/>
        <v>367.27399699398541</v>
      </c>
      <c r="BW14" s="146">
        <f t="shared" si="21"/>
        <v>167.41640420842035</v>
      </c>
      <c r="BX14" s="146">
        <f t="shared" si="21"/>
        <v>123.35863891783475</v>
      </c>
      <c r="BY14" s="146">
        <f t="shared" si="21"/>
        <v>122.95518335070085</v>
      </c>
      <c r="BZ14" s="146">
        <f t="shared" si="21"/>
        <v>76.0927433090188</v>
      </c>
      <c r="CA14" s="147">
        <f t="shared" si="21"/>
        <v>124.58186600625231</v>
      </c>
      <c r="CB14" s="146">
        <f t="shared" si="21"/>
        <v>128.11911960375139</v>
      </c>
      <c r="CC14" s="146">
        <f t="shared" si="21"/>
        <v>127.53147176225083</v>
      </c>
      <c r="CD14" s="146">
        <f t="shared" si="21"/>
        <v>80.205939532848831</v>
      </c>
      <c r="CE14" s="146">
        <f t="shared" si="21"/>
        <v>129.18132983441029</v>
      </c>
      <c r="CF14" s="146">
        <f t="shared" si="21"/>
        <v>132.74879790064617</v>
      </c>
      <c r="CG14" s="146">
        <f t="shared" si="21"/>
        <v>442.13927874038768</v>
      </c>
      <c r="CH14" s="146">
        <f t="shared" si="21"/>
        <v>464.68356724423262</v>
      </c>
      <c r="CI14" s="146">
        <f t="shared" si="21"/>
        <v>212.54300585807437</v>
      </c>
      <c r="CJ14" s="146">
        <f t="shared" si="21"/>
        <v>155.59608420792375</v>
      </c>
      <c r="CK14" s="146">
        <f t="shared" si="21"/>
        <v>154.97765052475424</v>
      </c>
      <c r="CL14" s="146">
        <f t="shared" si="21"/>
        <v>96.12128926534406</v>
      </c>
      <c r="CM14" s="147">
        <f t="shared" ref="CM14:CY14" si="22">+IF(CM16&lt;0, CL16+CM15+CM16, CM15+CM16)</f>
        <v>159.13595418891151</v>
      </c>
      <c r="CN14" s="146">
        <f t="shared" si="22"/>
        <v>163.34157251334693</v>
      </c>
      <c r="CO14" s="146">
        <f t="shared" si="22"/>
        <v>160.28494350800815</v>
      </c>
      <c r="CP14" s="146">
        <f t="shared" si="22"/>
        <v>99.481079088788576</v>
      </c>
      <c r="CQ14" s="146">
        <f t="shared" si="22"/>
        <v>164.34057966288293</v>
      </c>
      <c r="CR14" s="146">
        <f t="shared" si="22"/>
        <v>168.51434779772976</v>
      </c>
      <c r="CS14" s="146">
        <f t="shared" si="22"/>
        <v>560.49860867863788</v>
      </c>
      <c r="CT14" s="146">
        <f t="shared" si="22"/>
        <v>588.29916520718268</v>
      </c>
      <c r="CU14" s="146">
        <f t="shared" si="22"/>
        <v>268.68116870994413</v>
      </c>
      <c r="CV14" s="146">
        <f t="shared" si="22"/>
        <v>198.20769947458578</v>
      </c>
      <c r="CW14" s="146">
        <f t="shared" si="22"/>
        <v>195.54461968475147</v>
      </c>
      <c r="CX14" s="146">
        <f t="shared" si="22"/>
        <v>122.80753244134792</v>
      </c>
      <c r="CY14" s="147">
        <f t="shared" si="22"/>
        <v>200.27806308651051</v>
      </c>
    </row>
    <row r="15" spans="1:114" x14ac:dyDescent="0.3">
      <c r="A15" s="35"/>
      <c r="B15" s="35"/>
      <c r="C15" s="627" t="s">
        <v>280</v>
      </c>
      <c r="D15" s="50"/>
      <c r="E15" s="145">
        <v>0</v>
      </c>
      <c r="F15" s="145">
        <v>0</v>
      </c>
      <c r="G15" s="145">
        <v>0</v>
      </c>
      <c r="H15" s="145">
        <v>0</v>
      </c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1</v>
      </c>
      <c r="U15" s="145">
        <v>2</v>
      </c>
      <c r="V15" s="145">
        <v>2</v>
      </c>
      <c r="W15" s="145">
        <v>0</v>
      </c>
      <c r="X15" s="145">
        <v>3</v>
      </c>
      <c r="Y15" s="145">
        <v>1</v>
      </c>
      <c r="Z15" s="145">
        <v>4</v>
      </c>
      <c r="AA15" s="145">
        <v>4</v>
      </c>
      <c r="AB15" s="145">
        <v>3</v>
      </c>
      <c r="AC15" s="564">
        <v>3</v>
      </c>
      <c r="AD15" s="146">
        <f t="shared" ref="AD15:BC15" si="23">+AC15+AD17</f>
        <v>11.857142857142858</v>
      </c>
      <c r="AE15" s="628">
        <f t="shared" si="23"/>
        <v>19.114285714285714</v>
      </c>
      <c r="AF15" s="146">
        <f t="shared" si="23"/>
        <v>23.46857142857143</v>
      </c>
      <c r="AG15" s="146">
        <f t="shared" si="23"/>
        <v>26.081142857142858</v>
      </c>
      <c r="AH15" s="146">
        <f t="shared" si="23"/>
        <v>27.648685714285712</v>
      </c>
      <c r="AI15" s="146">
        <f>+AH15+AI17</f>
        <v>28.589211428571424</v>
      </c>
      <c r="AJ15" s="146">
        <f t="shared" si="23"/>
        <v>30.153526857142854</v>
      </c>
      <c r="AK15" s="146">
        <f t="shared" si="23"/>
        <v>31.092116114285712</v>
      </c>
      <c r="AL15" s="146">
        <f t="shared" si="23"/>
        <v>32.655269668571428</v>
      </c>
      <c r="AM15" s="146">
        <f t="shared" si="23"/>
        <v>34.593161801142855</v>
      </c>
      <c r="AN15" s="146">
        <f t="shared" si="23"/>
        <v>35.755897080685713</v>
      </c>
      <c r="AO15" s="146">
        <f t="shared" si="23"/>
        <v>36.453538248411427</v>
      </c>
      <c r="AP15" s="146">
        <f t="shared" si="23"/>
        <v>36.872122949046855</v>
      </c>
      <c r="AQ15" s="147">
        <f t="shared" si="23"/>
        <v>37.12327376942811</v>
      </c>
      <c r="AR15" s="146">
        <f t="shared" si="23"/>
        <v>38.273964261656864</v>
      </c>
      <c r="AS15" s="146">
        <f t="shared" si="23"/>
        <v>37.96437855699412</v>
      </c>
      <c r="AT15" s="146">
        <f t="shared" si="23"/>
        <v>37.778627134196469</v>
      </c>
      <c r="AU15" s="146">
        <f t="shared" si="23"/>
        <v>38.667176280517879</v>
      </c>
      <c r="AV15" s="146">
        <f t="shared" si="23"/>
        <v>39.200305768310727</v>
      </c>
      <c r="AW15" s="146">
        <f t="shared" si="23"/>
        <v>40.520183460986438</v>
      </c>
      <c r="AX15" s="146">
        <f t="shared" si="23"/>
        <v>42.312110076591864</v>
      </c>
      <c r="AY15" s="146">
        <f t="shared" si="23"/>
        <v>44.387266045955116</v>
      </c>
      <c r="AZ15" s="146">
        <f t="shared" si="23"/>
        <v>45.632359627573067</v>
      </c>
      <c r="BA15" s="146">
        <f t="shared" si="23"/>
        <v>46.379415776543837</v>
      </c>
      <c r="BB15" s="146">
        <f t="shared" si="23"/>
        <v>46.827649465926299</v>
      </c>
      <c r="BC15" s="147">
        <f t="shared" si="23"/>
        <v>47.096589679555777</v>
      </c>
      <c r="BD15" s="146">
        <f t="shared" ref="BD15:CE15" si="24">+BC15+BD17</f>
        <v>48.257953807733465</v>
      </c>
      <c r="BE15" s="146">
        <f t="shared" si="24"/>
        <v>48.954772284640079</v>
      </c>
      <c r="BF15" s="146">
        <f t="shared" si="24"/>
        <v>49.372863370784046</v>
      </c>
      <c r="BG15" s="146">
        <f t="shared" si="24"/>
        <v>49.623718022470428</v>
      </c>
      <c r="BH15" s="146">
        <f t="shared" si="24"/>
        <v>50.774230813482255</v>
      </c>
      <c r="BI15" s="146">
        <f t="shared" si="24"/>
        <v>52.464538488089353</v>
      </c>
      <c r="BJ15" s="146">
        <f t="shared" si="24"/>
        <v>54.478723092853613</v>
      </c>
      <c r="BK15" s="146">
        <f t="shared" si="24"/>
        <v>56.687233855712165</v>
      </c>
      <c r="BL15" s="146">
        <f t="shared" si="24"/>
        <v>58.012340313427302</v>
      </c>
      <c r="BM15" s="146">
        <f t="shared" si="24"/>
        <v>58.807404188056381</v>
      </c>
      <c r="BN15" s="146">
        <f t="shared" si="24"/>
        <v>59.284442512833827</v>
      </c>
      <c r="BO15" s="147">
        <f t="shared" si="24"/>
        <v>60.570665507700298</v>
      </c>
      <c r="BP15" s="146">
        <f t="shared" si="24"/>
        <v>61.342399304620173</v>
      </c>
      <c r="BQ15" s="146">
        <f t="shared" si="24"/>
        <v>61.805439582772102</v>
      </c>
      <c r="BR15" s="146">
        <f t="shared" si="24"/>
        <v>62.08326374966326</v>
      </c>
      <c r="BS15" s="146">
        <f t="shared" si="24"/>
        <v>63.249958249797956</v>
      </c>
      <c r="BT15" s="146">
        <f t="shared" si="24"/>
        <v>63.949974949878772</v>
      </c>
      <c r="BU15" s="146">
        <f t="shared" si="24"/>
        <v>66.369984969927259</v>
      </c>
      <c r="BV15" s="146">
        <f t="shared" si="24"/>
        <v>68.821990981956361</v>
      </c>
      <c r="BW15" s="146">
        <f t="shared" si="24"/>
        <v>71.293194589173822</v>
      </c>
      <c r="BX15" s="146">
        <f t="shared" si="24"/>
        <v>73.775916753504291</v>
      </c>
      <c r="BY15" s="146">
        <f t="shared" si="24"/>
        <v>75.265550052102569</v>
      </c>
      <c r="BZ15" s="146">
        <f t="shared" si="24"/>
        <v>75.159330031261533</v>
      </c>
      <c r="CA15" s="147">
        <f t="shared" si="24"/>
        <v>76.095598018756917</v>
      </c>
      <c r="CB15" s="146">
        <f t="shared" si="24"/>
        <v>77.657358811254142</v>
      </c>
      <c r="CC15" s="146">
        <f t="shared" si="24"/>
        <v>78.594415286752479</v>
      </c>
      <c r="CD15" s="146">
        <f t="shared" si="24"/>
        <v>79.156649172051488</v>
      </c>
      <c r="CE15" s="146">
        <f t="shared" si="24"/>
        <v>79.493989503230893</v>
      </c>
      <c r="CF15" s="146">
        <f t="shared" ref="CF15" si="25">+CE15+CF17</f>
        <v>80.696393701938533</v>
      </c>
      <c r="CG15" s="146">
        <f t="shared" ref="CG15" si="26">+CF15+CG17</f>
        <v>83.417836221163128</v>
      </c>
      <c r="CH15" s="146">
        <f t="shared" ref="CH15" si="27">+CG15+CH17</f>
        <v>87.050701732697874</v>
      </c>
      <c r="CI15" s="146">
        <f t="shared" ref="CI15" si="28">+CH15+CI17</f>
        <v>90.230421039618733</v>
      </c>
      <c r="CJ15" s="146">
        <f t="shared" ref="CJ15" si="29">+CI15+CJ17</f>
        <v>93.138252623771237</v>
      </c>
      <c r="CK15" s="146">
        <f t="shared" ref="CK15" si="30">+CJ15+CK17</f>
        <v>94.882951574262734</v>
      </c>
      <c r="CL15" s="146">
        <f t="shared" ref="CL15" si="31">+CK15+CL17</f>
        <v>94.929770944557646</v>
      </c>
      <c r="CM15" s="147">
        <f t="shared" ref="CM15" si="32">+CL15+CM17</f>
        <v>96.957862566734576</v>
      </c>
      <c r="CN15" s="146">
        <f t="shared" ref="CN15" si="33">+CM15+CN17</f>
        <v>99.174717540040746</v>
      </c>
      <c r="CO15" s="146">
        <f t="shared" ref="CO15" si="34">+CN15+CO17</f>
        <v>99.504830524024442</v>
      </c>
      <c r="CP15" s="146">
        <f t="shared" ref="CP15" si="35">+CO15+CP17</f>
        <v>99.702898314414654</v>
      </c>
      <c r="CQ15" s="146">
        <f t="shared" ref="CQ15" si="36">+CP15+CQ17</f>
        <v>100.82173898864879</v>
      </c>
      <c r="CR15" s="146">
        <f t="shared" ref="CR15" si="37">+CQ15+CR17</f>
        <v>102.49304339318927</v>
      </c>
      <c r="CS15" s="146">
        <f t="shared" ref="CS15" si="38">+CR15+CS17</f>
        <v>106.49582603591355</v>
      </c>
      <c r="CT15" s="146">
        <f t="shared" ref="CT15" si="39">+CS15+CT17</f>
        <v>110.89749562154813</v>
      </c>
      <c r="CU15" s="146">
        <f t="shared" ref="CU15" si="40">+CT15+CU17</f>
        <v>114.53849737292887</v>
      </c>
      <c r="CV15" s="146">
        <f t="shared" ref="CV15" si="41">+CU15+CV17</f>
        <v>118.72309842375732</v>
      </c>
      <c r="CW15" s="146">
        <f t="shared" ref="CW15" si="42">+CV15+CW17</f>
        <v>120.2338590542544</v>
      </c>
      <c r="CX15" s="146">
        <f>+CW15+CX17</f>
        <v>121.14031543255263</v>
      </c>
      <c r="CY15" s="147">
        <f t="shared" ref="CY15" si="43">+CX15+CY17</f>
        <v>122.68418925953156</v>
      </c>
    </row>
    <row r="16" spans="1:114" x14ac:dyDescent="0.3">
      <c r="A16" s="35"/>
      <c r="B16" s="35"/>
      <c r="C16" s="629" t="s">
        <v>307</v>
      </c>
      <c r="D16" s="51"/>
      <c r="E16" s="51">
        <f t="shared" ref="E16:AC16" si="44">E14-D14</f>
        <v>0</v>
      </c>
      <c r="F16" s="51">
        <f t="shared" si="44"/>
        <v>0</v>
      </c>
      <c r="G16" s="51">
        <f t="shared" si="44"/>
        <v>0</v>
      </c>
      <c r="H16" s="51">
        <f t="shared" si="44"/>
        <v>0</v>
      </c>
      <c r="I16" s="51">
        <f t="shared" si="44"/>
        <v>0</v>
      </c>
      <c r="J16" s="51">
        <f t="shared" si="44"/>
        <v>0</v>
      </c>
      <c r="K16" s="51">
        <f t="shared" si="44"/>
        <v>0</v>
      </c>
      <c r="L16" s="51">
        <f t="shared" si="44"/>
        <v>0</v>
      </c>
      <c r="M16" s="51">
        <f t="shared" si="44"/>
        <v>0</v>
      </c>
      <c r="N16" s="51">
        <f t="shared" si="44"/>
        <v>0</v>
      </c>
      <c r="O16" s="51">
        <f t="shared" si="44"/>
        <v>0</v>
      </c>
      <c r="P16" s="51">
        <f t="shared" si="44"/>
        <v>0</v>
      </c>
      <c r="Q16" s="51">
        <f t="shared" si="44"/>
        <v>0</v>
      </c>
      <c r="R16" s="51">
        <f t="shared" si="44"/>
        <v>0</v>
      </c>
      <c r="S16" s="51">
        <f t="shared" si="44"/>
        <v>0</v>
      </c>
      <c r="T16" s="51">
        <f t="shared" si="44"/>
        <v>1</v>
      </c>
      <c r="U16" s="51">
        <f t="shared" si="44"/>
        <v>1</v>
      </c>
      <c r="V16" s="51">
        <f t="shared" si="44"/>
        <v>0</v>
      </c>
      <c r="W16" s="51">
        <f t="shared" si="44"/>
        <v>-2</v>
      </c>
      <c r="X16" s="51">
        <f t="shared" si="44"/>
        <v>8</v>
      </c>
      <c r="Y16" s="51">
        <f t="shared" si="44"/>
        <v>30</v>
      </c>
      <c r="Z16" s="51">
        <f t="shared" si="44"/>
        <v>1</v>
      </c>
      <c r="AA16" s="51">
        <f t="shared" si="44"/>
        <v>-35</v>
      </c>
      <c r="AB16" s="51">
        <f t="shared" si="44"/>
        <v>4</v>
      </c>
      <c r="AC16" s="565">
        <f t="shared" si="44"/>
        <v>-1</v>
      </c>
      <c r="AD16" s="440">
        <f>+SUM(AD18:AD22)+SUM(AD23:AD27)</f>
        <v>8.8571428571428577</v>
      </c>
      <c r="AE16" s="630">
        <f t="shared" ref="AE16:CL16" si="45">+SUM(AE18:AE22)+SUM(AE23:AE27)</f>
        <v>25.857142857142858</v>
      </c>
      <c r="AF16" s="441">
        <f t="shared" si="45"/>
        <v>23.404285714285713</v>
      </c>
      <c r="AG16" s="441">
        <f t="shared" si="45"/>
        <v>21.362571428571432</v>
      </c>
      <c r="AH16" s="441">
        <f t="shared" si="45"/>
        <v>-17.332457142857148</v>
      </c>
      <c r="AI16" s="441">
        <f t="shared" si="45"/>
        <v>20.140525714285715</v>
      </c>
      <c r="AJ16" s="441">
        <f t="shared" si="45"/>
        <v>21.364315428571427</v>
      </c>
      <c r="AK16" s="441">
        <f t="shared" si="45"/>
        <v>139.93858925714287</v>
      </c>
      <c r="AL16" s="441">
        <f t="shared" si="45"/>
        <v>147.56315355428569</v>
      </c>
      <c r="AM16" s="441">
        <f t="shared" si="45"/>
        <v>-99.062107867428551</v>
      </c>
      <c r="AN16" s="441">
        <f t="shared" si="45"/>
        <v>24.412735279542858</v>
      </c>
      <c r="AO16" s="441">
        <f t="shared" si="45"/>
        <v>23.347641167725719</v>
      </c>
      <c r="AP16" s="441">
        <f t="shared" si="45"/>
        <v>-22.531415299364575</v>
      </c>
      <c r="AQ16" s="442">
        <f t="shared" si="45"/>
        <v>23.651150820381261</v>
      </c>
      <c r="AR16" s="441">
        <f t="shared" si="45"/>
        <v>25.30069049222876</v>
      </c>
      <c r="AS16" s="441">
        <f t="shared" si="45"/>
        <v>23.240414295337253</v>
      </c>
      <c r="AT16" s="441">
        <f t="shared" si="45"/>
        <v>-24.035751422797652</v>
      </c>
      <c r="AU16" s="441">
        <f t="shared" si="45"/>
        <v>25.338549146321412</v>
      </c>
      <c r="AV16" s="441">
        <f t="shared" si="45"/>
        <v>25.583129487792846</v>
      </c>
      <c r="AW16" s="441">
        <f t="shared" si="45"/>
        <v>177.31987769267568</v>
      </c>
      <c r="AX16" s="441">
        <f t="shared" si="45"/>
        <v>186.79192661560543</v>
      </c>
      <c r="AY16" s="441">
        <f t="shared" si="45"/>
        <v>-125.92484403063673</v>
      </c>
      <c r="AZ16" s="441">
        <f t="shared" si="45"/>
        <v>30.64509358161796</v>
      </c>
      <c r="BA16" s="441">
        <f t="shared" si="45"/>
        <v>29.547056148970775</v>
      </c>
      <c r="BB16" s="441">
        <f t="shared" si="45"/>
        <v>-28.651766310617539</v>
      </c>
      <c r="BC16" s="442">
        <f t="shared" si="45"/>
        <v>29.968940213629484</v>
      </c>
      <c r="BD16" s="441">
        <f t="shared" si="45"/>
        <v>31.761364128177689</v>
      </c>
      <c r="BE16" s="441">
        <f t="shared" si="45"/>
        <v>30.696818476906621</v>
      </c>
      <c r="BF16" s="441">
        <f t="shared" si="45"/>
        <v>-29.881908913856037</v>
      </c>
      <c r="BG16" s="441">
        <f t="shared" si="45"/>
        <v>31.150854651686387</v>
      </c>
      <c r="BH16" s="441">
        <f t="shared" si="45"/>
        <v>32.950512791011832</v>
      </c>
      <c r="BI16" s="441">
        <f t="shared" si="45"/>
        <v>224.69030767460708</v>
      </c>
      <c r="BJ16" s="441">
        <f t="shared" si="45"/>
        <v>236.01418460476427</v>
      </c>
      <c r="BK16" s="441">
        <f t="shared" si="45"/>
        <v>-159.49148923714142</v>
      </c>
      <c r="BL16" s="441">
        <f t="shared" si="45"/>
        <v>38.52510645771514</v>
      </c>
      <c r="BM16" s="441">
        <f t="shared" si="45"/>
        <v>37.095063874629076</v>
      </c>
      <c r="BN16" s="441">
        <f t="shared" si="45"/>
        <v>-36.272961675222547</v>
      </c>
      <c r="BO16" s="442">
        <f t="shared" si="45"/>
        <v>38.786222994866463</v>
      </c>
      <c r="BP16" s="441">
        <f t="shared" si="45"/>
        <v>39.471733796919878</v>
      </c>
      <c r="BQ16" s="441">
        <f t="shared" si="45"/>
        <v>38.263040278151927</v>
      </c>
      <c r="BR16" s="441">
        <f t="shared" si="45"/>
        <v>-37.972175833108849</v>
      </c>
      <c r="BS16" s="441">
        <f t="shared" si="45"/>
        <v>40.166694500134696</v>
      </c>
      <c r="BT16" s="441">
        <f t="shared" si="45"/>
        <v>40.900016700080819</v>
      </c>
      <c r="BU16" s="441">
        <f t="shared" si="45"/>
        <v>284.42001002004849</v>
      </c>
      <c r="BV16" s="441">
        <f t="shared" si="45"/>
        <v>298.45200601202907</v>
      </c>
      <c r="BW16" s="441">
        <f t="shared" si="45"/>
        <v>-202.32879639278255</v>
      </c>
      <c r="BX16" s="441">
        <f t="shared" si="45"/>
        <v>49.582722164330463</v>
      </c>
      <c r="BY16" s="441">
        <f t="shared" si="45"/>
        <v>47.689633298598288</v>
      </c>
      <c r="BZ16" s="441">
        <f t="shared" si="45"/>
        <v>-46.756220020841027</v>
      </c>
      <c r="CA16" s="442">
        <f t="shared" si="45"/>
        <v>48.486267987495395</v>
      </c>
      <c r="CB16" s="441">
        <f t="shared" si="45"/>
        <v>50.461760792497238</v>
      </c>
      <c r="CC16" s="441">
        <f t="shared" si="45"/>
        <v>48.937056475498352</v>
      </c>
      <c r="CD16" s="441">
        <f t="shared" si="45"/>
        <v>-47.887766114700995</v>
      </c>
      <c r="CE16" s="441">
        <f t="shared" si="45"/>
        <v>49.687340331179399</v>
      </c>
      <c r="CF16" s="441">
        <f t="shared" si="45"/>
        <v>52.052404198707634</v>
      </c>
      <c r="CG16" s="441">
        <f t="shared" si="45"/>
        <v>358.72144251922458</v>
      </c>
      <c r="CH16" s="441">
        <f t="shared" si="45"/>
        <v>377.63286551153476</v>
      </c>
      <c r="CI16" s="441">
        <f t="shared" si="45"/>
        <v>-255.3202806930791</v>
      </c>
      <c r="CJ16" s="441">
        <f t="shared" si="45"/>
        <v>62.457831584152515</v>
      </c>
      <c r="CK16" s="441">
        <f t="shared" si="45"/>
        <v>60.094698950491505</v>
      </c>
      <c r="CL16" s="441">
        <f t="shared" si="45"/>
        <v>-58.903180629705091</v>
      </c>
      <c r="CM16" s="442">
        <f t="shared" ref="CM16:CY16" si="46">+SUM(CM18:CM22)+SUM(CM23:CM27)</f>
        <v>62.178091622176943</v>
      </c>
      <c r="CN16" s="441">
        <f t="shared" si="46"/>
        <v>64.166854973306172</v>
      </c>
      <c r="CO16" s="441">
        <f t="shared" si="46"/>
        <v>60.780112983983699</v>
      </c>
      <c r="CP16" s="441">
        <f t="shared" si="46"/>
        <v>-61.001932209609791</v>
      </c>
      <c r="CQ16" s="441">
        <f t="shared" si="46"/>
        <v>63.518840674234141</v>
      </c>
      <c r="CR16" s="441">
        <f t="shared" si="46"/>
        <v>66.021304404540487</v>
      </c>
      <c r="CS16" s="441">
        <f t="shared" si="46"/>
        <v>454.0027826427243</v>
      </c>
      <c r="CT16" s="441">
        <f t="shared" si="46"/>
        <v>477.40166958563458</v>
      </c>
      <c r="CU16" s="441">
        <f t="shared" si="46"/>
        <v>-323.25899824861926</v>
      </c>
      <c r="CV16" s="441">
        <f t="shared" si="46"/>
        <v>79.484601050828459</v>
      </c>
      <c r="CW16" s="441">
        <f t="shared" si="46"/>
        <v>75.310760630497072</v>
      </c>
      <c r="CX16" s="441">
        <f t="shared" si="46"/>
        <v>-73.643543621701781</v>
      </c>
      <c r="CY16" s="442">
        <f t="shared" si="46"/>
        <v>77.59387382697895</v>
      </c>
    </row>
    <row r="17" spans="1:103" x14ac:dyDescent="0.3">
      <c r="A17" s="35"/>
      <c r="B17" s="35"/>
      <c r="C17" s="629" t="s">
        <v>281</v>
      </c>
      <c r="D17" s="51"/>
      <c r="E17" s="51">
        <f t="shared" ref="E17" si="47">E15-D15</f>
        <v>0</v>
      </c>
      <c r="F17" s="51">
        <f t="shared" ref="F17" si="48">F15-E15</f>
        <v>0</v>
      </c>
      <c r="G17" s="51">
        <f t="shared" ref="G17" si="49">G15-F15</f>
        <v>0</v>
      </c>
      <c r="H17" s="51">
        <f t="shared" ref="H17" si="50">H15-G15</f>
        <v>0</v>
      </c>
      <c r="I17" s="51">
        <f t="shared" ref="I17" si="51">I15-H15</f>
        <v>0</v>
      </c>
      <c r="J17" s="51">
        <f t="shared" ref="J17" si="52">J15-I15</f>
        <v>0</v>
      </c>
      <c r="K17" s="51">
        <f t="shared" ref="K17" si="53">K15-J15</f>
        <v>0</v>
      </c>
      <c r="L17" s="51">
        <f t="shared" ref="L17" si="54">L15-K15</f>
        <v>0</v>
      </c>
      <c r="M17" s="51">
        <f t="shared" ref="M17" si="55">M15-L15</f>
        <v>0</v>
      </c>
      <c r="N17" s="51">
        <f t="shared" ref="N17" si="56">N15-M15</f>
        <v>0</v>
      </c>
      <c r="O17" s="51">
        <f t="shared" ref="O17" si="57">O15-N15</f>
        <v>0</v>
      </c>
      <c r="P17" s="51">
        <f t="shared" ref="P17" si="58">P15-O15</f>
        <v>0</v>
      </c>
      <c r="Q17" s="51">
        <f t="shared" ref="Q17" si="59">Q15-P15</f>
        <v>0</v>
      </c>
      <c r="R17" s="51">
        <f t="shared" ref="R17" si="60">R15-Q15</f>
        <v>0</v>
      </c>
      <c r="S17" s="51">
        <f t="shared" ref="S17" si="61">S15-R15</f>
        <v>0</v>
      </c>
      <c r="T17" s="51">
        <f t="shared" ref="T17" si="62">T15-S15</f>
        <v>1</v>
      </c>
      <c r="U17" s="51">
        <f t="shared" ref="U17" si="63">U15-T15</f>
        <v>1</v>
      </c>
      <c r="V17" s="51">
        <f t="shared" ref="V17" si="64">V15-U15</f>
        <v>0</v>
      </c>
      <c r="W17" s="51">
        <f t="shared" ref="W17:Z17" si="65">W15-V15</f>
        <v>-2</v>
      </c>
      <c r="X17" s="51">
        <f t="shared" si="65"/>
        <v>3</v>
      </c>
      <c r="Y17" s="51">
        <f>Y15-X15</f>
        <v>-2</v>
      </c>
      <c r="Z17" s="51">
        <f t="shared" si="65"/>
        <v>3</v>
      </c>
      <c r="AA17" s="51">
        <f>AA15-Z15</f>
        <v>0</v>
      </c>
      <c r="AB17" s="51">
        <f>AB15-AA15</f>
        <v>-1</v>
      </c>
      <c r="AC17" s="565">
        <f>AC15-AB15</f>
        <v>0</v>
      </c>
      <c r="AD17" s="440">
        <f>+SUM(AD21:AD22)+SUM(AD26:AD27)</f>
        <v>8.8571428571428577</v>
      </c>
      <c r="AE17" s="630">
        <f t="shared" ref="AE17:CJ17" si="66">+SUM(AE21:AE22)+SUM(AE26:AE27)</f>
        <v>7.2571428571428571</v>
      </c>
      <c r="AF17" s="441">
        <f t="shared" si="66"/>
        <v>4.3542857142857141</v>
      </c>
      <c r="AG17" s="441">
        <f t="shared" si="66"/>
        <v>2.6125714285714281</v>
      </c>
      <c r="AH17" s="441">
        <f t="shared" si="66"/>
        <v>1.5675428571428558</v>
      </c>
      <c r="AI17" s="441">
        <f t="shared" si="66"/>
        <v>0.94052571428571419</v>
      </c>
      <c r="AJ17" s="441">
        <f t="shared" si="66"/>
        <v>1.5643154285714296</v>
      </c>
      <c r="AK17" s="441">
        <f t="shared" si="66"/>
        <v>0.93858925714285846</v>
      </c>
      <c r="AL17" s="441">
        <f t="shared" si="66"/>
        <v>1.563153554285714</v>
      </c>
      <c r="AM17" s="441">
        <f t="shared" si="66"/>
        <v>1.9378921325714273</v>
      </c>
      <c r="AN17" s="441">
        <f t="shared" si="66"/>
        <v>1.1627352795428578</v>
      </c>
      <c r="AO17" s="441">
        <f t="shared" si="66"/>
        <v>0.69764116772571327</v>
      </c>
      <c r="AP17" s="441">
        <f t="shared" si="66"/>
        <v>0.41858470063542796</v>
      </c>
      <c r="AQ17" s="442">
        <f t="shared" si="66"/>
        <v>0.25115082038125713</v>
      </c>
      <c r="AR17" s="441">
        <f t="shared" si="66"/>
        <v>1.1506904922287546</v>
      </c>
      <c r="AS17" s="441">
        <f t="shared" si="66"/>
        <v>-0.30958570466274615</v>
      </c>
      <c r="AT17" s="441">
        <f t="shared" si="66"/>
        <v>-0.18575142279764911</v>
      </c>
      <c r="AU17" s="441">
        <f t="shared" si="66"/>
        <v>0.88854914632141124</v>
      </c>
      <c r="AV17" s="441">
        <f t="shared" si="66"/>
        <v>0.53312948779284852</v>
      </c>
      <c r="AW17" s="441">
        <f t="shared" si="66"/>
        <v>1.3198776926757088</v>
      </c>
      <c r="AX17" s="441">
        <f t="shared" si="66"/>
        <v>1.7919266156054228</v>
      </c>
      <c r="AY17" s="441">
        <f t="shared" si="66"/>
        <v>2.0751559693632551</v>
      </c>
      <c r="AZ17" s="441">
        <f t="shared" si="66"/>
        <v>1.2450935816179545</v>
      </c>
      <c r="BA17" s="441">
        <f t="shared" si="66"/>
        <v>0.7470561489707741</v>
      </c>
      <c r="BB17" s="441">
        <f t="shared" si="66"/>
        <v>0.44823368938246588</v>
      </c>
      <c r="BC17" s="442">
        <f t="shared" si="66"/>
        <v>0.26894021362948095</v>
      </c>
      <c r="BD17" s="441">
        <f t="shared" si="66"/>
        <v>1.1613641281776879</v>
      </c>
      <c r="BE17" s="441">
        <f t="shared" si="66"/>
        <v>0.69681847690661414</v>
      </c>
      <c r="BF17" s="441">
        <f t="shared" si="66"/>
        <v>0.41809108614396706</v>
      </c>
      <c r="BG17" s="441">
        <f t="shared" si="66"/>
        <v>0.25085465168638166</v>
      </c>
      <c r="BH17" s="441">
        <f t="shared" si="66"/>
        <v>1.1505127910118276</v>
      </c>
      <c r="BI17" s="441">
        <f t="shared" si="66"/>
        <v>1.690307674607098</v>
      </c>
      <c r="BJ17" s="441">
        <f t="shared" si="66"/>
        <v>2.0141846047642566</v>
      </c>
      <c r="BK17" s="441">
        <f t="shared" si="66"/>
        <v>2.2085107628585519</v>
      </c>
      <c r="BL17" s="441">
        <f t="shared" si="66"/>
        <v>1.3251064577151332</v>
      </c>
      <c r="BM17" s="441">
        <f t="shared" si="66"/>
        <v>0.79506387462907924</v>
      </c>
      <c r="BN17" s="441">
        <f t="shared" si="66"/>
        <v>0.47703832477744612</v>
      </c>
      <c r="BO17" s="442">
        <f t="shared" si="66"/>
        <v>1.286222994866467</v>
      </c>
      <c r="BP17" s="441">
        <f t="shared" si="66"/>
        <v>0.77173379691987876</v>
      </c>
      <c r="BQ17" s="441">
        <f t="shared" si="66"/>
        <v>0.46304027815192939</v>
      </c>
      <c r="BR17" s="441">
        <f t="shared" si="66"/>
        <v>0.27782416689115763</v>
      </c>
      <c r="BS17" s="441">
        <f t="shared" si="66"/>
        <v>1.166694500134696</v>
      </c>
      <c r="BT17" s="441">
        <f t="shared" si="66"/>
        <v>0.70001670008081618</v>
      </c>
      <c r="BU17" s="441">
        <f t="shared" si="66"/>
        <v>2.4200100200484904</v>
      </c>
      <c r="BV17" s="441">
        <f t="shared" si="66"/>
        <v>2.452006012029095</v>
      </c>
      <c r="BW17" s="441">
        <f t="shared" si="66"/>
        <v>2.4712036072174541</v>
      </c>
      <c r="BX17" s="441">
        <f t="shared" si="66"/>
        <v>2.4827221643304682</v>
      </c>
      <c r="BY17" s="441">
        <f t="shared" si="66"/>
        <v>1.4896332985982816</v>
      </c>
      <c r="BZ17" s="441">
        <f t="shared" si="66"/>
        <v>-0.10622002084102888</v>
      </c>
      <c r="CA17" s="442">
        <f t="shared" si="66"/>
        <v>0.93626798749538409</v>
      </c>
      <c r="CB17" s="441">
        <f t="shared" si="66"/>
        <v>1.5617607924972319</v>
      </c>
      <c r="CC17" s="441">
        <f t="shared" si="66"/>
        <v>0.93705647549834126</v>
      </c>
      <c r="CD17" s="441">
        <f t="shared" si="66"/>
        <v>0.56223388529900831</v>
      </c>
      <c r="CE17" s="441">
        <f t="shared" si="66"/>
        <v>0.33734033117940498</v>
      </c>
      <c r="CF17" s="441">
        <f t="shared" si="66"/>
        <v>1.2024041987076401</v>
      </c>
      <c r="CG17" s="441">
        <f t="shared" si="66"/>
        <v>2.7214425192245884</v>
      </c>
      <c r="CH17" s="441">
        <f t="shared" si="66"/>
        <v>3.6328655115347459</v>
      </c>
      <c r="CI17" s="441">
        <f t="shared" si="66"/>
        <v>3.1797193069208518</v>
      </c>
      <c r="CJ17" s="441">
        <f t="shared" si="66"/>
        <v>2.907831584152504</v>
      </c>
      <c r="CK17" s="441">
        <f t="shared" ref="CK17:CY17" si="67">+SUM(CK21:CK22)+SUM(CK26:CK27)</f>
        <v>1.7446989504915038</v>
      </c>
      <c r="CL17" s="441">
        <f t="shared" si="67"/>
        <v>4.6819370294905127E-2</v>
      </c>
      <c r="CM17" s="442">
        <f t="shared" si="67"/>
        <v>2.0280916221769374</v>
      </c>
      <c r="CN17" s="441">
        <f t="shared" si="67"/>
        <v>2.2168549733061695</v>
      </c>
      <c r="CO17" s="441">
        <f t="shared" si="67"/>
        <v>0.33011298398369604</v>
      </c>
      <c r="CP17" s="441">
        <f t="shared" si="67"/>
        <v>0.19806779039021905</v>
      </c>
      <c r="CQ17" s="441">
        <f t="shared" si="67"/>
        <v>1.1188406742341357</v>
      </c>
      <c r="CR17" s="441">
        <f t="shared" si="67"/>
        <v>1.6713044045404786</v>
      </c>
      <c r="CS17" s="441">
        <f t="shared" si="67"/>
        <v>4.0027826427242914</v>
      </c>
      <c r="CT17" s="441">
        <f t="shared" si="67"/>
        <v>4.4016695856345791</v>
      </c>
      <c r="CU17" s="441">
        <f t="shared" si="67"/>
        <v>3.6410017513807418</v>
      </c>
      <c r="CV17" s="441">
        <f t="shared" si="67"/>
        <v>4.1846010508284479</v>
      </c>
      <c r="CW17" s="441">
        <f t="shared" si="67"/>
        <v>1.5107606304970673</v>
      </c>
      <c r="CX17" s="441">
        <f t="shared" si="67"/>
        <v>0.90645637829823755</v>
      </c>
      <c r="CY17" s="442">
        <f t="shared" si="67"/>
        <v>1.5438738269789454</v>
      </c>
    </row>
    <row r="18" spans="1:103" x14ac:dyDescent="0.3">
      <c r="A18" s="35"/>
      <c r="B18" s="35"/>
      <c r="C18" s="629" t="s">
        <v>354</v>
      </c>
      <c r="D18" s="51"/>
      <c r="E18" s="51">
        <f t="shared" ref="E18:N18" si="68">+IF(E14&gt;D14,E14-D14, 0)</f>
        <v>0</v>
      </c>
      <c r="F18" s="51">
        <f t="shared" si="68"/>
        <v>0</v>
      </c>
      <c r="G18" s="51">
        <f t="shared" si="68"/>
        <v>0</v>
      </c>
      <c r="H18" s="51">
        <f t="shared" si="68"/>
        <v>0</v>
      </c>
      <c r="I18" s="51">
        <f t="shared" si="68"/>
        <v>0</v>
      </c>
      <c r="J18" s="51">
        <f t="shared" si="68"/>
        <v>0</v>
      </c>
      <c r="K18" s="51">
        <f t="shared" si="68"/>
        <v>0</v>
      </c>
      <c r="L18" s="51">
        <f t="shared" si="68"/>
        <v>0</v>
      </c>
      <c r="M18" s="51">
        <f t="shared" si="68"/>
        <v>0</v>
      </c>
      <c r="N18" s="51">
        <f t="shared" si="68"/>
        <v>0</v>
      </c>
      <c r="O18" s="51">
        <f t="shared" ref="O18:S18" si="69">+IF(O14&gt;N14,O14-N14, 0)</f>
        <v>0</v>
      </c>
      <c r="P18" s="51">
        <f t="shared" si="69"/>
        <v>0</v>
      </c>
      <c r="Q18" s="51">
        <f t="shared" si="69"/>
        <v>0</v>
      </c>
      <c r="R18" s="51">
        <f t="shared" si="69"/>
        <v>0</v>
      </c>
      <c r="S18" s="51">
        <f t="shared" si="69"/>
        <v>0</v>
      </c>
      <c r="T18" s="580">
        <f>+'Bookings by Service Type'!F15</f>
        <v>0</v>
      </c>
      <c r="U18" s="580">
        <f>+'Bookings by Service Type'!G15</f>
        <v>0</v>
      </c>
      <c r="V18" s="580">
        <f>+'Bookings by Service Type'!H15</f>
        <v>0</v>
      </c>
      <c r="W18" s="580">
        <f>+'Bookings by Service Type'!I15</f>
        <v>0</v>
      </c>
      <c r="X18" s="580">
        <f>+'Bookings by Service Type'!J15</f>
        <v>0</v>
      </c>
      <c r="Y18" s="580">
        <f>+'Bookings by Service Type'!K15</f>
        <v>28</v>
      </c>
      <c r="Z18" s="580">
        <f>+'Bookings by Service Type'!L15</f>
        <v>28</v>
      </c>
      <c r="AA18" s="580">
        <f>+'Bookings by Service Type'!M15</f>
        <v>0</v>
      </c>
      <c r="AB18" s="580">
        <f>+'Bookings by Service Type'!N15</f>
        <v>0</v>
      </c>
      <c r="AC18" s="581">
        <f>+'Bookings by Service Type'!O15</f>
        <v>0</v>
      </c>
      <c r="AD18" s="440">
        <f>+'Bookings by Service Type'!P15</f>
        <v>0</v>
      </c>
      <c r="AE18" s="631">
        <f>+'Bookings by Service Type'!Q15</f>
        <v>0</v>
      </c>
      <c r="AF18" s="443">
        <f>+'Bookings by Service Type'!R15</f>
        <v>0</v>
      </c>
      <c r="AG18" s="443">
        <f>+'Bookings by Service Type'!S15</f>
        <v>0</v>
      </c>
      <c r="AH18" s="443">
        <f>+'Bookings by Service Type'!T15</f>
        <v>0</v>
      </c>
      <c r="AI18" s="443">
        <f>+'Bookings by Service Type'!U15</f>
        <v>0</v>
      </c>
      <c r="AJ18" s="443">
        <f>+'Bookings by Service Type'!V15</f>
        <v>0</v>
      </c>
      <c r="AK18" s="443">
        <f>+'Bookings by Service Type'!W15</f>
        <v>97.3</v>
      </c>
      <c r="AL18" s="443">
        <f>+'Bookings by Service Type'!X15</f>
        <v>102.19999999999999</v>
      </c>
      <c r="AM18" s="443">
        <f>+'Bookings by Service Type'!Y15</f>
        <v>0</v>
      </c>
      <c r="AN18" s="443">
        <f>+'Bookings by Service Type'!Z15</f>
        <v>0</v>
      </c>
      <c r="AO18" s="443">
        <f>+'Bookings by Service Type'!AA15</f>
        <v>0</v>
      </c>
      <c r="AP18" s="443">
        <f>+'Bookings by Service Type'!AB15</f>
        <v>0</v>
      </c>
      <c r="AQ18" s="444">
        <f>+'Bookings by Service Type'!AC15</f>
        <v>0</v>
      </c>
      <c r="AR18" s="443">
        <f>+'Bookings by Service Type'!AD15</f>
        <v>0</v>
      </c>
      <c r="AS18" s="443">
        <f>+'Bookings by Service Type'!AE15</f>
        <v>0</v>
      </c>
      <c r="AT18" s="443">
        <f>+'Bookings by Service Type'!AF15</f>
        <v>0</v>
      </c>
      <c r="AU18" s="443">
        <f>+'Bookings by Service Type'!AG15</f>
        <v>0</v>
      </c>
      <c r="AV18" s="443">
        <f>+'Bookings by Service Type'!AH15</f>
        <v>0</v>
      </c>
      <c r="AW18" s="443">
        <f>+'Bookings by Service Type'!AI15</f>
        <v>123.19999999999999</v>
      </c>
      <c r="AX18" s="443">
        <f>+'Bookings by Service Type'!AJ15</f>
        <v>129.5</v>
      </c>
      <c r="AY18" s="443">
        <f>+'Bookings by Service Type'!AK15</f>
        <v>0</v>
      </c>
      <c r="AZ18" s="443">
        <f>+'Bookings by Service Type'!AL15</f>
        <v>0</v>
      </c>
      <c r="BA18" s="443">
        <f>+'Bookings by Service Type'!AM15</f>
        <v>0</v>
      </c>
      <c r="BB18" s="443">
        <f>+'Bookings by Service Type'!AN15</f>
        <v>0</v>
      </c>
      <c r="BC18" s="444">
        <f>+'Bookings by Service Type'!AO15</f>
        <v>0</v>
      </c>
      <c r="BD18" s="443">
        <f>+'Bookings by Service Type'!AP15</f>
        <v>0</v>
      </c>
      <c r="BE18" s="443">
        <f>+'Bookings by Service Type'!AQ15</f>
        <v>0</v>
      </c>
      <c r="BF18" s="443">
        <f>+'Bookings by Service Type'!AR15</f>
        <v>0</v>
      </c>
      <c r="BG18" s="443">
        <f>+'Bookings by Service Type'!AS15</f>
        <v>0</v>
      </c>
      <c r="BH18" s="443">
        <f>+'Bookings by Service Type'!AT15</f>
        <v>0</v>
      </c>
      <c r="BI18" s="443">
        <f>+'Bookings by Service Type'!AU15</f>
        <v>156.1</v>
      </c>
      <c r="BJ18" s="443">
        <f>+'Bookings by Service Type'!AV15</f>
        <v>163.79999999999998</v>
      </c>
      <c r="BK18" s="443">
        <f>+'Bookings by Service Type'!AW15</f>
        <v>0</v>
      </c>
      <c r="BL18" s="443">
        <f>+'Bookings by Service Type'!AX15</f>
        <v>0</v>
      </c>
      <c r="BM18" s="443">
        <f>+'Bookings by Service Type'!AY15</f>
        <v>0</v>
      </c>
      <c r="BN18" s="443">
        <f>+'Bookings by Service Type'!AZ15</f>
        <v>0</v>
      </c>
      <c r="BO18" s="444">
        <f>+'Bookings by Service Type'!BA15</f>
        <v>0</v>
      </c>
      <c r="BP18" s="443">
        <f>+'Bookings by Service Type'!BB15</f>
        <v>0</v>
      </c>
      <c r="BQ18" s="443">
        <f>+'Bookings by Service Type'!BC15</f>
        <v>0</v>
      </c>
      <c r="BR18" s="443">
        <f>+'Bookings by Service Type'!BD15</f>
        <v>0</v>
      </c>
      <c r="BS18" s="443">
        <f>+'Bookings by Service Type'!BE15</f>
        <v>0</v>
      </c>
      <c r="BT18" s="443">
        <f>+'Bookings by Service Type'!BF15</f>
        <v>0</v>
      </c>
      <c r="BU18" s="443">
        <f>+'Bookings by Service Type'!BG15</f>
        <v>197.39999999999998</v>
      </c>
      <c r="BV18" s="443">
        <f>+'Bookings by Service Type'!BH15</f>
        <v>207.2</v>
      </c>
      <c r="BW18" s="443">
        <f>+'Bookings by Service Type'!BI15</f>
        <v>0</v>
      </c>
      <c r="BX18" s="443">
        <f>+'Bookings by Service Type'!BJ15</f>
        <v>0</v>
      </c>
      <c r="BY18" s="443">
        <f>+'Bookings by Service Type'!BK15</f>
        <v>0</v>
      </c>
      <c r="BZ18" s="443">
        <f>+'Bookings by Service Type'!BL15</f>
        <v>0</v>
      </c>
      <c r="CA18" s="444">
        <f>+'Bookings by Service Type'!BM15</f>
        <v>0</v>
      </c>
      <c r="CB18" s="443">
        <f>+'Bookings by Service Type'!BN15</f>
        <v>0</v>
      </c>
      <c r="CC18" s="443">
        <f>+'Bookings by Service Type'!BO15</f>
        <v>0</v>
      </c>
      <c r="CD18" s="443">
        <f>+'Bookings by Service Type'!BP15</f>
        <v>0</v>
      </c>
      <c r="CE18" s="443">
        <f>+'Bookings by Service Type'!BQ15</f>
        <v>0</v>
      </c>
      <c r="CF18" s="443">
        <f>+'Bookings by Service Type'!BR15</f>
        <v>0</v>
      </c>
      <c r="CG18" s="443">
        <f>+'Bookings by Service Type'!BS15</f>
        <v>249.2</v>
      </c>
      <c r="CH18" s="443">
        <f>+'Bookings by Service Type'!BT15</f>
        <v>261.8</v>
      </c>
      <c r="CI18" s="443">
        <f>+'Bookings by Service Type'!BU15</f>
        <v>0</v>
      </c>
      <c r="CJ18" s="443">
        <f>+'Bookings by Service Type'!BV15</f>
        <v>0</v>
      </c>
      <c r="CK18" s="443">
        <f>+'Bookings by Service Type'!BW15</f>
        <v>0</v>
      </c>
      <c r="CL18" s="443">
        <f>+'Bookings by Service Type'!BX15</f>
        <v>0</v>
      </c>
      <c r="CM18" s="444">
        <f>+'Bookings by Service Type'!BY15</f>
        <v>0</v>
      </c>
      <c r="CN18" s="443">
        <f>+'Bookings by Service Type'!BZ15</f>
        <v>0</v>
      </c>
      <c r="CO18" s="443">
        <f>+'Bookings by Service Type'!CA15</f>
        <v>0</v>
      </c>
      <c r="CP18" s="443">
        <f>+'Bookings by Service Type'!CB15</f>
        <v>0</v>
      </c>
      <c r="CQ18" s="443">
        <f>+'Bookings by Service Type'!CC15</f>
        <v>0</v>
      </c>
      <c r="CR18" s="443">
        <f>+'Bookings by Service Type'!CD15</f>
        <v>0</v>
      </c>
      <c r="CS18" s="443">
        <f>+'Bookings by Service Type'!CE15</f>
        <v>315</v>
      </c>
      <c r="CT18" s="443">
        <f>+'Bookings by Service Type'!CF15</f>
        <v>331.09999999999997</v>
      </c>
      <c r="CU18" s="443">
        <f>+'Bookings by Service Type'!CG15</f>
        <v>0</v>
      </c>
      <c r="CV18" s="443">
        <f>+'Bookings by Service Type'!CH15</f>
        <v>0</v>
      </c>
      <c r="CW18" s="443">
        <f>+'Bookings by Service Type'!CI15</f>
        <v>0</v>
      </c>
      <c r="CX18" s="443">
        <f>+'Bookings by Service Type'!CJ15</f>
        <v>0</v>
      </c>
      <c r="CY18" s="444">
        <f>+'Bookings by Service Type'!CK15</f>
        <v>0</v>
      </c>
    </row>
    <row r="19" spans="1:103" x14ac:dyDescent="0.3">
      <c r="A19" s="35"/>
      <c r="B19" s="35"/>
      <c r="C19" s="629" t="s">
        <v>355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80">
        <f>+'Bookings by Service Type'!F16</f>
        <v>0</v>
      </c>
      <c r="U19" s="580">
        <f>+'Bookings by Service Type'!G16</f>
        <v>0</v>
      </c>
      <c r="V19" s="580">
        <f>+'Bookings by Service Type'!H16</f>
        <v>0</v>
      </c>
      <c r="W19" s="580">
        <f>+'Bookings by Service Type'!I16</f>
        <v>0</v>
      </c>
      <c r="X19" s="580">
        <f>+'Bookings by Service Type'!J16</f>
        <v>1</v>
      </c>
      <c r="Y19" s="580">
        <f>+'Bookings by Service Type'!K16</f>
        <v>2</v>
      </c>
      <c r="Z19" s="580">
        <f>+'Bookings by Service Type'!L16</f>
        <v>1</v>
      </c>
      <c r="AA19" s="580">
        <f>+'Bookings by Service Type'!M16</f>
        <v>0</v>
      </c>
      <c r="AB19" s="580">
        <f>+'Bookings by Service Type'!N16</f>
        <v>0</v>
      </c>
      <c r="AC19" s="581">
        <f>+'Bookings by Service Type'!O16</f>
        <v>0</v>
      </c>
      <c r="AD19" s="440">
        <f>+'Bookings by Service Type'!P16</f>
        <v>0</v>
      </c>
      <c r="AE19" s="631">
        <f>+'Bookings by Service Type'!Q16</f>
        <v>12.4</v>
      </c>
      <c r="AF19" s="443">
        <f>+'Bookings by Service Type'!R16</f>
        <v>12.700000000000001</v>
      </c>
      <c r="AG19" s="443">
        <f>+'Bookings by Service Type'!S16</f>
        <v>12.600000000000001</v>
      </c>
      <c r="AH19" s="443">
        <f>+'Bookings by Service Type'!T16</f>
        <v>0</v>
      </c>
      <c r="AI19" s="443">
        <f>+'Bookings by Service Type'!U16</f>
        <v>12.8</v>
      </c>
      <c r="AJ19" s="443">
        <f>+'Bookings by Service Type'!V16</f>
        <v>13.200000000000001</v>
      </c>
      <c r="AK19" s="443">
        <f>+'Bookings by Service Type'!W16</f>
        <v>27.8</v>
      </c>
      <c r="AL19" s="443">
        <f>+'Bookings by Service Type'!X16</f>
        <v>29.200000000000003</v>
      </c>
      <c r="AM19" s="443">
        <f>+'Bookings by Service Type'!Y16</f>
        <v>15</v>
      </c>
      <c r="AN19" s="443">
        <f>+'Bookings by Service Type'!Z16</f>
        <v>15.5</v>
      </c>
      <c r="AO19" s="443">
        <f>+'Bookings by Service Type'!AA16</f>
        <v>15.3</v>
      </c>
      <c r="AP19" s="443">
        <f>+'Bookings by Service Type'!AB16</f>
        <v>0</v>
      </c>
      <c r="AQ19" s="444">
        <f>+'Bookings by Service Type'!AC16</f>
        <v>15.600000000000001</v>
      </c>
      <c r="AR19" s="443">
        <f>+'Bookings by Service Type'!AD16</f>
        <v>16.100000000000001</v>
      </c>
      <c r="AS19" s="443">
        <f>+'Bookings by Service Type'!AE16</f>
        <v>15.9</v>
      </c>
      <c r="AT19" s="443">
        <f>+'Bookings by Service Type'!AF16</f>
        <v>0</v>
      </c>
      <c r="AU19" s="443">
        <f>+'Bookings by Service Type'!AG16</f>
        <v>16.3</v>
      </c>
      <c r="AV19" s="443">
        <f>+'Bookings by Service Type'!AH16</f>
        <v>16.7</v>
      </c>
      <c r="AW19" s="443">
        <f>+'Bookings by Service Type'!AI16</f>
        <v>35.200000000000003</v>
      </c>
      <c r="AX19" s="443">
        <f>+'Bookings by Service Type'!AJ16</f>
        <v>37</v>
      </c>
      <c r="AY19" s="443">
        <f>+'Bookings by Service Type'!AK16</f>
        <v>19</v>
      </c>
      <c r="AZ19" s="443">
        <f>+'Bookings by Service Type'!AL16</f>
        <v>19.600000000000001</v>
      </c>
      <c r="BA19" s="443">
        <f>+'Bookings by Service Type'!AM16</f>
        <v>19.400000000000002</v>
      </c>
      <c r="BB19" s="443">
        <f>+'Bookings by Service Type'!AN16</f>
        <v>0</v>
      </c>
      <c r="BC19" s="444">
        <f>+'Bookings by Service Type'!AO16</f>
        <v>19.8</v>
      </c>
      <c r="BD19" s="443">
        <f>+'Bookings by Service Type'!AP16</f>
        <v>20.400000000000002</v>
      </c>
      <c r="BE19" s="443">
        <f>+'Bookings by Service Type'!AQ16</f>
        <v>20.200000000000003</v>
      </c>
      <c r="BF19" s="443">
        <f>+'Bookings by Service Type'!AR16</f>
        <v>0</v>
      </c>
      <c r="BG19" s="443">
        <f>+'Bookings by Service Type'!AS16</f>
        <v>20.6</v>
      </c>
      <c r="BH19" s="443">
        <f>+'Bookings by Service Type'!AT16</f>
        <v>21.200000000000003</v>
      </c>
      <c r="BI19" s="443">
        <f>+'Bookings by Service Type'!AU16</f>
        <v>44.6</v>
      </c>
      <c r="BJ19" s="443">
        <f>+'Bookings by Service Type'!AV16</f>
        <v>46.800000000000004</v>
      </c>
      <c r="BK19" s="443">
        <f>+'Bookings by Service Type'!AW16</f>
        <v>24.1</v>
      </c>
      <c r="BL19" s="443">
        <f>+'Bookings by Service Type'!AX16</f>
        <v>24.8</v>
      </c>
      <c r="BM19" s="443">
        <f>+'Bookings by Service Type'!AY16</f>
        <v>24.5</v>
      </c>
      <c r="BN19" s="443">
        <f>+'Bookings by Service Type'!AZ16</f>
        <v>0</v>
      </c>
      <c r="BO19" s="444">
        <f>+'Bookings by Service Type'!BA16</f>
        <v>25</v>
      </c>
      <c r="BP19" s="443">
        <f>+'Bookings by Service Type'!BB16</f>
        <v>25.8</v>
      </c>
      <c r="BQ19" s="443">
        <f>+'Bookings by Service Type'!BC16</f>
        <v>25.5</v>
      </c>
      <c r="BR19" s="443">
        <f>+'Bookings by Service Type'!BD16</f>
        <v>0</v>
      </c>
      <c r="BS19" s="443">
        <f>+'Bookings by Service Type'!BE16</f>
        <v>26</v>
      </c>
      <c r="BT19" s="443">
        <f>+'Bookings by Service Type'!BF16</f>
        <v>26.8</v>
      </c>
      <c r="BU19" s="443">
        <f>+'Bookings by Service Type'!BG16</f>
        <v>56.400000000000006</v>
      </c>
      <c r="BV19" s="443">
        <f>+'Bookings by Service Type'!BH16</f>
        <v>59.2</v>
      </c>
      <c r="BW19" s="443">
        <f>+'Bookings by Service Type'!BI16</f>
        <v>30.400000000000002</v>
      </c>
      <c r="BX19" s="443">
        <f>+'Bookings by Service Type'!BJ16</f>
        <v>31.400000000000002</v>
      </c>
      <c r="BY19" s="443">
        <f>+'Bookings by Service Type'!BK16</f>
        <v>31.1</v>
      </c>
      <c r="BZ19" s="443">
        <f>+'Bookings by Service Type'!BL16</f>
        <v>0</v>
      </c>
      <c r="CA19" s="444">
        <f>+'Bookings by Service Type'!BM16</f>
        <v>31.700000000000003</v>
      </c>
      <c r="CB19" s="443">
        <f>+'Bookings by Service Type'!BN16</f>
        <v>32.6</v>
      </c>
      <c r="CC19" s="443">
        <f>+'Bookings by Service Type'!BO16</f>
        <v>32.300000000000004</v>
      </c>
      <c r="CD19" s="443">
        <f>+'Bookings by Service Type'!BP16</f>
        <v>0</v>
      </c>
      <c r="CE19" s="443">
        <f>+'Bookings by Service Type'!BQ16</f>
        <v>32.9</v>
      </c>
      <c r="CF19" s="443">
        <f>+'Bookings by Service Type'!BR16</f>
        <v>33.9</v>
      </c>
      <c r="CG19" s="443">
        <f>+'Bookings by Service Type'!BS16</f>
        <v>71.2</v>
      </c>
      <c r="CH19" s="443">
        <f>+'Bookings by Service Type'!BT16</f>
        <v>74.8</v>
      </c>
      <c r="CI19" s="443">
        <f>+'Bookings by Service Type'!BU16</f>
        <v>38.5</v>
      </c>
      <c r="CJ19" s="443">
        <f>+'Bookings by Service Type'!BV16</f>
        <v>39.700000000000003</v>
      </c>
      <c r="CK19" s="443">
        <f>+'Bookings by Service Type'!BW16</f>
        <v>39.300000000000004</v>
      </c>
      <c r="CL19" s="443">
        <f>+'Bookings by Service Type'!BX16</f>
        <v>0</v>
      </c>
      <c r="CM19" s="444">
        <f>+'Bookings by Service Type'!BY16</f>
        <v>40.1</v>
      </c>
      <c r="CN19" s="443">
        <f>+'Bookings by Service Type'!BZ16</f>
        <v>41.300000000000004</v>
      </c>
      <c r="CO19" s="443">
        <f>+'Bookings by Service Type'!CA16</f>
        <v>40.800000000000004</v>
      </c>
      <c r="CP19" s="443">
        <f>+'Bookings by Service Type'!CB16</f>
        <v>0</v>
      </c>
      <c r="CQ19" s="443">
        <f>+'Bookings by Service Type'!CC16</f>
        <v>41.6</v>
      </c>
      <c r="CR19" s="443">
        <f>+'Bookings by Service Type'!CD16</f>
        <v>42.900000000000006</v>
      </c>
      <c r="CS19" s="443">
        <f>+'Bookings by Service Type'!CE16</f>
        <v>90</v>
      </c>
      <c r="CT19" s="443">
        <f>+'Bookings by Service Type'!CF16</f>
        <v>94.600000000000009</v>
      </c>
      <c r="CU19" s="443">
        <f>+'Bookings by Service Type'!CG16</f>
        <v>48.7</v>
      </c>
      <c r="CV19" s="443">
        <f>+'Bookings by Service Type'!CH16</f>
        <v>50.2</v>
      </c>
      <c r="CW19" s="443">
        <f>+'Bookings by Service Type'!CI16</f>
        <v>49.7</v>
      </c>
      <c r="CX19" s="443">
        <f>+'Bookings by Service Type'!CJ16</f>
        <v>0</v>
      </c>
      <c r="CY19" s="444">
        <f>+'Bookings by Service Type'!CK16</f>
        <v>50.7</v>
      </c>
    </row>
    <row r="20" spans="1:103" x14ac:dyDescent="0.3">
      <c r="A20" s="35"/>
      <c r="B20" s="35"/>
      <c r="C20" s="629" t="s">
        <v>356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80">
        <f>+'Bookings by Service Type'!F17</f>
        <v>0</v>
      </c>
      <c r="U20" s="580">
        <f>+'Bookings by Service Type'!G17</f>
        <v>0</v>
      </c>
      <c r="V20" s="580">
        <f>+'Bookings by Service Type'!H17</f>
        <v>0</v>
      </c>
      <c r="W20" s="580">
        <f>+'Bookings by Service Type'!I17</f>
        <v>0</v>
      </c>
      <c r="X20" s="580">
        <f>+'Bookings by Service Type'!J17</f>
        <v>3</v>
      </c>
      <c r="Y20" s="580">
        <f>+'Bookings by Service Type'!K17</f>
        <v>4</v>
      </c>
      <c r="Z20" s="580">
        <f>+'Bookings by Service Type'!L17</f>
        <v>2</v>
      </c>
      <c r="AA20" s="580">
        <f>+'Bookings by Service Type'!M17</f>
        <v>0</v>
      </c>
      <c r="AB20" s="580">
        <f>+'Bookings by Service Type'!N17</f>
        <v>0</v>
      </c>
      <c r="AC20" s="581">
        <f>+'Bookings by Service Type'!O17</f>
        <v>0</v>
      </c>
      <c r="AD20" s="440">
        <f>+'Bookings by Service Type'!P17</f>
        <v>0</v>
      </c>
      <c r="AE20" s="631">
        <f>+'Bookings by Service Type'!Q17</f>
        <v>6.2</v>
      </c>
      <c r="AF20" s="443">
        <f>+'Bookings by Service Type'!R17</f>
        <v>6.3500000000000005</v>
      </c>
      <c r="AG20" s="443">
        <f>+'Bookings by Service Type'!S17</f>
        <v>6.3000000000000007</v>
      </c>
      <c r="AH20" s="443">
        <f>+'Bookings by Service Type'!T17</f>
        <v>0</v>
      </c>
      <c r="AI20" s="443">
        <f>+'Bookings by Service Type'!U17</f>
        <v>6.4</v>
      </c>
      <c r="AJ20" s="443">
        <f>+'Bookings by Service Type'!V17</f>
        <v>6.6000000000000005</v>
      </c>
      <c r="AK20" s="443">
        <f>+'Bookings by Service Type'!W17</f>
        <v>13.9</v>
      </c>
      <c r="AL20" s="443">
        <f>+'Bookings by Service Type'!X17</f>
        <v>14.600000000000001</v>
      </c>
      <c r="AM20" s="443">
        <f>+'Bookings by Service Type'!Y17</f>
        <v>7.5</v>
      </c>
      <c r="AN20" s="443">
        <f>+'Bookings by Service Type'!Z17</f>
        <v>7.75</v>
      </c>
      <c r="AO20" s="443">
        <f>+'Bookings by Service Type'!AA17</f>
        <v>7.65</v>
      </c>
      <c r="AP20" s="443">
        <f>+'Bookings by Service Type'!AB17</f>
        <v>0</v>
      </c>
      <c r="AQ20" s="444">
        <f>+'Bookings by Service Type'!AC17</f>
        <v>7.8000000000000007</v>
      </c>
      <c r="AR20" s="443">
        <f>+'Bookings by Service Type'!AD17</f>
        <v>8.0500000000000007</v>
      </c>
      <c r="AS20" s="443">
        <f>+'Bookings by Service Type'!AE17</f>
        <v>7.95</v>
      </c>
      <c r="AT20" s="443">
        <f>+'Bookings by Service Type'!AF17</f>
        <v>0</v>
      </c>
      <c r="AU20" s="443">
        <f>+'Bookings by Service Type'!AG17</f>
        <v>8.15</v>
      </c>
      <c r="AV20" s="443">
        <f>+'Bookings by Service Type'!AH17</f>
        <v>8.35</v>
      </c>
      <c r="AW20" s="443">
        <f>+'Bookings by Service Type'!AI17</f>
        <v>17.600000000000001</v>
      </c>
      <c r="AX20" s="443">
        <f>+'Bookings by Service Type'!AJ17</f>
        <v>18.5</v>
      </c>
      <c r="AY20" s="443">
        <f>+'Bookings by Service Type'!AK17</f>
        <v>9.5</v>
      </c>
      <c r="AZ20" s="443">
        <f>+'Bookings by Service Type'!AL17</f>
        <v>9.8000000000000007</v>
      </c>
      <c r="BA20" s="443">
        <f>+'Bookings by Service Type'!AM17</f>
        <v>9.7000000000000011</v>
      </c>
      <c r="BB20" s="443">
        <f>+'Bookings by Service Type'!AN17</f>
        <v>0</v>
      </c>
      <c r="BC20" s="444">
        <f>+'Bookings by Service Type'!AO17</f>
        <v>9.9</v>
      </c>
      <c r="BD20" s="443">
        <f>+'Bookings by Service Type'!AP17</f>
        <v>10.200000000000001</v>
      </c>
      <c r="BE20" s="443">
        <f>+'Bookings by Service Type'!AQ17</f>
        <v>10.100000000000001</v>
      </c>
      <c r="BF20" s="443">
        <f>+'Bookings by Service Type'!AR17</f>
        <v>0</v>
      </c>
      <c r="BG20" s="443">
        <f>+'Bookings by Service Type'!AS17</f>
        <v>10.3</v>
      </c>
      <c r="BH20" s="443">
        <f>+'Bookings by Service Type'!AT17</f>
        <v>10.600000000000001</v>
      </c>
      <c r="BI20" s="443">
        <f>+'Bookings by Service Type'!AU17</f>
        <v>22.3</v>
      </c>
      <c r="BJ20" s="443">
        <f>+'Bookings by Service Type'!AV17</f>
        <v>23.400000000000002</v>
      </c>
      <c r="BK20" s="443">
        <f>+'Bookings by Service Type'!AW17</f>
        <v>12.05</v>
      </c>
      <c r="BL20" s="443">
        <f>+'Bookings by Service Type'!AX17</f>
        <v>12.4</v>
      </c>
      <c r="BM20" s="443">
        <f>+'Bookings by Service Type'!AY17</f>
        <v>12.25</v>
      </c>
      <c r="BN20" s="443">
        <f>+'Bookings by Service Type'!AZ17</f>
        <v>0</v>
      </c>
      <c r="BO20" s="444">
        <f>+'Bookings by Service Type'!BA17</f>
        <v>12.5</v>
      </c>
      <c r="BP20" s="443">
        <f>+'Bookings by Service Type'!BB17</f>
        <v>12.9</v>
      </c>
      <c r="BQ20" s="443">
        <f>+'Bookings by Service Type'!BC17</f>
        <v>12.75</v>
      </c>
      <c r="BR20" s="443">
        <f>+'Bookings by Service Type'!BD17</f>
        <v>0</v>
      </c>
      <c r="BS20" s="443">
        <f>+'Bookings by Service Type'!BE17</f>
        <v>13</v>
      </c>
      <c r="BT20" s="443">
        <f>+'Bookings by Service Type'!BF17</f>
        <v>13.4</v>
      </c>
      <c r="BU20" s="443">
        <f>+'Bookings by Service Type'!BG17</f>
        <v>28.200000000000003</v>
      </c>
      <c r="BV20" s="443">
        <f>+'Bookings by Service Type'!BH17</f>
        <v>29.6</v>
      </c>
      <c r="BW20" s="443">
        <f>+'Bookings by Service Type'!BI17</f>
        <v>15.200000000000001</v>
      </c>
      <c r="BX20" s="443">
        <f>+'Bookings by Service Type'!BJ17</f>
        <v>15.700000000000001</v>
      </c>
      <c r="BY20" s="443">
        <f>+'Bookings by Service Type'!BK17</f>
        <v>15.55</v>
      </c>
      <c r="BZ20" s="443">
        <f>+'Bookings by Service Type'!BL17</f>
        <v>0</v>
      </c>
      <c r="CA20" s="444">
        <f>+'Bookings by Service Type'!BM17</f>
        <v>15.850000000000001</v>
      </c>
      <c r="CB20" s="443">
        <f>+'Bookings by Service Type'!BN17</f>
        <v>16.3</v>
      </c>
      <c r="CC20" s="443">
        <f>+'Bookings by Service Type'!BO17</f>
        <v>16.150000000000002</v>
      </c>
      <c r="CD20" s="443">
        <f>+'Bookings by Service Type'!BP17</f>
        <v>0</v>
      </c>
      <c r="CE20" s="443">
        <f>+'Bookings by Service Type'!BQ17</f>
        <v>16.45</v>
      </c>
      <c r="CF20" s="443">
        <f>+'Bookings by Service Type'!BR17</f>
        <v>16.95</v>
      </c>
      <c r="CG20" s="443">
        <f>+'Bookings by Service Type'!BS17</f>
        <v>35.6</v>
      </c>
      <c r="CH20" s="443">
        <f>+'Bookings by Service Type'!BT17</f>
        <v>37.4</v>
      </c>
      <c r="CI20" s="443">
        <f>+'Bookings by Service Type'!BU17</f>
        <v>19.25</v>
      </c>
      <c r="CJ20" s="443">
        <f>+'Bookings by Service Type'!BV17</f>
        <v>19.850000000000001</v>
      </c>
      <c r="CK20" s="443">
        <f>+'Bookings by Service Type'!BW17</f>
        <v>19.650000000000002</v>
      </c>
      <c r="CL20" s="443">
        <f>+'Bookings by Service Type'!BX17</f>
        <v>0</v>
      </c>
      <c r="CM20" s="444">
        <f>+'Bookings by Service Type'!BY17</f>
        <v>20.05</v>
      </c>
      <c r="CN20" s="443">
        <f>+'Bookings by Service Type'!BZ17</f>
        <v>20.650000000000002</v>
      </c>
      <c r="CO20" s="443">
        <f>+'Bookings by Service Type'!CA17</f>
        <v>20.400000000000002</v>
      </c>
      <c r="CP20" s="443">
        <f>+'Bookings by Service Type'!CB17</f>
        <v>0</v>
      </c>
      <c r="CQ20" s="443">
        <f>+'Bookings by Service Type'!CC17</f>
        <v>20.8</v>
      </c>
      <c r="CR20" s="443">
        <f>+'Bookings by Service Type'!CD17</f>
        <v>21.450000000000003</v>
      </c>
      <c r="CS20" s="443">
        <f>+'Bookings by Service Type'!CE17</f>
        <v>45</v>
      </c>
      <c r="CT20" s="443">
        <f>+'Bookings by Service Type'!CF17</f>
        <v>47.300000000000004</v>
      </c>
      <c r="CU20" s="443">
        <f>+'Bookings by Service Type'!CG17</f>
        <v>24.35</v>
      </c>
      <c r="CV20" s="443">
        <f>+'Bookings by Service Type'!CH17</f>
        <v>25.1</v>
      </c>
      <c r="CW20" s="443">
        <f>+'Bookings by Service Type'!CI17</f>
        <v>24.85</v>
      </c>
      <c r="CX20" s="443">
        <f>+'Bookings by Service Type'!CJ17</f>
        <v>0</v>
      </c>
      <c r="CY20" s="444">
        <f>+'Bookings by Service Type'!CK17</f>
        <v>25.35</v>
      </c>
    </row>
    <row r="21" spans="1:103" x14ac:dyDescent="0.3">
      <c r="A21" s="35"/>
      <c r="B21" s="35"/>
      <c r="C21" s="629" t="s">
        <v>357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80">
        <f>+'Bookings by Service Type'!F33</f>
        <v>0</v>
      </c>
      <c r="U21" s="580">
        <f>+'Bookings by Service Type'!G33</f>
        <v>0</v>
      </c>
      <c r="V21" s="580">
        <f>+'Bookings by Service Type'!H33</f>
        <v>0</v>
      </c>
      <c r="W21" s="580">
        <f>+'Bookings by Service Type'!I33</f>
        <v>0</v>
      </c>
      <c r="X21" s="580">
        <f>+'Bookings by Service Type'!J33</f>
        <v>0</v>
      </c>
      <c r="Y21" s="580">
        <f>+'Bookings by Service Type'!K33</f>
        <v>1</v>
      </c>
      <c r="Z21" s="580">
        <f>+'Bookings by Service Type'!L33</f>
        <v>5</v>
      </c>
      <c r="AA21" s="580">
        <f>+'Bookings by Service Type'!M33</f>
        <v>5.5</v>
      </c>
      <c r="AB21" s="580">
        <f>+'Bookings by Service Type'!N33</f>
        <v>5</v>
      </c>
      <c r="AC21" s="581">
        <f>+'Bookings by Service Type'!O33</f>
        <v>1</v>
      </c>
      <c r="AD21" s="440">
        <f>+'Bookings by Service Type'!P33</f>
        <v>6</v>
      </c>
      <c r="AE21" s="631">
        <f>+'Bookings by Service Type'!Q33</f>
        <v>6</v>
      </c>
      <c r="AF21" s="443">
        <f>+'Bookings by Service Type'!R33</f>
        <v>6</v>
      </c>
      <c r="AG21" s="443">
        <f>+'Bookings by Service Type'!S33</f>
        <v>6</v>
      </c>
      <c r="AH21" s="443">
        <f>+'Bookings by Service Type'!T33</f>
        <v>6</v>
      </c>
      <c r="AI21" s="443">
        <f>+'Bookings by Service Type'!U33</f>
        <v>6</v>
      </c>
      <c r="AJ21" s="443">
        <f>+'Bookings by Service Type'!V33</f>
        <v>6.5</v>
      </c>
      <c r="AK21" s="443">
        <f>+'Bookings by Service Type'!W33</f>
        <v>6.5</v>
      </c>
      <c r="AL21" s="443">
        <f>+'Bookings by Service Type'!X33</f>
        <v>7</v>
      </c>
      <c r="AM21" s="443">
        <f>+'Bookings by Service Type'!Y33</f>
        <v>7.5</v>
      </c>
      <c r="AN21" s="443">
        <f>+'Bookings by Service Type'!Z33</f>
        <v>7.5</v>
      </c>
      <c r="AO21" s="443">
        <f>+'Bookings by Service Type'!AA33</f>
        <v>7.5</v>
      </c>
      <c r="AP21" s="443">
        <f>+'Bookings by Service Type'!AB33</f>
        <v>7.5</v>
      </c>
      <c r="AQ21" s="444">
        <f>+'Bookings by Service Type'!AC33</f>
        <v>7.5</v>
      </c>
      <c r="AR21" s="443">
        <f>+'Bookings by Service Type'!AD33</f>
        <v>8</v>
      </c>
      <c r="AS21" s="443">
        <f>+'Bookings by Service Type'!AE33</f>
        <v>7.5</v>
      </c>
      <c r="AT21" s="443">
        <f>+'Bookings by Service Type'!AF33</f>
        <v>7.5</v>
      </c>
      <c r="AU21" s="443">
        <f>+'Bookings by Service Type'!AG33</f>
        <v>8</v>
      </c>
      <c r="AV21" s="443">
        <f>+'Bookings by Service Type'!AH33</f>
        <v>8</v>
      </c>
      <c r="AW21" s="443">
        <f>+'Bookings by Service Type'!AI33</f>
        <v>8.5</v>
      </c>
      <c r="AX21" s="443">
        <f>+'Bookings by Service Type'!AJ33</f>
        <v>9</v>
      </c>
      <c r="AY21" s="443">
        <f>+'Bookings by Service Type'!AK33</f>
        <v>9.5</v>
      </c>
      <c r="AZ21" s="443">
        <f>+'Bookings by Service Type'!AL33</f>
        <v>9.5</v>
      </c>
      <c r="BA21" s="443">
        <f>+'Bookings by Service Type'!AM33</f>
        <v>9.5</v>
      </c>
      <c r="BB21" s="443">
        <f>+'Bookings by Service Type'!AN33</f>
        <v>9.5</v>
      </c>
      <c r="BC21" s="444">
        <f>+'Bookings by Service Type'!AO33</f>
        <v>9.5</v>
      </c>
      <c r="BD21" s="443">
        <f>+'Bookings by Service Type'!AP33</f>
        <v>10</v>
      </c>
      <c r="BE21" s="443">
        <f>+'Bookings by Service Type'!AQ33</f>
        <v>10</v>
      </c>
      <c r="BF21" s="443">
        <f>+'Bookings by Service Type'!AR33</f>
        <v>10</v>
      </c>
      <c r="BG21" s="443">
        <f>+'Bookings by Service Type'!AS33</f>
        <v>10</v>
      </c>
      <c r="BH21" s="443">
        <f>+'Bookings by Service Type'!AT33</f>
        <v>10.5</v>
      </c>
      <c r="BI21" s="443">
        <f>+'Bookings by Service Type'!AU33</f>
        <v>11</v>
      </c>
      <c r="BJ21" s="443">
        <f>+'Bookings by Service Type'!AV33</f>
        <v>11.5</v>
      </c>
      <c r="BK21" s="443">
        <f>+'Bookings by Service Type'!AW33</f>
        <v>12</v>
      </c>
      <c r="BL21" s="443">
        <f>+'Bookings by Service Type'!AX33</f>
        <v>12</v>
      </c>
      <c r="BM21" s="443">
        <f>+'Bookings by Service Type'!AY33</f>
        <v>12</v>
      </c>
      <c r="BN21" s="443">
        <f>+'Bookings by Service Type'!AZ33</f>
        <v>12</v>
      </c>
      <c r="BO21" s="444">
        <f>+'Bookings by Service Type'!BA33</f>
        <v>12.5</v>
      </c>
      <c r="BP21" s="443">
        <f>+'Bookings by Service Type'!BB33</f>
        <v>12.5</v>
      </c>
      <c r="BQ21" s="443">
        <f>+'Bookings by Service Type'!BC33</f>
        <v>12.5</v>
      </c>
      <c r="BR21" s="443">
        <f>+'Bookings by Service Type'!BD33</f>
        <v>12.5</v>
      </c>
      <c r="BS21" s="443">
        <f>+'Bookings by Service Type'!BE33</f>
        <v>13</v>
      </c>
      <c r="BT21" s="443">
        <f>+'Bookings by Service Type'!BF33</f>
        <v>13</v>
      </c>
      <c r="BU21" s="443">
        <f>+'Bookings by Service Type'!BG33</f>
        <v>14</v>
      </c>
      <c r="BV21" s="443">
        <f>+'Bookings by Service Type'!BH33</f>
        <v>14.5</v>
      </c>
      <c r="BW21" s="443">
        <f>+'Bookings by Service Type'!BI33</f>
        <v>15</v>
      </c>
      <c r="BX21" s="443">
        <f>+'Bookings by Service Type'!BJ33</f>
        <v>15.5</v>
      </c>
      <c r="BY21" s="443">
        <f>+'Bookings by Service Type'!BK33</f>
        <v>15.5</v>
      </c>
      <c r="BZ21" s="443">
        <f>+'Bookings by Service Type'!BL33</f>
        <v>15</v>
      </c>
      <c r="CA21" s="444">
        <f>+'Bookings by Service Type'!BM33</f>
        <v>15.5</v>
      </c>
      <c r="CB21" s="443">
        <f>+'Bookings by Service Type'!BN33</f>
        <v>16</v>
      </c>
      <c r="CC21" s="443">
        <f>+'Bookings by Service Type'!BO33</f>
        <v>16</v>
      </c>
      <c r="CD21" s="443">
        <f>+'Bookings by Service Type'!BP33</f>
        <v>16</v>
      </c>
      <c r="CE21" s="443">
        <f>+'Bookings by Service Type'!BQ33</f>
        <v>16</v>
      </c>
      <c r="CF21" s="443">
        <f>+'Bookings by Service Type'!BR33</f>
        <v>16.5</v>
      </c>
      <c r="CG21" s="443">
        <f>+'Bookings by Service Type'!BS33</f>
        <v>17.5</v>
      </c>
      <c r="CH21" s="443">
        <f>+'Bookings by Service Type'!BT33</f>
        <v>18.5</v>
      </c>
      <c r="CI21" s="443">
        <f>+'Bookings by Service Type'!BU33</f>
        <v>19</v>
      </c>
      <c r="CJ21" s="443">
        <f>+'Bookings by Service Type'!BV33</f>
        <v>19.5</v>
      </c>
      <c r="CK21" s="443">
        <f>+'Bookings by Service Type'!BW33</f>
        <v>19.5</v>
      </c>
      <c r="CL21" s="443">
        <f>+'Bookings by Service Type'!BX33</f>
        <v>19</v>
      </c>
      <c r="CM21" s="444">
        <f>+'Bookings by Service Type'!BY33</f>
        <v>20</v>
      </c>
      <c r="CN21" s="443">
        <f>+'Bookings by Service Type'!BZ33</f>
        <v>20.5</v>
      </c>
      <c r="CO21" s="443">
        <f>+'Bookings by Service Type'!CA33</f>
        <v>20</v>
      </c>
      <c r="CP21" s="443">
        <f>+'Bookings by Service Type'!CB33</f>
        <v>20</v>
      </c>
      <c r="CQ21" s="443">
        <f>+'Bookings by Service Type'!CC33</f>
        <v>20.5</v>
      </c>
      <c r="CR21" s="443">
        <f>+'Bookings by Service Type'!CD33</f>
        <v>21</v>
      </c>
      <c r="CS21" s="443">
        <f>+'Bookings by Service Type'!CE33</f>
        <v>22.5</v>
      </c>
      <c r="CT21" s="443">
        <f>+'Bookings by Service Type'!CF33</f>
        <v>23.5</v>
      </c>
      <c r="CU21" s="443">
        <f>+'Bookings by Service Type'!CG33</f>
        <v>24</v>
      </c>
      <c r="CV21" s="443">
        <f>+'Bookings by Service Type'!CH33</f>
        <v>25</v>
      </c>
      <c r="CW21" s="443">
        <f>+'Bookings by Service Type'!CI33</f>
        <v>24.5</v>
      </c>
      <c r="CX21" s="443">
        <f>+'Bookings by Service Type'!CJ33</f>
        <v>24.5</v>
      </c>
      <c r="CY21" s="444">
        <f>+'Bookings by Service Type'!CK33</f>
        <v>25</v>
      </c>
    </row>
    <row r="22" spans="1:103" x14ac:dyDescent="0.3">
      <c r="A22" s="35"/>
      <c r="B22" s="35"/>
      <c r="C22" s="629" t="s">
        <v>358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80">
        <f>+'Bookings by Service Type'!F34</f>
        <v>0</v>
      </c>
      <c r="U22" s="580">
        <f>+'Bookings by Service Type'!G34</f>
        <v>0</v>
      </c>
      <c r="V22" s="580">
        <f>+'Bookings by Service Type'!H34</f>
        <v>0</v>
      </c>
      <c r="W22" s="580">
        <f>+'Bookings by Service Type'!I34</f>
        <v>0</v>
      </c>
      <c r="X22" s="580">
        <f>+'Bookings by Service Type'!J34</f>
        <v>3</v>
      </c>
      <c r="Y22" s="580">
        <f>+'Bookings by Service Type'!K34</f>
        <v>2</v>
      </c>
      <c r="Z22" s="580">
        <f>+'Bookings by Service Type'!L34</f>
        <v>2</v>
      </c>
      <c r="AA22" s="580">
        <f>+'Bookings by Service Type'!M34</f>
        <v>5.5</v>
      </c>
      <c r="AB22" s="580">
        <f>+'Bookings by Service Type'!N34</f>
        <v>3</v>
      </c>
      <c r="AC22" s="581">
        <f>+'Bookings by Service Type'!O34</f>
        <v>6</v>
      </c>
      <c r="AD22" s="440">
        <f>+'Bookings by Service Type'!P34</f>
        <v>6</v>
      </c>
      <c r="AE22" s="631">
        <f>+'Bookings by Service Type'!Q34</f>
        <v>6</v>
      </c>
      <c r="AF22" s="443">
        <f>+'Bookings by Service Type'!R34</f>
        <v>6</v>
      </c>
      <c r="AG22" s="443">
        <f>+'Bookings by Service Type'!S34</f>
        <v>6</v>
      </c>
      <c r="AH22" s="443">
        <f>+'Bookings by Service Type'!T34</f>
        <v>6</v>
      </c>
      <c r="AI22" s="443">
        <f>+'Bookings by Service Type'!U34</f>
        <v>6</v>
      </c>
      <c r="AJ22" s="443">
        <f>+'Bookings by Service Type'!V34</f>
        <v>6.5</v>
      </c>
      <c r="AK22" s="443">
        <f>+'Bookings by Service Type'!W34</f>
        <v>6.5</v>
      </c>
      <c r="AL22" s="443">
        <f>+'Bookings by Service Type'!X34</f>
        <v>7</v>
      </c>
      <c r="AM22" s="443">
        <f>+'Bookings by Service Type'!Y34</f>
        <v>7.5</v>
      </c>
      <c r="AN22" s="443">
        <f>+'Bookings by Service Type'!Z34</f>
        <v>7.5</v>
      </c>
      <c r="AO22" s="443">
        <f>+'Bookings by Service Type'!AA34</f>
        <v>7.5</v>
      </c>
      <c r="AP22" s="443">
        <f>+'Bookings by Service Type'!AB34</f>
        <v>7.5</v>
      </c>
      <c r="AQ22" s="444">
        <f>+'Bookings by Service Type'!AC34</f>
        <v>7.5</v>
      </c>
      <c r="AR22" s="443">
        <f>+'Bookings by Service Type'!AD34</f>
        <v>8</v>
      </c>
      <c r="AS22" s="443">
        <f>+'Bookings by Service Type'!AE34</f>
        <v>7.5</v>
      </c>
      <c r="AT22" s="443">
        <f>+'Bookings by Service Type'!AF34</f>
        <v>7.5</v>
      </c>
      <c r="AU22" s="443">
        <f>+'Bookings by Service Type'!AG34</f>
        <v>8</v>
      </c>
      <c r="AV22" s="443">
        <f>+'Bookings by Service Type'!AH34</f>
        <v>8</v>
      </c>
      <c r="AW22" s="443">
        <f>+'Bookings by Service Type'!AI34</f>
        <v>8.5</v>
      </c>
      <c r="AX22" s="443">
        <f>+'Bookings by Service Type'!AJ34</f>
        <v>9</v>
      </c>
      <c r="AY22" s="443">
        <f>+'Bookings by Service Type'!AK34</f>
        <v>9.5</v>
      </c>
      <c r="AZ22" s="443">
        <f>+'Bookings by Service Type'!AL34</f>
        <v>9.5</v>
      </c>
      <c r="BA22" s="443">
        <f>+'Bookings by Service Type'!AM34</f>
        <v>9.5</v>
      </c>
      <c r="BB22" s="443">
        <f>+'Bookings by Service Type'!AN34</f>
        <v>9.5</v>
      </c>
      <c r="BC22" s="444">
        <f>+'Bookings by Service Type'!AO34</f>
        <v>9.5</v>
      </c>
      <c r="BD22" s="443">
        <f>+'Bookings by Service Type'!AP34</f>
        <v>10</v>
      </c>
      <c r="BE22" s="443">
        <f>+'Bookings by Service Type'!AQ34</f>
        <v>10</v>
      </c>
      <c r="BF22" s="443">
        <f>+'Bookings by Service Type'!AR34</f>
        <v>10</v>
      </c>
      <c r="BG22" s="443">
        <f>+'Bookings by Service Type'!AS34</f>
        <v>10</v>
      </c>
      <c r="BH22" s="443">
        <f>+'Bookings by Service Type'!AT34</f>
        <v>10.5</v>
      </c>
      <c r="BI22" s="443">
        <f>+'Bookings by Service Type'!AU34</f>
        <v>11</v>
      </c>
      <c r="BJ22" s="443">
        <f>+'Bookings by Service Type'!AV34</f>
        <v>11.5</v>
      </c>
      <c r="BK22" s="443">
        <f>+'Bookings by Service Type'!AW34</f>
        <v>12</v>
      </c>
      <c r="BL22" s="443">
        <f>+'Bookings by Service Type'!AX34</f>
        <v>12</v>
      </c>
      <c r="BM22" s="443">
        <f>+'Bookings by Service Type'!AY34</f>
        <v>12</v>
      </c>
      <c r="BN22" s="443">
        <f>+'Bookings by Service Type'!AZ34</f>
        <v>12</v>
      </c>
      <c r="BO22" s="444">
        <f>+'Bookings by Service Type'!BA34</f>
        <v>12.5</v>
      </c>
      <c r="BP22" s="443">
        <f>+'Bookings by Service Type'!BB34</f>
        <v>12.5</v>
      </c>
      <c r="BQ22" s="443">
        <f>+'Bookings by Service Type'!BC34</f>
        <v>12.5</v>
      </c>
      <c r="BR22" s="443">
        <f>+'Bookings by Service Type'!BD34</f>
        <v>12.5</v>
      </c>
      <c r="BS22" s="443">
        <f>+'Bookings by Service Type'!BE34</f>
        <v>13</v>
      </c>
      <c r="BT22" s="443">
        <f>+'Bookings by Service Type'!BF34</f>
        <v>13</v>
      </c>
      <c r="BU22" s="443">
        <f>+'Bookings by Service Type'!BG34</f>
        <v>14</v>
      </c>
      <c r="BV22" s="443">
        <f>+'Bookings by Service Type'!BH34</f>
        <v>14.5</v>
      </c>
      <c r="BW22" s="443">
        <f>+'Bookings by Service Type'!BI34</f>
        <v>15</v>
      </c>
      <c r="BX22" s="443">
        <f>+'Bookings by Service Type'!BJ34</f>
        <v>15.5</v>
      </c>
      <c r="BY22" s="443">
        <f>+'Bookings by Service Type'!BK34</f>
        <v>15.5</v>
      </c>
      <c r="BZ22" s="443">
        <f>+'Bookings by Service Type'!BL34</f>
        <v>15</v>
      </c>
      <c r="CA22" s="444">
        <f>+'Bookings by Service Type'!BM34</f>
        <v>15.5</v>
      </c>
      <c r="CB22" s="443">
        <f>+'Bookings by Service Type'!BN34</f>
        <v>16</v>
      </c>
      <c r="CC22" s="443">
        <f>+'Bookings by Service Type'!BO34</f>
        <v>16</v>
      </c>
      <c r="CD22" s="443">
        <f>+'Bookings by Service Type'!BP34</f>
        <v>16</v>
      </c>
      <c r="CE22" s="443">
        <f>+'Bookings by Service Type'!BQ34</f>
        <v>16</v>
      </c>
      <c r="CF22" s="443">
        <f>+'Bookings by Service Type'!BR34</f>
        <v>16.5</v>
      </c>
      <c r="CG22" s="443">
        <f>+'Bookings by Service Type'!BS34</f>
        <v>17.5</v>
      </c>
      <c r="CH22" s="443">
        <f>+'Bookings by Service Type'!BT34</f>
        <v>18.5</v>
      </c>
      <c r="CI22" s="443">
        <f>+'Bookings by Service Type'!BU34</f>
        <v>19</v>
      </c>
      <c r="CJ22" s="443">
        <f>+'Bookings by Service Type'!BV34</f>
        <v>19.5</v>
      </c>
      <c r="CK22" s="443">
        <f>+'Bookings by Service Type'!BW34</f>
        <v>19.5</v>
      </c>
      <c r="CL22" s="443">
        <f>+'Bookings by Service Type'!BX34</f>
        <v>19</v>
      </c>
      <c r="CM22" s="444">
        <f>+'Bookings by Service Type'!BY34</f>
        <v>20</v>
      </c>
      <c r="CN22" s="443">
        <f>+'Bookings by Service Type'!BZ34</f>
        <v>20.5</v>
      </c>
      <c r="CO22" s="443">
        <f>+'Bookings by Service Type'!CA34</f>
        <v>20</v>
      </c>
      <c r="CP22" s="443">
        <f>+'Bookings by Service Type'!CB34</f>
        <v>20</v>
      </c>
      <c r="CQ22" s="443">
        <f>+'Bookings by Service Type'!CC34</f>
        <v>20.5</v>
      </c>
      <c r="CR22" s="443">
        <f>+'Bookings by Service Type'!CD34</f>
        <v>21</v>
      </c>
      <c r="CS22" s="443">
        <f>+'Bookings by Service Type'!CE34</f>
        <v>22.5</v>
      </c>
      <c r="CT22" s="443">
        <f>+'Bookings by Service Type'!CF34</f>
        <v>23.5</v>
      </c>
      <c r="CU22" s="443">
        <f>+'Bookings by Service Type'!CG34</f>
        <v>24</v>
      </c>
      <c r="CV22" s="443">
        <f>+'Bookings by Service Type'!CH34</f>
        <v>25</v>
      </c>
      <c r="CW22" s="443">
        <f>+'Bookings by Service Type'!CI34</f>
        <v>24.5</v>
      </c>
      <c r="CX22" s="443">
        <f>+'Bookings by Service Type'!CJ34</f>
        <v>24.5</v>
      </c>
      <c r="CY22" s="444">
        <f>+'Bookings by Service Type'!CK34</f>
        <v>25</v>
      </c>
    </row>
    <row r="23" spans="1:103" x14ac:dyDescent="0.3">
      <c r="A23" s="35"/>
      <c r="B23" s="35"/>
      <c r="C23" s="629" t="s">
        <v>284</v>
      </c>
      <c r="D23" s="51"/>
      <c r="E23" s="51">
        <f t="shared" ref="E23:N23" si="70">+IF(E14&lt;D14,E14-D14, 0)</f>
        <v>0</v>
      </c>
      <c r="F23" s="51">
        <f t="shared" si="70"/>
        <v>0</v>
      </c>
      <c r="G23" s="51">
        <f t="shared" si="70"/>
        <v>0</v>
      </c>
      <c r="H23" s="51">
        <f t="shared" si="70"/>
        <v>0</v>
      </c>
      <c r="I23" s="51">
        <f t="shared" si="70"/>
        <v>0</v>
      </c>
      <c r="J23" s="51">
        <f t="shared" si="70"/>
        <v>0</v>
      </c>
      <c r="K23" s="51">
        <f t="shared" si="70"/>
        <v>0</v>
      </c>
      <c r="L23" s="51">
        <f t="shared" si="70"/>
        <v>0</v>
      </c>
      <c r="M23" s="51">
        <f t="shared" si="70"/>
        <v>0</v>
      </c>
      <c r="N23" s="51">
        <f t="shared" si="70"/>
        <v>0</v>
      </c>
      <c r="O23" s="51">
        <f t="shared" ref="O23:Z23" si="71">+IF(O14&lt;N14,O14-N14, 0)</f>
        <v>0</v>
      </c>
      <c r="P23" s="51">
        <f t="shared" si="71"/>
        <v>0</v>
      </c>
      <c r="Q23" s="51">
        <f t="shared" si="71"/>
        <v>0</v>
      </c>
      <c r="R23" s="51">
        <f t="shared" si="71"/>
        <v>0</v>
      </c>
      <c r="S23" s="51">
        <f t="shared" si="71"/>
        <v>0</v>
      </c>
      <c r="T23" s="15">
        <f t="shared" si="71"/>
        <v>0</v>
      </c>
      <c r="U23" s="15">
        <f t="shared" si="71"/>
        <v>0</v>
      </c>
      <c r="V23" s="15">
        <v>0</v>
      </c>
      <c r="W23" s="15">
        <v>0</v>
      </c>
      <c r="X23" s="15">
        <f>+IF(X14&lt;W14,X14-W14, 0)</f>
        <v>0</v>
      </c>
      <c r="Y23" s="15">
        <f t="shared" si="71"/>
        <v>0</v>
      </c>
      <c r="Z23" s="15">
        <f t="shared" si="71"/>
        <v>0</v>
      </c>
      <c r="AA23" s="15">
        <v>-28</v>
      </c>
      <c r="AB23" s="15">
        <v>0</v>
      </c>
      <c r="AC23" s="566">
        <v>0</v>
      </c>
      <c r="AD23" s="443">
        <v>0</v>
      </c>
      <c r="AE23" s="631">
        <f>+IF(AND('Bookings by Service Type'!Q1="Shoulder", 'Bookings by Service Type'!P1="Peak"), -SUM('Bookings by Service Type'!P15), 0)</f>
        <v>0</v>
      </c>
      <c r="AF23" s="443">
        <f>+IF(AND('Bookings by Service Type'!R1="Shoulder", 'Bookings by Service Type'!Q1="Peak"), -SUM('Bookings by Service Type'!Q15), 0)</f>
        <v>0</v>
      </c>
      <c r="AG23" s="443">
        <f>+IF(AND('Bookings by Service Type'!S1="Shoulder", 'Bookings by Service Type'!R1="Peak"), -SUM('Bookings by Service Type'!R15), 0)</f>
        <v>0</v>
      </c>
      <c r="AH23" s="443">
        <f>+IF(AND('Bookings by Service Type'!T1="Shoulder", 'Bookings by Service Type'!S1="Peak"), -SUM('Bookings by Service Type'!S15), 0)</f>
        <v>0</v>
      </c>
      <c r="AI23" s="443">
        <f>+IF(AND('Bookings by Service Type'!U1="Shoulder", 'Bookings by Service Type'!T1="Peak"), -SUM('Bookings by Service Type'!T15), 0)</f>
        <v>0</v>
      </c>
      <c r="AJ23" s="443">
        <f>+IF(AND('Bookings by Service Type'!V1="Shoulder", 'Bookings by Service Type'!U1="Peak"), -SUM('Bookings by Service Type'!U15), 0)</f>
        <v>0</v>
      </c>
      <c r="AK23" s="443">
        <f>+IF(AND('Bookings by Service Type'!W1="Shoulder", 'Bookings by Service Type'!V1="Peak"), -SUM('Bookings by Service Type'!V15), 0)</f>
        <v>0</v>
      </c>
      <c r="AL23" s="443">
        <f>+IF(AND('Bookings by Service Type'!X1="Shoulder", 'Bookings by Service Type'!W1="Peak"), -SUM('Bookings by Service Type'!W15), 0)</f>
        <v>0</v>
      </c>
      <c r="AM23" s="443">
        <f>+IF(AND('Bookings by Service Type'!Y1="Shoulder", 'Bookings by Service Type'!X1="Peak"), -SUM('Bookings by Service Type'!X15), 0)</f>
        <v>-102.19999999999999</v>
      </c>
      <c r="AN23" s="443">
        <f>+IF(AND('Bookings by Service Type'!Z1="Shoulder", 'Bookings by Service Type'!Y1="Peak"), -SUM('Bookings by Service Type'!Y15), 0)</f>
        <v>0</v>
      </c>
      <c r="AO23" s="443">
        <f>+IF(AND('Bookings by Service Type'!AA1="Shoulder", 'Bookings by Service Type'!Z1="Peak"), -SUM('Bookings by Service Type'!Z15), 0)</f>
        <v>0</v>
      </c>
      <c r="AP23" s="443">
        <f>+IF(AND('Bookings by Service Type'!AB1="Shoulder", 'Bookings by Service Type'!AA1="Peak"), -SUM('Bookings by Service Type'!AA15), 0)</f>
        <v>0</v>
      </c>
      <c r="AQ23" s="444">
        <f>+IF(AND('Bookings by Service Type'!AC1="Shoulder", 'Bookings by Service Type'!AB1="Peak"), -SUM('Bookings by Service Type'!AB15), 0)</f>
        <v>0</v>
      </c>
      <c r="AR23" s="443">
        <f>+IF(AND('Bookings by Service Type'!AD1="Shoulder", 'Bookings by Service Type'!AC1="Peak"), -SUM('Bookings by Service Type'!AC15), 0)</f>
        <v>0</v>
      </c>
      <c r="AS23" s="443">
        <f>+IF(AND('Bookings by Service Type'!AE1="Shoulder", 'Bookings by Service Type'!AD1="Peak"), -SUM('Bookings by Service Type'!AD15), 0)</f>
        <v>0</v>
      </c>
      <c r="AT23" s="443">
        <f>+IF(AND('Bookings by Service Type'!AF1="Shoulder", 'Bookings by Service Type'!AE1="Peak"), -SUM('Bookings by Service Type'!AE15), 0)</f>
        <v>0</v>
      </c>
      <c r="AU23" s="443">
        <f>+IF(AND('Bookings by Service Type'!AG1="Shoulder", 'Bookings by Service Type'!AF1="Peak"), -SUM('Bookings by Service Type'!AF15), 0)</f>
        <v>0</v>
      </c>
      <c r="AV23" s="443">
        <f>+IF(AND('Bookings by Service Type'!AH1="Shoulder", 'Bookings by Service Type'!AG1="Peak"), -SUM('Bookings by Service Type'!AG15), 0)</f>
        <v>0</v>
      </c>
      <c r="AW23" s="443">
        <f>+IF(AND('Bookings by Service Type'!AI1="Shoulder", 'Bookings by Service Type'!AH1="Peak"), -SUM('Bookings by Service Type'!AH15), 0)</f>
        <v>0</v>
      </c>
      <c r="AX23" s="443">
        <f>+IF(AND('Bookings by Service Type'!AJ1="Shoulder", 'Bookings by Service Type'!AI1="Peak"), -SUM('Bookings by Service Type'!AI15), 0)</f>
        <v>0</v>
      </c>
      <c r="AY23" s="443">
        <f>+IF(AND('Bookings by Service Type'!AK1="Shoulder", 'Bookings by Service Type'!AJ1="Peak"), -SUM('Bookings by Service Type'!AJ15), 0)</f>
        <v>-129.5</v>
      </c>
      <c r="AZ23" s="443">
        <f>+IF(AND('Bookings by Service Type'!AL1="Shoulder", 'Bookings by Service Type'!AK1="Peak"), -SUM('Bookings by Service Type'!AK15), 0)</f>
        <v>0</v>
      </c>
      <c r="BA23" s="443">
        <f>+IF(AND('Bookings by Service Type'!AM1="Shoulder", 'Bookings by Service Type'!AL1="Peak"), -SUM('Bookings by Service Type'!AL15), 0)</f>
        <v>0</v>
      </c>
      <c r="BB23" s="443">
        <f>+IF(AND('Bookings by Service Type'!AN1="Shoulder", 'Bookings by Service Type'!AM1="Peak"), -SUM('Bookings by Service Type'!AM15), 0)</f>
        <v>0</v>
      </c>
      <c r="BC23" s="444">
        <f>+IF(AND('Bookings by Service Type'!AO1="Shoulder", 'Bookings by Service Type'!AN1="Peak"), -SUM('Bookings by Service Type'!AN15), 0)</f>
        <v>0</v>
      </c>
      <c r="BD23" s="443">
        <f>+IF(AND('Bookings by Service Type'!AP1="Shoulder", 'Bookings by Service Type'!AO1="Peak"), -SUM('Bookings by Service Type'!AO15), 0)</f>
        <v>0</v>
      </c>
      <c r="BE23" s="443">
        <f>+IF(AND('Bookings by Service Type'!AQ1="Shoulder", 'Bookings by Service Type'!AP1="Peak"), -SUM('Bookings by Service Type'!AP15), 0)</f>
        <v>0</v>
      </c>
      <c r="BF23" s="443">
        <f>+IF(AND('Bookings by Service Type'!AR1="Shoulder", 'Bookings by Service Type'!AQ1="Peak"), -SUM('Bookings by Service Type'!AQ15), 0)</f>
        <v>0</v>
      </c>
      <c r="BG23" s="443">
        <f>+IF(AND('Bookings by Service Type'!AS1="Shoulder", 'Bookings by Service Type'!AR1="Peak"), -SUM('Bookings by Service Type'!AR15), 0)</f>
        <v>0</v>
      </c>
      <c r="BH23" s="443">
        <f>+IF(AND('Bookings by Service Type'!AT1="Shoulder", 'Bookings by Service Type'!AS1="Peak"), -SUM('Bookings by Service Type'!AS15), 0)</f>
        <v>0</v>
      </c>
      <c r="BI23" s="443">
        <f>+IF(AND('Bookings by Service Type'!AU1="Shoulder", 'Bookings by Service Type'!AT1="Peak"), -SUM('Bookings by Service Type'!AT15), 0)</f>
        <v>0</v>
      </c>
      <c r="BJ23" s="443">
        <f>+IF(AND('Bookings by Service Type'!AV1="Shoulder", 'Bookings by Service Type'!AU1="Peak"), -SUM('Bookings by Service Type'!AU15), 0)</f>
        <v>0</v>
      </c>
      <c r="BK23" s="443">
        <f>+IF(AND('Bookings by Service Type'!AW1="Shoulder", 'Bookings by Service Type'!AV1="Peak"), -SUM('Bookings by Service Type'!AV15), 0)</f>
        <v>-163.79999999999998</v>
      </c>
      <c r="BL23" s="443">
        <f>+IF(AND('Bookings by Service Type'!AX1="Shoulder", 'Bookings by Service Type'!AW1="Peak"), -SUM('Bookings by Service Type'!AW15), 0)</f>
        <v>0</v>
      </c>
      <c r="BM23" s="443">
        <f>+IF(AND('Bookings by Service Type'!AY1="Shoulder", 'Bookings by Service Type'!AX1="Peak"), -SUM('Bookings by Service Type'!AX15), 0)</f>
        <v>0</v>
      </c>
      <c r="BN23" s="443">
        <f>+IF(AND('Bookings by Service Type'!AZ1="Shoulder", 'Bookings by Service Type'!AY1="Peak"), -SUM('Bookings by Service Type'!AY15), 0)</f>
        <v>0</v>
      </c>
      <c r="BO23" s="444">
        <f>+IF(AND('Bookings by Service Type'!BA1="Shoulder", 'Bookings by Service Type'!AZ1="Peak"), -SUM('Bookings by Service Type'!AZ15), 0)</f>
        <v>0</v>
      </c>
      <c r="BP23" s="443">
        <f>+IF(AND('Bookings by Service Type'!BB1="Shoulder", 'Bookings by Service Type'!BA1="Peak"), -SUM('Bookings by Service Type'!BA15), 0)</f>
        <v>0</v>
      </c>
      <c r="BQ23" s="443">
        <f>+IF(AND('Bookings by Service Type'!BC1="Shoulder", 'Bookings by Service Type'!BB1="Peak"), -SUM('Bookings by Service Type'!BB15), 0)</f>
        <v>0</v>
      </c>
      <c r="BR23" s="443">
        <f>+IF(AND('Bookings by Service Type'!BD1="Shoulder", 'Bookings by Service Type'!BC1="Peak"), -SUM('Bookings by Service Type'!BC15), 0)</f>
        <v>0</v>
      </c>
      <c r="BS23" s="443">
        <f>+IF(AND('Bookings by Service Type'!BE1="Shoulder", 'Bookings by Service Type'!BD1="Peak"), -SUM('Bookings by Service Type'!BD15), 0)</f>
        <v>0</v>
      </c>
      <c r="BT23" s="443">
        <f>+IF(AND('Bookings by Service Type'!BF1="Shoulder", 'Bookings by Service Type'!BE1="Peak"), -SUM('Bookings by Service Type'!BE15), 0)</f>
        <v>0</v>
      </c>
      <c r="BU23" s="443">
        <f>+IF(AND('Bookings by Service Type'!BG1="Shoulder", 'Bookings by Service Type'!BF1="Peak"), -SUM('Bookings by Service Type'!BF15), 0)</f>
        <v>0</v>
      </c>
      <c r="BV23" s="443">
        <f>+IF(AND('Bookings by Service Type'!BH1="Shoulder", 'Bookings by Service Type'!BG1="Peak"), -SUM('Bookings by Service Type'!BG15), 0)</f>
        <v>0</v>
      </c>
      <c r="BW23" s="443">
        <f>+IF(AND('Bookings by Service Type'!BI1="Shoulder", 'Bookings by Service Type'!BH1="Peak"), -SUM('Bookings by Service Type'!BH15), 0)</f>
        <v>-207.2</v>
      </c>
      <c r="BX23" s="443">
        <f>+IF(AND('Bookings by Service Type'!BJ1="Shoulder", 'Bookings by Service Type'!BI1="Peak"), -SUM('Bookings by Service Type'!BI15), 0)</f>
        <v>0</v>
      </c>
      <c r="BY23" s="443">
        <f>+IF(AND('Bookings by Service Type'!BK1="Shoulder", 'Bookings by Service Type'!BJ1="Peak"), -SUM('Bookings by Service Type'!BJ15), 0)</f>
        <v>0</v>
      </c>
      <c r="BZ23" s="443">
        <f>+IF(AND('Bookings by Service Type'!BL1="Shoulder", 'Bookings by Service Type'!BK1="Peak"), -SUM('Bookings by Service Type'!BK15), 0)</f>
        <v>0</v>
      </c>
      <c r="CA23" s="444">
        <f>+IF(AND('Bookings by Service Type'!BM1="Shoulder", 'Bookings by Service Type'!BL1="Peak"), -SUM('Bookings by Service Type'!BL15), 0)</f>
        <v>0</v>
      </c>
      <c r="CB23" s="443">
        <f>+IF(AND('Bookings by Service Type'!BN1="Shoulder", 'Bookings by Service Type'!BM1="Peak"), -SUM('Bookings by Service Type'!BM15), 0)</f>
        <v>0</v>
      </c>
      <c r="CC23" s="443">
        <f>+IF(AND('Bookings by Service Type'!BO1="Shoulder", 'Bookings by Service Type'!BN1="Peak"), -SUM('Bookings by Service Type'!BN15), 0)</f>
        <v>0</v>
      </c>
      <c r="CD23" s="443">
        <f>+IF(AND('Bookings by Service Type'!BP1="Shoulder", 'Bookings by Service Type'!BO1="Peak"), -SUM('Bookings by Service Type'!BO15), 0)</f>
        <v>0</v>
      </c>
      <c r="CE23" s="443">
        <f>+IF(AND('Bookings by Service Type'!BQ1="Shoulder", 'Bookings by Service Type'!BP1="Peak"), -SUM('Bookings by Service Type'!BP15), 0)</f>
        <v>0</v>
      </c>
      <c r="CF23" s="443">
        <f>+IF(AND('Bookings by Service Type'!BR1="Shoulder", 'Bookings by Service Type'!BQ1="Peak"), -SUM('Bookings by Service Type'!BQ15), 0)</f>
        <v>0</v>
      </c>
      <c r="CG23" s="443">
        <f>+IF(AND('Bookings by Service Type'!BS1="Shoulder", 'Bookings by Service Type'!BR1="Peak"), -SUM('Bookings by Service Type'!BR15), 0)</f>
        <v>0</v>
      </c>
      <c r="CH23" s="443">
        <f>+IF(AND('Bookings by Service Type'!BT1="Shoulder", 'Bookings by Service Type'!BS1="Peak"), -SUM('Bookings by Service Type'!BS15), 0)</f>
        <v>0</v>
      </c>
      <c r="CI23" s="443">
        <f>+IF(AND('Bookings by Service Type'!BU1="Shoulder", 'Bookings by Service Type'!BT1="Peak"), -SUM('Bookings by Service Type'!BT15), 0)</f>
        <v>-261.8</v>
      </c>
      <c r="CJ23" s="443">
        <f>+IF(AND('Bookings by Service Type'!BV1="Shoulder", 'Bookings by Service Type'!BU1="Peak"), -SUM('Bookings by Service Type'!BU15), 0)</f>
        <v>0</v>
      </c>
      <c r="CK23" s="443">
        <f>+IF(AND('Bookings by Service Type'!BW1="Shoulder", 'Bookings by Service Type'!BV1="Peak"), -SUM('Bookings by Service Type'!BV15), 0)</f>
        <v>0</v>
      </c>
      <c r="CL23" s="443">
        <f>+IF(AND('Bookings by Service Type'!BX1="Shoulder", 'Bookings by Service Type'!BW1="Peak"), -SUM('Bookings by Service Type'!BW15), 0)</f>
        <v>0</v>
      </c>
      <c r="CM23" s="444">
        <f>+IF(AND('Bookings by Service Type'!BY1="Shoulder", 'Bookings by Service Type'!BX1="Peak"), -SUM('Bookings by Service Type'!BX15), 0)</f>
        <v>0</v>
      </c>
      <c r="CN23" s="443">
        <f>+IF(AND('Bookings by Service Type'!BZ1="Shoulder", 'Bookings by Service Type'!BY1="Peak"), -SUM('Bookings by Service Type'!BY15), 0)</f>
        <v>0</v>
      </c>
      <c r="CO23" s="443">
        <f>+IF(AND('Bookings by Service Type'!CA1="Shoulder", 'Bookings by Service Type'!BZ1="Peak"), -SUM('Bookings by Service Type'!BZ15), 0)</f>
        <v>0</v>
      </c>
      <c r="CP23" s="443">
        <f>+IF(AND('Bookings by Service Type'!CB1="Shoulder", 'Bookings by Service Type'!CA1="Peak"), -SUM('Bookings by Service Type'!CA15), 0)</f>
        <v>0</v>
      </c>
      <c r="CQ23" s="443">
        <f>+IF(AND('Bookings by Service Type'!CC1="Shoulder", 'Bookings by Service Type'!CB1="Peak"), -SUM('Bookings by Service Type'!CB15), 0)</f>
        <v>0</v>
      </c>
      <c r="CR23" s="443">
        <f>+IF(AND('Bookings by Service Type'!CD1="Shoulder", 'Bookings by Service Type'!CC1="Peak"), -SUM('Bookings by Service Type'!CC15), 0)</f>
        <v>0</v>
      </c>
      <c r="CS23" s="443">
        <f>+IF(AND('Bookings by Service Type'!CE1="Shoulder", 'Bookings by Service Type'!CD1="Peak"), -SUM('Bookings by Service Type'!CD15), 0)</f>
        <v>0</v>
      </c>
      <c r="CT23" s="443">
        <f>+IF(AND('Bookings by Service Type'!CF1="Shoulder", 'Bookings by Service Type'!CE1="Peak"), -SUM('Bookings by Service Type'!CE15), 0)</f>
        <v>0</v>
      </c>
      <c r="CU23" s="443">
        <f>+IF(AND('Bookings by Service Type'!CG1="Shoulder", 'Bookings by Service Type'!CF1="Peak"), -SUM('Bookings by Service Type'!CF15), 0)</f>
        <v>-331.09999999999997</v>
      </c>
      <c r="CV23" s="443">
        <f>+IF(AND('Bookings by Service Type'!CH1="Shoulder", 'Bookings by Service Type'!CG1="Peak"), -SUM('Bookings by Service Type'!CG15), 0)</f>
        <v>0</v>
      </c>
      <c r="CW23" s="443">
        <f>+IF(AND('Bookings by Service Type'!CI1="Shoulder", 'Bookings by Service Type'!CH1="Peak"), -SUM('Bookings by Service Type'!CH15), 0)</f>
        <v>0</v>
      </c>
      <c r="CX23" s="443">
        <f>+IF(AND('Bookings by Service Type'!CJ1="Shoulder", 'Bookings by Service Type'!CI1="Peak"), -SUM('Bookings by Service Type'!CI15), 0)</f>
        <v>0</v>
      </c>
      <c r="CY23" s="444">
        <f>+IF(AND('Bookings by Service Type'!CK1="Shoulder", 'Bookings by Service Type'!CJ1="Peak"), -SUM('Bookings by Service Type'!CJ15), 0)</f>
        <v>0</v>
      </c>
    </row>
    <row r="24" spans="1:103" x14ac:dyDescent="0.3">
      <c r="A24" s="35"/>
      <c r="B24" s="35"/>
      <c r="C24" s="629" t="s">
        <v>285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15"/>
      <c r="U24" s="15"/>
      <c r="V24" s="15"/>
      <c r="W24" s="15"/>
      <c r="X24" s="15"/>
      <c r="Y24" s="15">
        <v>-1</v>
      </c>
      <c r="Z24" s="15">
        <v>-1</v>
      </c>
      <c r="AA24" s="15">
        <v>-1</v>
      </c>
      <c r="AB24" s="15">
        <v>0</v>
      </c>
      <c r="AC24" s="566">
        <v>0</v>
      </c>
      <c r="AD24" s="443">
        <f>+IF('Bookings by Service Type'!P16&gt;'Bookings by Service Type'!O16, 0, 'Bookings by Service Type'!P16-'Bookings by Service Type'!O16)</f>
        <v>0</v>
      </c>
      <c r="AE24" s="631">
        <f>+IF('Bookings by Service Type'!Q16&gt;'Bookings by Service Type'!P16, 0, 'Bookings by Service Type'!Q16-'Bookings by Service Type'!P16)</f>
        <v>0</v>
      </c>
      <c r="AF24" s="443">
        <f>+IF('Bookings by Service Type'!R16&gt;'Bookings by Service Type'!Q16, 0, 'Bookings by Service Type'!R16-'Bookings by Service Type'!Q16)</f>
        <v>0</v>
      </c>
      <c r="AG24" s="443">
        <f>+IF('Bookings by Service Type'!S16&gt;'Bookings by Service Type'!R16, 0, 'Bookings by Service Type'!S16-'Bookings by Service Type'!R16)</f>
        <v>-9.9999999999999645E-2</v>
      </c>
      <c r="AH24" s="443">
        <f>+IF('Bookings by Service Type'!T16&gt;'Bookings by Service Type'!S16, 0, 'Bookings by Service Type'!T16-'Bookings by Service Type'!S16)</f>
        <v>-12.600000000000001</v>
      </c>
      <c r="AI24" s="443">
        <f>+IF('Bookings by Service Type'!U16&gt;'Bookings by Service Type'!T16, 0, 'Bookings by Service Type'!U16-'Bookings by Service Type'!T16)</f>
        <v>0</v>
      </c>
      <c r="AJ24" s="443">
        <f>+IF('Bookings by Service Type'!V16&gt;'Bookings by Service Type'!U16, 0, 'Bookings by Service Type'!V16-'Bookings by Service Type'!U16)</f>
        <v>0</v>
      </c>
      <c r="AK24" s="443">
        <f>+IF('Bookings by Service Type'!W16&gt;'Bookings by Service Type'!V16, 0, 'Bookings by Service Type'!W16-'Bookings by Service Type'!V16)</f>
        <v>0</v>
      </c>
      <c r="AL24" s="443">
        <f>+IF('Bookings by Service Type'!X16&gt;'Bookings by Service Type'!W16, 0, 'Bookings by Service Type'!X16-'Bookings by Service Type'!W16)</f>
        <v>0</v>
      </c>
      <c r="AM24" s="443">
        <f>+IF('Bookings by Service Type'!Y16&gt;'Bookings by Service Type'!X16, 0, 'Bookings by Service Type'!Y16-'Bookings by Service Type'!X16)</f>
        <v>-14.200000000000003</v>
      </c>
      <c r="AN24" s="443">
        <f>+IF('Bookings by Service Type'!Z16&gt;'Bookings by Service Type'!Y16, 0, 'Bookings by Service Type'!Z16-'Bookings by Service Type'!Y16)</f>
        <v>0</v>
      </c>
      <c r="AO24" s="443">
        <f>+IF('Bookings by Service Type'!AA16&gt;'Bookings by Service Type'!Z16, 0, 'Bookings by Service Type'!AA16-'Bookings by Service Type'!Z16)</f>
        <v>-0.19999999999999929</v>
      </c>
      <c r="AP24" s="443">
        <f>+IF('Bookings by Service Type'!AB16&gt;'Bookings by Service Type'!AA16, 0, 'Bookings by Service Type'!AB16-'Bookings by Service Type'!AA16)</f>
        <v>-15.3</v>
      </c>
      <c r="AQ24" s="444">
        <f>+IF('Bookings by Service Type'!AC16&gt;'Bookings by Service Type'!AB16, 0, 'Bookings by Service Type'!AC16-'Bookings by Service Type'!AB16)</f>
        <v>0</v>
      </c>
      <c r="AR24" s="443">
        <f>+IF('Bookings by Service Type'!AD16&gt;'Bookings by Service Type'!AC16, 0, 'Bookings by Service Type'!AD16-'Bookings by Service Type'!AC16)</f>
        <v>0</v>
      </c>
      <c r="AS24" s="443">
        <f>+IF('Bookings by Service Type'!AE16&gt;'Bookings by Service Type'!AD16, 0, 'Bookings by Service Type'!AE16-'Bookings by Service Type'!AD16)</f>
        <v>-0.20000000000000107</v>
      </c>
      <c r="AT24" s="443">
        <f>+IF('Bookings by Service Type'!AF16&gt;'Bookings by Service Type'!AE16, 0, 'Bookings by Service Type'!AF16-'Bookings by Service Type'!AE16)</f>
        <v>-15.9</v>
      </c>
      <c r="AU24" s="443">
        <f>+IF('Bookings by Service Type'!AG16&gt;'Bookings by Service Type'!AF16, 0, 'Bookings by Service Type'!AG16-'Bookings by Service Type'!AF16)</f>
        <v>0</v>
      </c>
      <c r="AV24" s="443">
        <f>+IF('Bookings by Service Type'!AH16&gt;'Bookings by Service Type'!AG16, 0, 'Bookings by Service Type'!AH16-'Bookings by Service Type'!AG16)</f>
        <v>0</v>
      </c>
      <c r="AW24" s="443">
        <f>+IF('Bookings by Service Type'!AI16&gt;'Bookings by Service Type'!AH16, 0, 'Bookings by Service Type'!AI16-'Bookings by Service Type'!AH16)</f>
        <v>0</v>
      </c>
      <c r="AX24" s="443">
        <f>+IF('Bookings by Service Type'!AJ16&gt;'Bookings by Service Type'!AI16, 0, 'Bookings by Service Type'!AJ16-'Bookings by Service Type'!AI16)</f>
        <v>0</v>
      </c>
      <c r="AY24" s="443">
        <f>+IF('Bookings by Service Type'!AK16&gt;'Bookings by Service Type'!AJ16, 0, 'Bookings by Service Type'!AK16-'Bookings by Service Type'!AJ16)</f>
        <v>-18</v>
      </c>
      <c r="AZ24" s="443">
        <f>+IF('Bookings by Service Type'!AL16&gt;'Bookings by Service Type'!AK16, 0, 'Bookings by Service Type'!AL16-'Bookings by Service Type'!AK16)</f>
        <v>0</v>
      </c>
      <c r="BA24" s="443">
        <f>+IF('Bookings by Service Type'!AM16&gt;'Bookings by Service Type'!AL16, 0, 'Bookings by Service Type'!AM16-'Bookings by Service Type'!AL16)</f>
        <v>-0.19999999999999929</v>
      </c>
      <c r="BB24" s="443">
        <f>+IF('Bookings by Service Type'!AN16&gt;'Bookings by Service Type'!AM16, 0, 'Bookings by Service Type'!AN16-'Bookings by Service Type'!AM16)</f>
        <v>-19.400000000000002</v>
      </c>
      <c r="BC24" s="444">
        <f>+IF('Bookings by Service Type'!AO16&gt;'Bookings by Service Type'!AN16, 0, 'Bookings by Service Type'!AO16-'Bookings by Service Type'!AN16)</f>
        <v>0</v>
      </c>
      <c r="BD24" s="443">
        <f>+IF('Bookings by Service Type'!AP16&gt;'Bookings by Service Type'!AO16, 0, 'Bookings by Service Type'!AP16-'Bookings by Service Type'!AO16)</f>
        <v>0</v>
      </c>
      <c r="BE24" s="443">
        <f>+IF('Bookings by Service Type'!AQ16&gt;'Bookings by Service Type'!AP16, 0, 'Bookings by Service Type'!AQ16-'Bookings by Service Type'!AP16)</f>
        <v>-0.19999999999999929</v>
      </c>
      <c r="BF24" s="443">
        <f>+IF('Bookings by Service Type'!AR16&gt;'Bookings by Service Type'!AQ16, 0, 'Bookings by Service Type'!AR16-'Bookings by Service Type'!AQ16)</f>
        <v>-20.200000000000003</v>
      </c>
      <c r="BG24" s="443">
        <f>+IF('Bookings by Service Type'!AS16&gt;'Bookings by Service Type'!AR16, 0, 'Bookings by Service Type'!AS16-'Bookings by Service Type'!AR16)</f>
        <v>0</v>
      </c>
      <c r="BH24" s="443">
        <f>+IF('Bookings by Service Type'!AT16&gt;'Bookings by Service Type'!AS16, 0, 'Bookings by Service Type'!AT16-'Bookings by Service Type'!AS16)</f>
        <v>0</v>
      </c>
      <c r="BI24" s="443">
        <f>+IF('Bookings by Service Type'!AU16&gt;'Bookings by Service Type'!AT16, 0, 'Bookings by Service Type'!AU16-'Bookings by Service Type'!AT16)</f>
        <v>0</v>
      </c>
      <c r="BJ24" s="443">
        <f>+IF('Bookings by Service Type'!AV16&gt;'Bookings by Service Type'!AU16, 0, 'Bookings by Service Type'!AV16-'Bookings by Service Type'!AU16)</f>
        <v>0</v>
      </c>
      <c r="BK24" s="443">
        <f>+IF('Bookings by Service Type'!AW16&gt;'Bookings by Service Type'!AV16, 0, 'Bookings by Service Type'!AW16-'Bookings by Service Type'!AV16)</f>
        <v>-22.700000000000003</v>
      </c>
      <c r="BL24" s="443">
        <f>+IF('Bookings by Service Type'!AX16&gt;'Bookings by Service Type'!AW16, 0, 'Bookings by Service Type'!AX16-'Bookings by Service Type'!AW16)</f>
        <v>0</v>
      </c>
      <c r="BM24" s="443">
        <f>+IF('Bookings by Service Type'!AY16&gt;'Bookings by Service Type'!AX16, 0, 'Bookings by Service Type'!AY16-'Bookings by Service Type'!AX16)</f>
        <v>-0.30000000000000071</v>
      </c>
      <c r="BN24" s="443">
        <f>+IF('Bookings by Service Type'!AZ16&gt;'Bookings by Service Type'!AY16, 0, 'Bookings by Service Type'!AZ16-'Bookings by Service Type'!AY16)</f>
        <v>-24.5</v>
      </c>
      <c r="BO24" s="444">
        <f>+IF('Bookings by Service Type'!BA16&gt;'Bookings by Service Type'!AZ16, 0, 'Bookings by Service Type'!BA16-'Bookings by Service Type'!AZ16)</f>
        <v>0</v>
      </c>
      <c r="BP24" s="443">
        <f>+IF('Bookings by Service Type'!BB16&gt;'Bookings by Service Type'!BA16, 0, 'Bookings by Service Type'!BB16-'Bookings by Service Type'!BA16)</f>
        <v>0</v>
      </c>
      <c r="BQ24" s="443">
        <f>+IF('Bookings by Service Type'!BC16&gt;'Bookings by Service Type'!BB16, 0, 'Bookings by Service Type'!BC16-'Bookings by Service Type'!BB16)</f>
        <v>-0.30000000000000071</v>
      </c>
      <c r="BR24" s="443">
        <f>+IF('Bookings by Service Type'!BD16&gt;'Bookings by Service Type'!BC16, 0, 'Bookings by Service Type'!BD16-'Bookings by Service Type'!BC16)</f>
        <v>-25.5</v>
      </c>
      <c r="BS24" s="443">
        <f>+IF('Bookings by Service Type'!BE16&gt;'Bookings by Service Type'!BD16, 0, 'Bookings by Service Type'!BE16-'Bookings by Service Type'!BD16)</f>
        <v>0</v>
      </c>
      <c r="BT24" s="443">
        <f>+IF('Bookings by Service Type'!BF16&gt;'Bookings by Service Type'!BE16, 0, 'Bookings by Service Type'!BF16-'Bookings by Service Type'!BE16)</f>
        <v>0</v>
      </c>
      <c r="BU24" s="443">
        <f>+IF('Bookings by Service Type'!BG16&gt;'Bookings by Service Type'!BF16, 0, 'Bookings by Service Type'!BG16-'Bookings by Service Type'!BF16)</f>
        <v>0</v>
      </c>
      <c r="BV24" s="443">
        <f>+IF('Bookings by Service Type'!BH16&gt;'Bookings by Service Type'!BG16, 0, 'Bookings by Service Type'!BH16-'Bookings by Service Type'!BG16)</f>
        <v>0</v>
      </c>
      <c r="BW24" s="443">
        <f>+IF('Bookings by Service Type'!BI16&gt;'Bookings by Service Type'!BH16, 0, 'Bookings by Service Type'!BI16-'Bookings by Service Type'!BH16)</f>
        <v>-28.8</v>
      </c>
      <c r="BX24" s="443">
        <f>+IF('Bookings by Service Type'!BJ16&gt;'Bookings by Service Type'!BI16, 0, 'Bookings by Service Type'!BJ16-'Bookings by Service Type'!BI16)</f>
        <v>0</v>
      </c>
      <c r="BY24" s="443">
        <f>+IF('Bookings by Service Type'!BK16&gt;'Bookings by Service Type'!BJ16, 0, 'Bookings by Service Type'!BK16-'Bookings by Service Type'!BJ16)</f>
        <v>-0.30000000000000071</v>
      </c>
      <c r="BZ24" s="443">
        <f>+IF('Bookings by Service Type'!BL16&gt;'Bookings by Service Type'!BK16, 0, 'Bookings by Service Type'!BL16-'Bookings by Service Type'!BK16)</f>
        <v>-31.1</v>
      </c>
      <c r="CA24" s="444">
        <f>+IF('Bookings by Service Type'!BM16&gt;'Bookings by Service Type'!BL16, 0, 'Bookings by Service Type'!BM16-'Bookings by Service Type'!BL16)</f>
        <v>0</v>
      </c>
      <c r="CB24" s="443">
        <f>+IF('Bookings by Service Type'!BN16&gt;'Bookings by Service Type'!BM16, 0, 'Bookings by Service Type'!BN16-'Bookings by Service Type'!BM16)</f>
        <v>0</v>
      </c>
      <c r="CC24" s="443">
        <f>+IF('Bookings by Service Type'!BO16&gt;'Bookings by Service Type'!BN16, 0, 'Bookings by Service Type'!BO16-'Bookings by Service Type'!BN16)</f>
        <v>-0.29999999999999716</v>
      </c>
      <c r="CD24" s="443">
        <f>+IF('Bookings by Service Type'!BP16&gt;'Bookings by Service Type'!BO16, 0, 'Bookings by Service Type'!BP16-'Bookings by Service Type'!BO16)</f>
        <v>-32.300000000000004</v>
      </c>
      <c r="CE24" s="443">
        <f>+IF('Bookings by Service Type'!BQ16&gt;'Bookings by Service Type'!BP16, 0, 'Bookings by Service Type'!BQ16-'Bookings by Service Type'!BP16)</f>
        <v>0</v>
      </c>
      <c r="CF24" s="443">
        <f>+IF('Bookings by Service Type'!BR16&gt;'Bookings by Service Type'!BQ16, 0, 'Bookings by Service Type'!BR16-'Bookings by Service Type'!BQ16)</f>
        <v>0</v>
      </c>
      <c r="CG24" s="443">
        <f>+IF('Bookings by Service Type'!BS16&gt;'Bookings by Service Type'!BR16, 0, 'Bookings by Service Type'!BS16-'Bookings by Service Type'!BR16)</f>
        <v>0</v>
      </c>
      <c r="CH24" s="443">
        <f>+IF('Bookings by Service Type'!BT16&gt;'Bookings by Service Type'!BS16, 0, 'Bookings by Service Type'!BT16-'Bookings by Service Type'!BS16)</f>
        <v>0</v>
      </c>
      <c r="CI24" s="443">
        <f>+IF('Bookings by Service Type'!BU16&gt;'Bookings by Service Type'!BT16, 0, 'Bookings by Service Type'!BU16-'Bookings by Service Type'!BT16)</f>
        <v>-36.299999999999997</v>
      </c>
      <c r="CJ24" s="443">
        <f>+IF('Bookings by Service Type'!BV16&gt;'Bookings by Service Type'!BU16, 0, 'Bookings by Service Type'!BV16-'Bookings by Service Type'!BU16)</f>
        <v>0</v>
      </c>
      <c r="CK24" s="443">
        <f>+IF('Bookings by Service Type'!BW16&gt;'Bookings by Service Type'!BV16, 0, 'Bookings by Service Type'!BW16-'Bookings by Service Type'!BV16)</f>
        <v>-0.39999999999999858</v>
      </c>
      <c r="CL24" s="443">
        <f>+IF('Bookings by Service Type'!BX16&gt;'Bookings by Service Type'!BW16, 0, 'Bookings by Service Type'!BX16-'Bookings by Service Type'!BW16)</f>
        <v>-39.300000000000004</v>
      </c>
      <c r="CM24" s="444">
        <f>+IF('Bookings by Service Type'!BY16&gt;'Bookings by Service Type'!BX16, 0, 'Bookings by Service Type'!BY16-'Bookings by Service Type'!BX16)</f>
        <v>0</v>
      </c>
      <c r="CN24" s="443">
        <f>+IF('Bookings by Service Type'!BZ16&gt;'Bookings by Service Type'!BY16, 0, 'Bookings by Service Type'!BZ16-'Bookings by Service Type'!BY16)</f>
        <v>0</v>
      </c>
      <c r="CO24" s="443">
        <f>+IF('Bookings by Service Type'!CA16&gt;'Bookings by Service Type'!BZ16, 0, 'Bookings by Service Type'!CA16-'Bookings by Service Type'!BZ16)</f>
        <v>-0.5</v>
      </c>
      <c r="CP24" s="443">
        <f>+IF('Bookings by Service Type'!CB16&gt;'Bookings by Service Type'!CA16, 0, 'Bookings by Service Type'!CB16-'Bookings by Service Type'!CA16)</f>
        <v>-40.800000000000004</v>
      </c>
      <c r="CQ24" s="443">
        <f>+IF('Bookings by Service Type'!CC16&gt;'Bookings by Service Type'!CB16, 0, 'Bookings by Service Type'!CC16-'Bookings by Service Type'!CB16)</f>
        <v>0</v>
      </c>
      <c r="CR24" s="443">
        <f>+IF('Bookings by Service Type'!CD16&gt;'Bookings by Service Type'!CC16, 0, 'Bookings by Service Type'!CD16-'Bookings by Service Type'!CC16)</f>
        <v>0</v>
      </c>
      <c r="CS24" s="443">
        <f>+IF('Bookings by Service Type'!CE16&gt;'Bookings by Service Type'!CD16, 0, 'Bookings by Service Type'!CE16-'Bookings by Service Type'!CD16)</f>
        <v>0</v>
      </c>
      <c r="CT24" s="443">
        <f>+IF('Bookings by Service Type'!CF16&gt;'Bookings by Service Type'!CE16, 0, 'Bookings by Service Type'!CF16-'Bookings by Service Type'!CE16)</f>
        <v>0</v>
      </c>
      <c r="CU24" s="443">
        <f>+IF('Bookings by Service Type'!CG16&gt;'Bookings by Service Type'!CF16, 0, 'Bookings by Service Type'!CG16-'Bookings by Service Type'!CF16)</f>
        <v>-45.900000000000006</v>
      </c>
      <c r="CV24" s="443">
        <f>+IF('Bookings by Service Type'!CH16&gt;'Bookings by Service Type'!CG16, 0, 'Bookings by Service Type'!CH16-'Bookings by Service Type'!CG16)</f>
        <v>0</v>
      </c>
      <c r="CW24" s="443">
        <f>+IF('Bookings by Service Type'!CI16&gt;'Bookings by Service Type'!CH16, 0, 'Bookings by Service Type'!CI16-'Bookings by Service Type'!CH16)</f>
        <v>-0.5</v>
      </c>
      <c r="CX24" s="443">
        <f>+IF('Bookings by Service Type'!CJ16&gt;'Bookings by Service Type'!CI16, 0, 'Bookings by Service Type'!CJ16-'Bookings by Service Type'!CI16)</f>
        <v>-49.7</v>
      </c>
      <c r="CY24" s="444">
        <f>+IF('Bookings by Service Type'!CK16&gt;'Bookings by Service Type'!CJ16, 0, 'Bookings by Service Type'!CK16-'Bookings by Service Type'!CJ16)</f>
        <v>0</v>
      </c>
    </row>
    <row r="25" spans="1:103" x14ac:dyDescent="0.3">
      <c r="A25" s="35"/>
      <c r="B25" s="35"/>
      <c r="C25" s="629" t="s">
        <v>286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15"/>
      <c r="U25" s="15"/>
      <c r="V25" s="15"/>
      <c r="W25" s="15"/>
      <c r="X25" s="15">
        <v>0</v>
      </c>
      <c r="Y25" s="15">
        <v>-3</v>
      </c>
      <c r="Z25" s="15">
        <v>-4</v>
      </c>
      <c r="AA25" s="15">
        <v>-2</v>
      </c>
      <c r="AB25" s="15">
        <v>0</v>
      </c>
      <c r="AC25" s="566">
        <v>0</v>
      </c>
      <c r="AD25" s="443">
        <f>+IF('Bookings by Service Type'!P17&gt;'Bookings by Service Type'!O17, 0, 'Bookings by Service Type'!P17-'Bookings by Service Type'!O17)</f>
        <v>0</v>
      </c>
      <c r="AE25" s="631">
        <f>+IF('Bookings by Service Type'!Q17&gt;'Bookings by Service Type'!P17, 0, 'Bookings by Service Type'!Q17-'Bookings by Service Type'!P17)</f>
        <v>0</v>
      </c>
      <c r="AF25" s="443">
        <f>+IF('Bookings by Service Type'!R17&gt;'Bookings by Service Type'!Q17, 0, 'Bookings by Service Type'!R17-'Bookings by Service Type'!Q17)</f>
        <v>0</v>
      </c>
      <c r="AG25" s="443">
        <f>+IF('Bookings by Service Type'!S17&gt;'Bookings by Service Type'!R17, 0, 'Bookings by Service Type'!S17-'Bookings by Service Type'!R17)</f>
        <v>-4.9999999999999822E-2</v>
      </c>
      <c r="AH25" s="443">
        <f>+IF('Bookings by Service Type'!T17&gt;'Bookings by Service Type'!S17, 0, 'Bookings by Service Type'!T17-'Bookings by Service Type'!S17)</f>
        <v>-6.3000000000000007</v>
      </c>
      <c r="AI25" s="443">
        <f>+IF('Bookings by Service Type'!U17&gt;'Bookings by Service Type'!T17, 0, 'Bookings by Service Type'!U17-'Bookings by Service Type'!T17)</f>
        <v>0</v>
      </c>
      <c r="AJ25" s="443">
        <f>+IF('Bookings by Service Type'!V17&gt;'Bookings by Service Type'!U17, 0, 'Bookings by Service Type'!V17-'Bookings by Service Type'!U17)</f>
        <v>0</v>
      </c>
      <c r="AK25" s="443">
        <f>+IF('Bookings by Service Type'!W17&gt;'Bookings by Service Type'!V17, 0, 'Bookings by Service Type'!W17-'Bookings by Service Type'!V17)</f>
        <v>0</v>
      </c>
      <c r="AL25" s="443">
        <f>+IF('Bookings by Service Type'!X17&gt;'Bookings by Service Type'!W17, 0, 'Bookings by Service Type'!X17-'Bookings by Service Type'!W17)</f>
        <v>0</v>
      </c>
      <c r="AM25" s="443">
        <f>+IF('Bookings by Service Type'!Y17&gt;'Bookings by Service Type'!X17, 0, 'Bookings by Service Type'!Y17-'Bookings by Service Type'!X17)</f>
        <v>-7.1000000000000014</v>
      </c>
      <c r="AN25" s="443">
        <f>+IF('Bookings by Service Type'!Z17&gt;'Bookings by Service Type'!Y17, 0, 'Bookings by Service Type'!Z17-'Bookings by Service Type'!Y17)</f>
        <v>0</v>
      </c>
      <c r="AO25" s="443">
        <f>+IF('Bookings by Service Type'!AA17&gt;'Bookings by Service Type'!Z17, 0, 'Bookings by Service Type'!AA17-'Bookings by Service Type'!Z17)</f>
        <v>-9.9999999999999645E-2</v>
      </c>
      <c r="AP25" s="443">
        <f>+IF('Bookings by Service Type'!AB17&gt;'Bookings by Service Type'!AA17, 0, 'Bookings by Service Type'!AB17-'Bookings by Service Type'!AA17)</f>
        <v>-7.65</v>
      </c>
      <c r="AQ25" s="444">
        <f>+IF('Bookings by Service Type'!AC17&gt;'Bookings by Service Type'!AB17, 0, 'Bookings by Service Type'!AC17-'Bookings by Service Type'!AB17)</f>
        <v>0</v>
      </c>
      <c r="AR25" s="443">
        <f>+IF('Bookings by Service Type'!AD17&gt;'Bookings by Service Type'!AC17, 0, 'Bookings by Service Type'!AD17-'Bookings by Service Type'!AC17)</f>
        <v>0</v>
      </c>
      <c r="AS25" s="443">
        <f>+IF('Bookings by Service Type'!AE17&gt;'Bookings by Service Type'!AD17, 0, 'Bookings by Service Type'!AE17-'Bookings by Service Type'!AD17)</f>
        <v>-0.10000000000000053</v>
      </c>
      <c r="AT25" s="443">
        <f>+IF('Bookings by Service Type'!AF17&gt;'Bookings by Service Type'!AE17, 0, 'Bookings by Service Type'!AF17-'Bookings by Service Type'!AE17)</f>
        <v>-7.95</v>
      </c>
      <c r="AU25" s="443">
        <f>+IF('Bookings by Service Type'!AG17&gt;'Bookings by Service Type'!AF17, 0, 'Bookings by Service Type'!AG17-'Bookings by Service Type'!AF17)</f>
        <v>0</v>
      </c>
      <c r="AV25" s="443">
        <f>+IF('Bookings by Service Type'!AH17&gt;'Bookings by Service Type'!AG17, 0, 'Bookings by Service Type'!AH17-'Bookings by Service Type'!AG17)</f>
        <v>0</v>
      </c>
      <c r="AW25" s="443">
        <f>+IF('Bookings by Service Type'!AI17&gt;'Bookings by Service Type'!AH17, 0, 'Bookings by Service Type'!AI17-'Bookings by Service Type'!AH17)</f>
        <v>0</v>
      </c>
      <c r="AX25" s="443">
        <f>+IF('Bookings by Service Type'!AJ17&gt;'Bookings by Service Type'!AI17, 0, 'Bookings by Service Type'!AJ17-'Bookings by Service Type'!AI17)</f>
        <v>0</v>
      </c>
      <c r="AY25" s="443">
        <f>+IF('Bookings by Service Type'!AK17&gt;'Bookings by Service Type'!AJ17, 0, 'Bookings by Service Type'!AK17-'Bookings by Service Type'!AJ17)</f>
        <v>-9</v>
      </c>
      <c r="AZ25" s="443">
        <f>+IF('Bookings by Service Type'!AL17&gt;'Bookings by Service Type'!AK17, 0, 'Bookings by Service Type'!AL17-'Bookings by Service Type'!AK17)</f>
        <v>0</v>
      </c>
      <c r="BA25" s="443">
        <f>+IF('Bookings by Service Type'!AM17&gt;'Bookings by Service Type'!AL17, 0, 'Bookings by Service Type'!AM17-'Bookings by Service Type'!AL17)</f>
        <v>-9.9999999999999645E-2</v>
      </c>
      <c r="BB25" s="443">
        <f>+IF('Bookings by Service Type'!AN17&gt;'Bookings by Service Type'!AM17, 0, 'Bookings by Service Type'!AN17-'Bookings by Service Type'!AM17)</f>
        <v>-9.7000000000000011</v>
      </c>
      <c r="BC25" s="444">
        <f>+IF('Bookings by Service Type'!AO17&gt;'Bookings by Service Type'!AN17, 0, 'Bookings by Service Type'!AO17-'Bookings by Service Type'!AN17)</f>
        <v>0</v>
      </c>
      <c r="BD25" s="443">
        <f>+IF('Bookings by Service Type'!AP17&gt;'Bookings by Service Type'!AO17, 0, 'Bookings by Service Type'!AP17-'Bookings by Service Type'!AO17)</f>
        <v>0</v>
      </c>
      <c r="BE25" s="443">
        <f>+IF('Bookings by Service Type'!AQ17&gt;'Bookings by Service Type'!AP17, 0, 'Bookings by Service Type'!AQ17-'Bookings by Service Type'!AP17)</f>
        <v>-9.9999999999999645E-2</v>
      </c>
      <c r="BF25" s="443">
        <f>+IF('Bookings by Service Type'!AR17&gt;'Bookings by Service Type'!AQ17, 0, 'Bookings by Service Type'!AR17-'Bookings by Service Type'!AQ17)</f>
        <v>-10.100000000000001</v>
      </c>
      <c r="BG25" s="443">
        <f>+IF('Bookings by Service Type'!AS17&gt;'Bookings by Service Type'!AR17, 0, 'Bookings by Service Type'!AS17-'Bookings by Service Type'!AR17)</f>
        <v>0</v>
      </c>
      <c r="BH25" s="443">
        <f>+IF('Bookings by Service Type'!AT17&gt;'Bookings by Service Type'!AS17, 0, 'Bookings by Service Type'!AT17-'Bookings by Service Type'!AS17)</f>
        <v>0</v>
      </c>
      <c r="BI25" s="443">
        <f>+IF('Bookings by Service Type'!AU17&gt;'Bookings by Service Type'!AT17, 0, 'Bookings by Service Type'!AU17-'Bookings by Service Type'!AT17)</f>
        <v>0</v>
      </c>
      <c r="BJ25" s="443">
        <f>+IF('Bookings by Service Type'!AV17&gt;'Bookings by Service Type'!AU17, 0, 'Bookings by Service Type'!AV17-'Bookings by Service Type'!AU17)</f>
        <v>0</v>
      </c>
      <c r="BK25" s="443">
        <f>+IF('Bookings by Service Type'!AW17&gt;'Bookings by Service Type'!AV17, 0, 'Bookings by Service Type'!AW17-'Bookings by Service Type'!AV17)</f>
        <v>-11.350000000000001</v>
      </c>
      <c r="BL25" s="443">
        <f>+IF('Bookings by Service Type'!AX17&gt;'Bookings by Service Type'!AW17, 0, 'Bookings by Service Type'!AX17-'Bookings by Service Type'!AW17)</f>
        <v>0</v>
      </c>
      <c r="BM25" s="443">
        <f>+IF('Bookings by Service Type'!AY17&gt;'Bookings by Service Type'!AX17, 0, 'Bookings by Service Type'!AY17-'Bookings by Service Type'!AX17)</f>
        <v>-0.15000000000000036</v>
      </c>
      <c r="BN25" s="443">
        <f>+IF('Bookings by Service Type'!AZ17&gt;'Bookings by Service Type'!AY17, 0, 'Bookings by Service Type'!AZ17-'Bookings by Service Type'!AY17)</f>
        <v>-12.25</v>
      </c>
      <c r="BO25" s="444">
        <f>+IF('Bookings by Service Type'!BA17&gt;'Bookings by Service Type'!AZ17, 0, 'Bookings by Service Type'!BA17-'Bookings by Service Type'!AZ17)</f>
        <v>0</v>
      </c>
      <c r="BP25" s="443">
        <f>+IF('Bookings by Service Type'!BB17&gt;'Bookings by Service Type'!BA17, 0, 'Bookings by Service Type'!BB17-'Bookings by Service Type'!BA17)</f>
        <v>0</v>
      </c>
      <c r="BQ25" s="443">
        <f>+IF('Bookings by Service Type'!BC17&gt;'Bookings by Service Type'!BB17, 0, 'Bookings by Service Type'!BC17-'Bookings by Service Type'!BB17)</f>
        <v>-0.15000000000000036</v>
      </c>
      <c r="BR25" s="443">
        <f>+IF('Bookings by Service Type'!BD17&gt;'Bookings by Service Type'!BC17, 0, 'Bookings by Service Type'!BD17-'Bookings by Service Type'!BC17)</f>
        <v>-12.75</v>
      </c>
      <c r="BS25" s="443">
        <f>+IF('Bookings by Service Type'!BE17&gt;'Bookings by Service Type'!BD17, 0, 'Bookings by Service Type'!BE17-'Bookings by Service Type'!BD17)</f>
        <v>0</v>
      </c>
      <c r="BT25" s="443">
        <f>+IF('Bookings by Service Type'!BF17&gt;'Bookings by Service Type'!BE17, 0, 'Bookings by Service Type'!BF17-'Bookings by Service Type'!BE17)</f>
        <v>0</v>
      </c>
      <c r="BU25" s="443">
        <f>+IF('Bookings by Service Type'!BG17&gt;'Bookings by Service Type'!BF17, 0, 'Bookings by Service Type'!BG17-'Bookings by Service Type'!BF17)</f>
        <v>0</v>
      </c>
      <c r="BV25" s="443">
        <f>+IF('Bookings by Service Type'!BH17&gt;'Bookings by Service Type'!BG17, 0, 'Bookings by Service Type'!BH17-'Bookings by Service Type'!BG17)</f>
        <v>0</v>
      </c>
      <c r="BW25" s="443">
        <f>+IF('Bookings by Service Type'!BI17&gt;'Bookings by Service Type'!BH17, 0, 'Bookings by Service Type'!BI17-'Bookings by Service Type'!BH17)</f>
        <v>-14.4</v>
      </c>
      <c r="BX25" s="443">
        <f>+IF('Bookings by Service Type'!BJ17&gt;'Bookings by Service Type'!BI17, 0, 'Bookings by Service Type'!BJ17-'Bookings by Service Type'!BI17)</f>
        <v>0</v>
      </c>
      <c r="BY25" s="443">
        <f>+IF('Bookings by Service Type'!BK17&gt;'Bookings by Service Type'!BJ17, 0, 'Bookings by Service Type'!BK17-'Bookings by Service Type'!BJ17)</f>
        <v>-0.15000000000000036</v>
      </c>
      <c r="BZ25" s="443">
        <f>+IF('Bookings by Service Type'!BL17&gt;'Bookings by Service Type'!BK17, 0, 'Bookings by Service Type'!BL17-'Bookings by Service Type'!BK17)</f>
        <v>-15.55</v>
      </c>
      <c r="CA25" s="444">
        <f>+IF('Bookings by Service Type'!BM17&gt;'Bookings by Service Type'!BL17, 0, 'Bookings by Service Type'!BM17-'Bookings by Service Type'!BL17)</f>
        <v>0</v>
      </c>
      <c r="CB25" s="443">
        <f>+IF('Bookings by Service Type'!BN17&gt;'Bookings by Service Type'!BM17, 0, 'Bookings by Service Type'!BN17-'Bookings by Service Type'!BM17)</f>
        <v>0</v>
      </c>
      <c r="CC25" s="443">
        <f>+IF('Bookings by Service Type'!BO17&gt;'Bookings by Service Type'!BN17, 0, 'Bookings by Service Type'!BO17-'Bookings by Service Type'!BN17)</f>
        <v>-0.14999999999999858</v>
      </c>
      <c r="CD25" s="443">
        <f>+IF('Bookings by Service Type'!BP17&gt;'Bookings by Service Type'!BO17, 0, 'Bookings by Service Type'!BP17-'Bookings by Service Type'!BO17)</f>
        <v>-16.150000000000002</v>
      </c>
      <c r="CE25" s="443">
        <f>+IF('Bookings by Service Type'!BQ17&gt;'Bookings by Service Type'!BP17, 0, 'Bookings by Service Type'!BQ17-'Bookings by Service Type'!BP17)</f>
        <v>0</v>
      </c>
      <c r="CF25" s="443">
        <f>+IF('Bookings by Service Type'!BR17&gt;'Bookings by Service Type'!BQ17, 0, 'Bookings by Service Type'!BR17-'Bookings by Service Type'!BQ17)</f>
        <v>0</v>
      </c>
      <c r="CG25" s="443">
        <f>+IF('Bookings by Service Type'!BS17&gt;'Bookings by Service Type'!BR17, 0, 'Bookings by Service Type'!BS17-'Bookings by Service Type'!BR17)</f>
        <v>0</v>
      </c>
      <c r="CH25" s="443">
        <f>+IF('Bookings by Service Type'!BT17&gt;'Bookings by Service Type'!BS17, 0, 'Bookings by Service Type'!BT17-'Bookings by Service Type'!BS17)</f>
        <v>0</v>
      </c>
      <c r="CI25" s="443">
        <f>+IF('Bookings by Service Type'!BU17&gt;'Bookings by Service Type'!BT17, 0, 'Bookings by Service Type'!BU17-'Bookings by Service Type'!BT17)</f>
        <v>-18.149999999999999</v>
      </c>
      <c r="CJ25" s="443">
        <f>+IF('Bookings by Service Type'!BV17&gt;'Bookings by Service Type'!BU17, 0, 'Bookings by Service Type'!BV17-'Bookings by Service Type'!BU17)</f>
        <v>0</v>
      </c>
      <c r="CK25" s="443">
        <f>+IF('Bookings by Service Type'!BW17&gt;'Bookings by Service Type'!BV17, 0, 'Bookings by Service Type'!BW17-'Bookings by Service Type'!BV17)</f>
        <v>-0.19999999999999929</v>
      </c>
      <c r="CL25" s="443">
        <f>+IF('Bookings by Service Type'!BX17&gt;'Bookings by Service Type'!BW17, 0, 'Bookings by Service Type'!BX17-'Bookings by Service Type'!BW17)</f>
        <v>-19.650000000000002</v>
      </c>
      <c r="CM25" s="444">
        <f>+IF('Bookings by Service Type'!BY17&gt;'Bookings by Service Type'!BX17, 0, 'Bookings by Service Type'!BY17-'Bookings by Service Type'!BX17)</f>
        <v>0</v>
      </c>
      <c r="CN25" s="443">
        <f>+IF('Bookings by Service Type'!BZ17&gt;'Bookings by Service Type'!BY17, 0, 'Bookings by Service Type'!BZ17-'Bookings by Service Type'!BY17)</f>
        <v>0</v>
      </c>
      <c r="CO25" s="443">
        <f>+IF('Bookings by Service Type'!CA17&gt;'Bookings by Service Type'!BZ17, 0, 'Bookings by Service Type'!CA17-'Bookings by Service Type'!BZ17)</f>
        <v>-0.25</v>
      </c>
      <c r="CP25" s="443">
        <f>+IF('Bookings by Service Type'!CB17&gt;'Bookings by Service Type'!CA17, 0, 'Bookings by Service Type'!CB17-'Bookings by Service Type'!CA17)</f>
        <v>-20.400000000000002</v>
      </c>
      <c r="CQ25" s="443">
        <f>+IF('Bookings by Service Type'!CC17&gt;'Bookings by Service Type'!CB17, 0, 'Bookings by Service Type'!CC17-'Bookings by Service Type'!CB17)</f>
        <v>0</v>
      </c>
      <c r="CR25" s="443">
        <f>+IF('Bookings by Service Type'!CD17&gt;'Bookings by Service Type'!CC17, 0, 'Bookings by Service Type'!CD17-'Bookings by Service Type'!CC17)</f>
        <v>0</v>
      </c>
      <c r="CS25" s="443">
        <f>+IF('Bookings by Service Type'!CE17&gt;'Bookings by Service Type'!CD17, 0, 'Bookings by Service Type'!CE17-'Bookings by Service Type'!CD17)</f>
        <v>0</v>
      </c>
      <c r="CT25" s="443">
        <f>+IF('Bookings by Service Type'!CF17&gt;'Bookings by Service Type'!CE17, 0, 'Bookings by Service Type'!CF17-'Bookings by Service Type'!CE17)</f>
        <v>0</v>
      </c>
      <c r="CU25" s="443">
        <f>+IF('Bookings by Service Type'!CG17&gt;'Bookings by Service Type'!CF17, 0, 'Bookings by Service Type'!CG17-'Bookings by Service Type'!CF17)</f>
        <v>-22.950000000000003</v>
      </c>
      <c r="CV25" s="443">
        <f>+IF('Bookings by Service Type'!CH17&gt;'Bookings by Service Type'!CG17, 0, 'Bookings by Service Type'!CH17-'Bookings by Service Type'!CG17)</f>
        <v>0</v>
      </c>
      <c r="CW25" s="443">
        <f>+IF('Bookings by Service Type'!CI17&gt;'Bookings by Service Type'!CH17, 0, 'Bookings by Service Type'!CI17-'Bookings by Service Type'!CH17)</f>
        <v>-0.25</v>
      </c>
      <c r="CX25" s="443">
        <f>+IF('Bookings by Service Type'!CJ17&gt;'Bookings by Service Type'!CI17, 0, 'Bookings by Service Type'!CJ17-'Bookings by Service Type'!CI17)</f>
        <v>-24.85</v>
      </c>
      <c r="CY25" s="444">
        <f>+IF('Bookings by Service Type'!CK17&gt;'Bookings by Service Type'!CJ17, 0, 'Bookings by Service Type'!CK17-'Bookings by Service Type'!CJ17)</f>
        <v>0</v>
      </c>
    </row>
    <row r="26" spans="1:103" x14ac:dyDescent="0.3">
      <c r="A26" s="35"/>
      <c r="B26" s="35"/>
      <c r="C26" s="629" t="s">
        <v>282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15"/>
      <c r="U26" s="15"/>
      <c r="V26" s="15"/>
      <c r="W26" s="15"/>
      <c r="X26" s="15"/>
      <c r="Y26" s="15">
        <v>0</v>
      </c>
      <c r="Z26" s="15">
        <v>0</v>
      </c>
      <c r="AA26" s="15">
        <v>-4</v>
      </c>
      <c r="AB26" s="15">
        <v>0</v>
      </c>
      <c r="AC26" s="566">
        <v>-3</v>
      </c>
      <c r="AD26" s="440">
        <f t="shared" ref="AD26:BI26" si="72">+AC15*AC37</f>
        <v>-1.5714285714285716</v>
      </c>
      <c r="AE26" s="631">
        <f t="shared" si="72"/>
        <v>-2.3714285714285714</v>
      </c>
      <c r="AF26" s="443">
        <f t="shared" si="72"/>
        <v>-3.822857142857143</v>
      </c>
      <c r="AG26" s="443">
        <f t="shared" si="72"/>
        <v>-4.6937142857142859</v>
      </c>
      <c r="AH26" s="443">
        <f t="shared" si="72"/>
        <v>-5.2162285714285721</v>
      </c>
      <c r="AI26" s="443">
        <f t="shared" si="72"/>
        <v>-5.5297371428571429</v>
      </c>
      <c r="AJ26" s="443">
        <f t="shared" si="72"/>
        <v>-5.7178422857142852</v>
      </c>
      <c r="AK26" s="443">
        <f t="shared" si="72"/>
        <v>-6.0307053714285708</v>
      </c>
      <c r="AL26" s="443">
        <f t="shared" si="72"/>
        <v>-6.218423222857143</v>
      </c>
      <c r="AM26" s="443">
        <f t="shared" si="72"/>
        <v>-6.5310539337142863</v>
      </c>
      <c r="AN26" s="443">
        <f t="shared" si="72"/>
        <v>-6.9186323602285711</v>
      </c>
      <c r="AO26" s="443">
        <f t="shared" si="72"/>
        <v>-7.1511794161371434</v>
      </c>
      <c r="AP26" s="443">
        <f t="shared" si="72"/>
        <v>-7.290707649682286</v>
      </c>
      <c r="AQ26" s="444">
        <f t="shared" si="72"/>
        <v>-7.3744245898093714</v>
      </c>
      <c r="AR26" s="443">
        <f t="shared" si="72"/>
        <v>-7.4246547538856227</v>
      </c>
      <c r="AS26" s="443">
        <f t="shared" si="72"/>
        <v>-7.6547928523313731</v>
      </c>
      <c r="AT26" s="443">
        <f t="shared" si="72"/>
        <v>-7.5928757113988246</v>
      </c>
      <c r="AU26" s="443">
        <f t="shared" si="72"/>
        <v>-7.5557254268392944</v>
      </c>
      <c r="AV26" s="443">
        <f t="shared" si="72"/>
        <v>-7.7334352561035757</v>
      </c>
      <c r="AW26" s="443">
        <f t="shared" si="72"/>
        <v>-7.8400611536621456</v>
      </c>
      <c r="AX26" s="443">
        <f t="shared" si="72"/>
        <v>-8.1040366921972886</v>
      </c>
      <c r="AY26" s="443">
        <f t="shared" si="72"/>
        <v>-8.4624220153183725</v>
      </c>
      <c r="AZ26" s="443">
        <f t="shared" si="72"/>
        <v>-8.8774532091910228</v>
      </c>
      <c r="BA26" s="443">
        <f t="shared" si="72"/>
        <v>-9.1264719255146129</v>
      </c>
      <c r="BB26" s="443">
        <f t="shared" si="72"/>
        <v>-9.2758831553087671</v>
      </c>
      <c r="BC26" s="444">
        <f t="shared" si="72"/>
        <v>-9.3655298931852595</v>
      </c>
      <c r="BD26" s="443">
        <f t="shared" si="72"/>
        <v>-9.4193179359111561</v>
      </c>
      <c r="BE26" s="443">
        <f t="shared" si="72"/>
        <v>-9.6515907615466929</v>
      </c>
      <c r="BF26" s="443">
        <f t="shared" si="72"/>
        <v>-9.7909544569280165</v>
      </c>
      <c r="BG26" s="443">
        <f t="shared" si="72"/>
        <v>-9.8745726741568092</v>
      </c>
      <c r="BH26" s="443">
        <f t="shared" si="72"/>
        <v>-9.9247436044940862</v>
      </c>
      <c r="BI26" s="443">
        <f t="shared" si="72"/>
        <v>-10.154846162696451</v>
      </c>
      <c r="BJ26" s="443">
        <f t="shared" ref="BJ26:CO26" si="73">+BI15*BI37</f>
        <v>-10.492907697617872</v>
      </c>
      <c r="BK26" s="443">
        <f t="shared" si="73"/>
        <v>-10.895744618570724</v>
      </c>
      <c r="BL26" s="443">
        <f t="shared" si="73"/>
        <v>-11.337446771142433</v>
      </c>
      <c r="BM26" s="443">
        <f t="shared" si="73"/>
        <v>-11.60246806268546</v>
      </c>
      <c r="BN26" s="443">
        <f t="shared" si="73"/>
        <v>-11.761480837611277</v>
      </c>
      <c r="BO26" s="444">
        <f t="shared" si="73"/>
        <v>-11.856888502566767</v>
      </c>
      <c r="BP26" s="443">
        <f t="shared" si="73"/>
        <v>-12.114133101540061</v>
      </c>
      <c r="BQ26" s="443">
        <f t="shared" si="73"/>
        <v>-12.268479860924035</v>
      </c>
      <c r="BR26" s="443">
        <f t="shared" si="73"/>
        <v>-12.361087916554421</v>
      </c>
      <c r="BS26" s="443">
        <f t="shared" si="73"/>
        <v>-12.416652749932652</v>
      </c>
      <c r="BT26" s="443">
        <f t="shared" si="73"/>
        <v>-12.649991649959592</v>
      </c>
      <c r="BU26" s="443">
        <f t="shared" si="73"/>
        <v>-12.789994989975755</v>
      </c>
      <c r="BV26" s="443">
        <f t="shared" si="73"/>
        <v>-13.273996993985453</v>
      </c>
      <c r="BW26" s="443">
        <f t="shared" si="73"/>
        <v>-13.764398196391273</v>
      </c>
      <c r="BX26" s="443">
        <f t="shared" si="73"/>
        <v>-14.258638917834766</v>
      </c>
      <c r="BY26" s="443">
        <f t="shared" si="73"/>
        <v>-14.755183350700859</v>
      </c>
      <c r="BZ26" s="443">
        <f t="shared" si="73"/>
        <v>-15.053110010420514</v>
      </c>
      <c r="CA26" s="444">
        <f t="shared" si="73"/>
        <v>-15.031866006252308</v>
      </c>
      <c r="CB26" s="443">
        <f t="shared" si="73"/>
        <v>-15.219119603751384</v>
      </c>
      <c r="CC26" s="443">
        <f t="shared" si="73"/>
        <v>-15.531471762250829</v>
      </c>
      <c r="CD26" s="443">
        <f t="shared" si="73"/>
        <v>-15.718883057350496</v>
      </c>
      <c r="CE26" s="443">
        <f t="shared" si="73"/>
        <v>-15.831329834410298</v>
      </c>
      <c r="CF26" s="443">
        <f t="shared" si="73"/>
        <v>-15.89879790064618</v>
      </c>
      <c r="CG26" s="443">
        <f t="shared" si="73"/>
        <v>-16.139278740387706</v>
      </c>
      <c r="CH26" s="443">
        <f t="shared" si="73"/>
        <v>-16.683567244232627</v>
      </c>
      <c r="CI26" s="443">
        <f t="shared" si="73"/>
        <v>-17.410140346539574</v>
      </c>
      <c r="CJ26" s="443">
        <f t="shared" si="73"/>
        <v>-18.046084207923748</v>
      </c>
      <c r="CK26" s="443">
        <f t="shared" si="73"/>
        <v>-18.627650524754248</v>
      </c>
      <c r="CL26" s="443">
        <f t="shared" si="73"/>
        <v>-18.976590314852547</v>
      </c>
      <c r="CM26" s="444">
        <f t="shared" si="73"/>
        <v>-18.985954188911531</v>
      </c>
      <c r="CN26" s="443">
        <f t="shared" si="73"/>
        <v>-19.391572513346915</v>
      </c>
      <c r="CO26" s="443">
        <f t="shared" si="73"/>
        <v>-19.834943508008152</v>
      </c>
      <c r="CP26" s="443">
        <f t="shared" ref="CP26:CY26" si="74">+CO15*CO37</f>
        <v>-19.90096610480489</v>
      </c>
      <c r="CQ26" s="443">
        <f t="shared" si="74"/>
        <v>-19.940579662882932</v>
      </c>
      <c r="CR26" s="443">
        <f t="shared" si="74"/>
        <v>-20.164347797729761</v>
      </c>
      <c r="CS26" s="443">
        <f t="shared" si="74"/>
        <v>-20.498608678637854</v>
      </c>
      <c r="CT26" s="443">
        <f t="shared" si="74"/>
        <v>-21.29916520718271</v>
      </c>
      <c r="CU26" s="443">
        <f t="shared" si="74"/>
        <v>-22.179499124309629</v>
      </c>
      <c r="CV26" s="443">
        <f t="shared" si="74"/>
        <v>-22.907699474585776</v>
      </c>
      <c r="CW26" s="443">
        <f t="shared" si="74"/>
        <v>-23.744619684751466</v>
      </c>
      <c r="CX26" s="443">
        <f t="shared" si="74"/>
        <v>-24.046771810850881</v>
      </c>
      <c r="CY26" s="444">
        <f t="shared" si="74"/>
        <v>-24.228063086510527</v>
      </c>
    </row>
    <row r="27" spans="1:103" x14ac:dyDescent="0.3">
      <c r="A27" s="35"/>
      <c r="B27" s="35"/>
      <c r="C27" s="629" t="s">
        <v>283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15"/>
      <c r="U27" s="15"/>
      <c r="V27" s="15"/>
      <c r="W27" s="15"/>
      <c r="X27" s="15"/>
      <c r="Y27" s="15">
        <v>-2</v>
      </c>
      <c r="Z27" s="15">
        <v>-1</v>
      </c>
      <c r="AA27" s="592">
        <v>0</v>
      </c>
      <c r="AB27" s="592">
        <v>0</v>
      </c>
      <c r="AC27" s="582">
        <v>-1</v>
      </c>
      <c r="AD27" s="440">
        <f t="shared" ref="AD27:BI27" si="75">+AC15*AC37</f>
        <v>-1.5714285714285716</v>
      </c>
      <c r="AE27" s="631">
        <f t="shared" si="75"/>
        <v>-2.3714285714285714</v>
      </c>
      <c r="AF27" s="443">
        <f t="shared" si="75"/>
        <v>-3.822857142857143</v>
      </c>
      <c r="AG27" s="443">
        <f t="shared" si="75"/>
        <v>-4.6937142857142859</v>
      </c>
      <c r="AH27" s="443">
        <f t="shared" si="75"/>
        <v>-5.2162285714285721</v>
      </c>
      <c r="AI27" s="443">
        <f t="shared" si="75"/>
        <v>-5.5297371428571429</v>
      </c>
      <c r="AJ27" s="443">
        <f t="shared" si="75"/>
        <v>-5.7178422857142852</v>
      </c>
      <c r="AK27" s="443">
        <f t="shared" si="75"/>
        <v>-6.0307053714285708</v>
      </c>
      <c r="AL27" s="443">
        <f t="shared" si="75"/>
        <v>-6.218423222857143</v>
      </c>
      <c r="AM27" s="443">
        <f t="shared" si="75"/>
        <v>-6.5310539337142863</v>
      </c>
      <c r="AN27" s="443">
        <f t="shared" si="75"/>
        <v>-6.9186323602285711</v>
      </c>
      <c r="AO27" s="443">
        <f t="shared" si="75"/>
        <v>-7.1511794161371434</v>
      </c>
      <c r="AP27" s="443">
        <f t="shared" si="75"/>
        <v>-7.290707649682286</v>
      </c>
      <c r="AQ27" s="444">
        <f t="shared" si="75"/>
        <v>-7.3744245898093714</v>
      </c>
      <c r="AR27" s="443">
        <f t="shared" si="75"/>
        <v>-7.4246547538856227</v>
      </c>
      <c r="AS27" s="443">
        <f t="shared" si="75"/>
        <v>-7.6547928523313731</v>
      </c>
      <c r="AT27" s="443">
        <f t="shared" si="75"/>
        <v>-7.5928757113988246</v>
      </c>
      <c r="AU27" s="443">
        <f t="shared" si="75"/>
        <v>-7.5557254268392944</v>
      </c>
      <c r="AV27" s="443">
        <f t="shared" si="75"/>
        <v>-7.7334352561035757</v>
      </c>
      <c r="AW27" s="443">
        <f t="shared" si="75"/>
        <v>-7.8400611536621456</v>
      </c>
      <c r="AX27" s="443">
        <f t="shared" si="75"/>
        <v>-8.1040366921972886</v>
      </c>
      <c r="AY27" s="443">
        <f t="shared" si="75"/>
        <v>-8.4624220153183725</v>
      </c>
      <c r="AZ27" s="443">
        <f t="shared" si="75"/>
        <v>-8.8774532091910228</v>
      </c>
      <c r="BA27" s="443">
        <f t="shared" si="75"/>
        <v>-9.1264719255146129</v>
      </c>
      <c r="BB27" s="443">
        <f t="shared" si="75"/>
        <v>-9.2758831553087671</v>
      </c>
      <c r="BC27" s="444">
        <f t="shared" si="75"/>
        <v>-9.3655298931852595</v>
      </c>
      <c r="BD27" s="443">
        <f t="shared" si="75"/>
        <v>-9.4193179359111561</v>
      </c>
      <c r="BE27" s="443">
        <f t="shared" si="75"/>
        <v>-9.6515907615466929</v>
      </c>
      <c r="BF27" s="443">
        <f t="shared" si="75"/>
        <v>-9.7909544569280165</v>
      </c>
      <c r="BG27" s="443">
        <f t="shared" si="75"/>
        <v>-9.8745726741568092</v>
      </c>
      <c r="BH27" s="443">
        <f t="shared" si="75"/>
        <v>-9.9247436044940862</v>
      </c>
      <c r="BI27" s="443">
        <f t="shared" si="75"/>
        <v>-10.154846162696451</v>
      </c>
      <c r="BJ27" s="443">
        <f t="shared" ref="BJ27:CO27" si="76">+BI15*BI37</f>
        <v>-10.492907697617872</v>
      </c>
      <c r="BK27" s="443">
        <f t="shared" si="76"/>
        <v>-10.895744618570724</v>
      </c>
      <c r="BL27" s="443">
        <f t="shared" si="76"/>
        <v>-11.337446771142433</v>
      </c>
      <c r="BM27" s="443">
        <f t="shared" si="76"/>
        <v>-11.60246806268546</v>
      </c>
      <c r="BN27" s="443">
        <f t="shared" si="76"/>
        <v>-11.761480837611277</v>
      </c>
      <c r="BO27" s="444">
        <f t="shared" si="76"/>
        <v>-11.856888502566767</v>
      </c>
      <c r="BP27" s="443">
        <f t="shared" si="76"/>
        <v>-12.114133101540061</v>
      </c>
      <c r="BQ27" s="443">
        <f t="shared" si="76"/>
        <v>-12.268479860924035</v>
      </c>
      <c r="BR27" s="443">
        <f t="shared" si="76"/>
        <v>-12.361087916554421</v>
      </c>
      <c r="BS27" s="443">
        <f t="shared" si="76"/>
        <v>-12.416652749932652</v>
      </c>
      <c r="BT27" s="443">
        <f t="shared" si="76"/>
        <v>-12.649991649959592</v>
      </c>
      <c r="BU27" s="443">
        <f t="shared" si="76"/>
        <v>-12.789994989975755</v>
      </c>
      <c r="BV27" s="443">
        <f t="shared" si="76"/>
        <v>-13.273996993985453</v>
      </c>
      <c r="BW27" s="443">
        <f t="shared" si="76"/>
        <v>-13.764398196391273</v>
      </c>
      <c r="BX27" s="443">
        <f t="shared" si="76"/>
        <v>-14.258638917834766</v>
      </c>
      <c r="BY27" s="443">
        <f t="shared" si="76"/>
        <v>-14.755183350700859</v>
      </c>
      <c r="BZ27" s="443">
        <f t="shared" si="76"/>
        <v>-15.053110010420514</v>
      </c>
      <c r="CA27" s="444">
        <f t="shared" si="76"/>
        <v>-15.031866006252308</v>
      </c>
      <c r="CB27" s="443">
        <f t="shared" si="76"/>
        <v>-15.219119603751384</v>
      </c>
      <c r="CC27" s="443">
        <f t="shared" si="76"/>
        <v>-15.531471762250829</v>
      </c>
      <c r="CD27" s="443">
        <f t="shared" si="76"/>
        <v>-15.718883057350496</v>
      </c>
      <c r="CE27" s="443">
        <f t="shared" si="76"/>
        <v>-15.831329834410298</v>
      </c>
      <c r="CF27" s="443">
        <f t="shared" si="76"/>
        <v>-15.89879790064618</v>
      </c>
      <c r="CG27" s="443">
        <f t="shared" si="76"/>
        <v>-16.139278740387706</v>
      </c>
      <c r="CH27" s="443">
        <f t="shared" si="76"/>
        <v>-16.683567244232627</v>
      </c>
      <c r="CI27" s="443">
        <f t="shared" si="76"/>
        <v>-17.410140346539574</v>
      </c>
      <c r="CJ27" s="443">
        <f t="shared" si="76"/>
        <v>-18.046084207923748</v>
      </c>
      <c r="CK27" s="443">
        <f t="shared" si="76"/>
        <v>-18.627650524754248</v>
      </c>
      <c r="CL27" s="443">
        <f t="shared" si="76"/>
        <v>-18.976590314852547</v>
      </c>
      <c r="CM27" s="444">
        <f t="shared" si="76"/>
        <v>-18.985954188911531</v>
      </c>
      <c r="CN27" s="443">
        <f t="shared" si="76"/>
        <v>-19.391572513346915</v>
      </c>
      <c r="CO27" s="443">
        <f t="shared" si="76"/>
        <v>-19.834943508008152</v>
      </c>
      <c r="CP27" s="443">
        <f t="shared" ref="CP27:CY27" si="77">+CO15*CO37</f>
        <v>-19.90096610480489</v>
      </c>
      <c r="CQ27" s="443">
        <f t="shared" si="77"/>
        <v>-19.940579662882932</v>
      </c>
      <c r="CR27" s="443">
        <f t="shared" si="77"/>
        <v>-20.164347797729761</v>
      </c>
      <c r="CS27" s="443">
        <f t="shared" si="77"/>
        <v>-20.498608678637854</v>
      </c>
      <c r="CT27" s="443">
        <f t="shared" si="77"/>
        <v>-21.29916520718271</v>
      </c>
      <c r="CU27" s="443">
        <f t="shared" si="77"/>
        <v>-22.179499124309629</v>
      </c>
      <c r="CV27" s="443">
        <f t="shared" si="77"/>
        <v>-22.907699474585776</v>
      </c>
      <c r="CW27" s="443">
        <f t="shared" si="77"/>
        <v>-23.744619684751466</v>
      </c>
      <c r="CX27" s="443">
        <f t="shared" si="77"/>
        <v>-24.046771810850881</v>
      </c>
      <c r="CY27" s="444">
        <f t="shared" si="77"/>
        <v>-24.228063086510527</v>
      </c>
    </row>
    <row r="28" spans="1:103" x14ac:dyDescent="0.3">
      <c r="A28" s="35"/>
      <c r="B28" s="35"/>
      <c r="C28" s="629" t="s">
        <v>235</v>
      </c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>
        <f t="shared" ref="T28:Z28" si="78">+SUM(T23:T27)</f>
        <v>0</v>
      </c>
      <c r="U28" s="264">
        <f t="shared" si="78"/>
        <v>0</v>
      </c>
      <c r="V28" s="264">
        <f t="shared" si="78"/>
        <v>0</v>
      </c>
      <c r="W28" s="264">
        <f t="shared" si="78"/>
        <v>0</v>
      </c>
      <c r="X28" s="264">
        <f t="shared" si="78"/>
        <v>0</v>
      </c>
      <c r="Y28" s="264">
        <f t="shared" si="78"/>
        <v>-6</v>
      </c>
      <c r="Z28" s="264">
        <f t="shared" si="78"/>
        <v>-6</v>
      </c>
      <c r="AA28" s="51">
        <f>+SUM(AA23:AA27)</f>
        <v>-35</v>
      </c>
      <c r="AB28" s="51">
        <f>+SUM(AB23:AB27)</f>
        <v>0</v>
      </c>
      <c r="AC28" s="565">
        <f>+SUM(AC23:AC27)</f>
        <v>-4</v>
      </c>
      <c r="AD28" s="265">
        <f>+SUM(AD23:AD27)</f>
        <v>-3.1428571428571432</v>
      </c>
      <c r="AE28" s="266">
        <f t="shared" ref="AE28:CJ28" si="79">+SUM(AE23:AE27)</f>
        <v>-4.7428571428571429</v>
      </c>
      <c r="AF28" s="265">
        <f t="shared" si="79"/>
        <v>-7.6457142857142859</v>
      </c>
      <c r="AG28" s="265">
        <f t="shared" si="79"/>
        <v>-9.5374285714285705</v>
      </c>
      <c r="AH28" s="265">
        <f t="shared" si="79"/>
        <v>-29.332457142857148</v>
      </c>
      <c r="AI28" s="265">
        <f t="shared" si="79"/>
        <v>-11.059474285714286</v>
      </c>
      <c r="AJ28" s="265">
        <f t="shared" si="79"/>
        <v>-11.43568457142857</v>
      </c>
      <c r="AK28" s="265">
        <f t="shared" si="79"/>
        <v>-12.061410742857142</v>
      </c>
      <c r="AL28" s="265">
        <f t="shared" si="79"/>
        <v>-12.436846445714286</v>
      </c>
      <c r="AM28" s="265">
        <f t="shared" si="79"/>
        <v>-136.56210786742855</v>
      </c>
      <c r="AN28" s="265">
        <f t="shared" si="79"/>
        <v>-13.837264720457142</v>
      </c>
      <c r="AO28" s="265">
        <f t="shared" si="79"/>
        <v>-14.602358832274286</v>
      </c>
      <c r="AP28" s="265">
        <f t="shared" si="79"/>
        <v>-37.531415299364575</v>
      </c>
      <c r="AQ28" s="293">
        <f t="shared" si="79"/>
        <v>-14.748849179618743</v>
      </c>
      <c r="AR28" s="265">
        <f t="shared" si="79"/>
        <v>-14.849309507771245</v>
      </c>
      <c r="AS28" s="265">
        <f t="shared" si="79"/>
        <v>-15.609585704662749</v>
      </c>
      <c r="AT28" s="265">
        <f t="shared" si="79"/>
        <v>-39.035751422797652</v>
      </c>
      <c r="AU28" s="265">
        <f t="shared" si="79"/>
        <v>-15.111450853678589</v>
      </c>
      <c r="AV28" s="265">
        <f t="shared" si="79"/>
        <v>-15.466870512207151</v>
      </c>
      <c r="AW28" s="265">
        <f t="shared" si="79"/>
        <v>-15.680122307324291</v>
      </c>
      <c r="AX28" s="265">
        <f t="shared" si="79"/>
        <v>-16.208073384394577</v>
      </c>
      <c r="AY28" s="265">
        <f t="shared" si="79"/>
        <v>-173.42484403063673</v>
      </c>
      <c r="AZ28" s="265">
        <f t="shared" si="79"/>
        <v>-17.754906418382046</v>
      </c>
      <c r="BA28" s="265">
        <f t="shared" si="79"/>
        <v>-18.552943851029227</v>
      </c>
      <c r="BB28" s="265">
        <f t="shared" si="79"/>
        <v>-47.651766310617539</v>
      </c>
      <c r="BC28" s="293">
        <f t="shared" si="79"/>
        <v>-18.731059786370519</v>
      </c>
      <c r="BD28" s="265">
        <f t="shared" si="79"/>
        <v>-18.838635871822312</v>
      </c>
      <c r="BE28" s="265">
        <f t="shared" si="79"/>
        <v>-19.603181523093383</v>
      </c>
      <c r="BF28" s="265">
        <f t="shared" si="79"/>
        <v>-49.881908913856037</v>
      </c>
      <c r="BG28" s="265">
        <f t="shared" si="79"/>
        <v>-19.749145348313618</v>
      </c>
      <c r="BH28" s="265">
        <f t="shared" si="79"/>
        <v>-19.849487208988172</v>
      </c>
      <c r="BI28" s="265">
        <f t="shared" si="79"/>
        <v>-20.309692325392902</v>
      </c>
      <c r="BJ28" s="265">
        <f t="shared" si="79"/>
        <v>-20.985815395235743</v>
      </c>
      <c r="BK28" s="265">
        <f t="shared" si="79"/>
        <v>-219.64148923714143</v>
      </c>
      <c r="BL28" s="265">
        <f t="shared" si="79"/>
        <v>-22.674893542284867</v>
      </c>
      <c r="BM28" s="265">
        <f t="shared" si="79"/>
        <v>-23.654936125370924</v>
      </c>
      <c r="BN28" s="265">
        <f t="shared" si="79"/>
        <v>-60.272961675222547</v>
      </c>
      <c r="BO28" s="293">
        <f t="shared" si="79"/>
        <v>-23.713777005133533</v>
      </c>
      <c r="BP28" s="265">
        <f t="shared" si="79"/>
        <v>-24.228266203080121</v>
      </c>
      <c r="BQ28" s="265">
        <f t="shared" si="79"/>
        <v>-24.986959721848073</v>
      </c>
      <c r="BR28" s="265">
        <f t="shared" si="79"/>
        <v>-62.972175833108849</v>
      </c>
      <c r="BS28" s="265">
        <f t="shared" si="79"/>
        <v>-24.833305499865304</v>
      </c>
      <c r="BT28" s="265">
        <f t="shared" si="79"/>
        <v>-25.299983299919184</v>
      </c>
      <c r="BU28" s="265">
        <f t="shared" si="79"/>
        <v>-25.57998997995151</v>
      </c>
      <c r="BV28" s="265">
        <f t="shared" si="79"/>
        <v>-26.547993987970905</v>
      </c>
      <c r="BW28" s="265">
        <f t="shared" si="79"/>
        <v>-277.92879639278254</v>
      </c>
      <c r="BX28" s="265">
        <f t="shared" si="79"/>
        <v>-28.517277835669532</v>
      </c>
      <c r="BY28" s="265">
        <f t="shared" si="79"/>
        <v>-29.960366701401718</v>
      </c>
      <c r="BZ28" s="265">
        <f t="shared" si="79"/>
        <v>-76.756220020841027</v>
      </c>
      <c r="CA28" s="293">
        <f t="shared" si="79"/>
        <v>-30.063732012504616</v>
      </c>
      <c r="CB28" s="265">
        <f t="shared" si="79"/>
        <v>-30.438239207502768</v>
      </c>
      <c r="CC28" s="265">
        <f t="shared" si="79"/>
        <v>-31.512943524501654</v>
      </c>
      <c r="CD28" s="265">
        <f t="shared" si="79"/>
        <v>-79.887766114700995</v>
      </c>
      <c r="CE28" s="265">
        <f t="shared" si="79"/>
        <v>-31.662659668820595</v>
      </c>
      <c r="CF28" s="265">
        <f t="shared" si="79"/>
        <v>-31.79759580129236</v>
      </c>
      <c r="CG28" s="265">
        <f t="shared" si="79"/>
        <v>-32.278557480775412</v>
      </c>
      <c r="CH28" s="265">
        <f t="shared" si="79"/>
        <v>-33.367134488465254</v>
      </c>
      <c r="CI28" s="265">
        <f t="shared" si="79"/>
        <v>-351.0702806930791</v>
      </c>
      <c r="CJ28" s="265">
        <f t="shared" si="79"/>
        <v>-36.092168415847496</v>
      </c>
      <c r="CK28" s="265">
        <f t="shared" ref="CK28:CY28" si="80">+SUM(CK23:CK27)</f>
        <v>-37.855301049508498</v>
      </c>
      <c r="CL28" s="265">
        <f t="shared" si="80"/>
        <v>-96.903180629705091</v>
      </c>
      <c r="CM28" s="293">
        <f t="shared" si="80"/>
        <v>-37.971908377823063</v>
      </c>
      <c r="CN28" s="265">
        <f t="shared" si="80"/>
        <v>-38.78314502669383</v>
      </c>
      <c r="CO28" s="265">
        <f t="shared" si="80"/>
        <v>-40.419887016016304</v>
      </c>
      <c r="CP28" s="265">
        <f t="shared" si="80"/>
        <v>-101.00193220960979</v>
      </c>
      <c r="CQ28" s="265">
        <f t="shared" si="80"/>
        <v>-39.881159325765864</v>
      </c>
      <c r="CR28" s="265">
        <f t="shared" si="80"/>
        <v>-40.328695595459521</v>
      </c>
      <c r="CS28" s="265">
        <f t="shared" si="80"/>
        <v>-40.997217357275709</v>
      </c>
      <c r="CT28" s="265">
        <f t="shared" si="80"/>
        <v>-42.598330414365421</v>
      </c>
      <c r="CU28" s="265">
        <f t="shared" si="80"/>
        <v>-444.30899824861928</v>
      </c>
      <c r="CV28" s="265">
        <f t="shared" si="80"/>
        <v>-45.815398949171552</v>
      </c>
      <c r="CW28" s="265">
        <f t="shared" si="80"/>
        <v>-48.239239369502933</v>
      </c>
      <c r="CX28" s="265">
        <f t="shared" si="80"/>
        <v>-122.64354362170178</v>
      </c>
      <c r="CY28" s="266">
        <f t="shared" si="80"/>
        <v>-48.456126173021055</v>
      </c>
    </row>
    <row r="29" spans="1:103" x14ac:dyDescent="0.3">
      <c r="A29" s="35"/>
      <c r="B29" s="35"/>
      <c r="C29" s="629" t="s">
        <v>288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>
        <f>+SUM(T26:T27)</f>
        <v>0</v>
      </c>
      <c r="U29" s="51">
        <f t="shared" ref="U29:AA29" si="81">+SUM(U26:U27)</f>
        <v>0</v>
      </c>
      <c r="V29" s="51">
        <f t="shared" si="81"/>
        <v>0</v>
      </c>
      <c r="W29" s="51">
        <f t="shared" si="81"/>
        <v>0</v>
      </c>
      <c r="X29" s="51">
        <f t="shared" si="81"/>
        <v>0</v>
      </c>
      <c r="Y29" s="51">
        <f t="shared" si="81"/>
        <v>-2</v>
      </c>
      <c r="Z29" s="51">
        <f t="shared" si="81"/>
        <v>-1</v>
      </c>
      <c r="AA29" s="51">
        <f t="shared" si="81"/>
        <v>-4</v>
      </c>
      <c r="AB29" s="51">
        <f t="shared" ref="AB29:AC29" si="82">+SUM(AB26:AB27)</f>
        <v>0</v>
      </c>
      <c r="AC29" s="565">
        <f t="shared" si="82"/>
        <v>-4</v>
      </c>
      <c r="AD29" s="447">
        <f>+SUM(AD26:AD27)</f>
        <v>-3.1428571428571432</v>
      </c>
      <c r="AE29" s="449">
        <f t="shared" ref="AE29:CJ29" si="83">+SUM(AE26:AE27)</f>
        <v>-4.7428571428571429</v>
      </c>
      <c r="AF29" s="447">
        <f t="shared" si="83"/>
        <v>-7.6457142857142859</v>
      </c>
      <c r="AG29" s="447">
        <f t="shared" si="83"/>
        <v>-9.3874285714285719</v>
      </c>
      <c r="AH29" s="447">
        <f t="shared" si="83"/>
        <v>-10.432457142857144</v>
      </c>
      <c r="AI29" s="447">
        <f t="shared" si="83"/>
        <v>-11.059474285714286</v>
      </c>
      <c r="AJ29" s="447">
        <f t="shared" si="83"/>
        <v>-11.43568457142857</v>
      </c>
      <c r="AK29" s="447">
        <f t="shared" si="83"/>
        <v>-12.061410742857142</v>
      </c>
      <c r="AL29" s="447">
        <f t="shared" si="83"/>
        <v>-12.436846445714286</v>
      </c>
      <c r="AM29" s="447">
        <f t="shared" si="83"/>
        <v>-13.062107867428573</v>
      </c>
      <c r="AN29" s="447">
        <f t="shared" si="83"/>
        <v>-13.837264720457142</v>
      </c>
      <c r="AO29" s="447">
        <f t="shared" si="83"/>
        <v>-14.302358832274287</v>
      </c>
      <c r="AP29" s="447">
        <f t="shared" si="83"/>
        <v>-14.581415299364572</v>
      </c>
      <c r="AQ29" s="448">
        <f t="shared" si="83"/>
        <v>-14.748849179618743</v>
      </c>
      <c r="AR29" s="447">
        <f>+SUM(AR26:AR27)</f>
        <v>-14.849309507771245</v>
      </c>
      <c r="AS29" s="447">
        <f t="shared" si="83"/>
        <v>-15.309585704662746</v>
      </c>
      <c r="AT29" s="447">
        <f>+SUM(AT26:AT27)</f>
        <v>-15.185751422797649</v>
      </c>
      <c r="AU29" s="447">
        <f t="shared" si="83"/>
        <v>-15.111450853678589</v>
      </c>
      <c r="AV29" s="447">
        <f t="shared" si="83"/>
        <v>-15.466870512207151</v>
      </c>
      <c r="AW29" s="447">
        <f t="shared" si="83"/>
        <v>-15.680122307324291</v>
      </c>
      <c r="AX29" s="447">
        <f t="shared" si="83"/>
        <v>-16.208073384394577</v>
      </c>
      <c r="AY29" s="447">
        <f t="shared" si="83"/>
        <v>-16.924844030636745</v>
      </c>
      <c r="AZ29" s="447">
        <f t="shared" si="83"/>
        <v>-17.754906418382046</v>
      </c>
      <c r="BA29" s="447">
        <f t="shared" si="83"/>
        <v>-18.252943851029226</v>
      </c>
      <c r="BB29" s="447">
        <f t="shared" si="83"/>
        <v>-18.551766310617534</v>
      </c>
      <c r="BC29" s="448">
        <f t="shared" si="83"/>
        <v>-18.731059786370519</v>
      </c>
      <c r="BD29" s="447">
        <f t="shared" si="83"/>
        <v>-18.838635871822312</v>
      </c>
      <c r="BE29" s="447">
        <f t="shared" si="83"/>
        <v>-19.303181523093386</v>
      </c>
      <c r="BF29" s="447">
        <f t="shared" si="83"/>
        <v>-19.581908913856033</v>
      </c>
      <c r="BG29" s="447">
        <f t="shared" si="83"/>
        <v>-19.749145348313618</v>
      </c>
      <c r="BH29" s="447">
        <f t="shared" si="83"/>
        <v>-19.849487208988172</v>
      </c>
      <c r="BI29" s="447">
        <f t="shared" si="83"/>
        <v>-20.309692325392902</v>
      </c>
      <c r="BJ29" s="447">
        <f t="shared" si="83"/>
        <v>-20.985815395235743</v>
      </c>
      <c r="BK29" s="447">
        <f t="shared" si="83"/>
        <v>-21.791489237141448</v>
      </c>
      <c r="BL29" s="447">
        <f t="shared" si="83"/>
        <v>-22.674893542284867</v>
      </c>
      <c r="BM29" s="447">
        <f t="shared" si="83"/>
        <v>-23.204936125370921</v>
      </c>
      <c r="BN29" s="447">
        <f t="shared" si="83"/>
        <v>-23.522961675222554</v>
      </c>
      <c r="BO29" s="448">
        <f t="shared" si="83"/>
        <v>-23.713777005133533</v>
      </c>
      <c r="BP29" s="447">
        <f t="shared" si="83"/>
        <v>-24.228266203080121</v>
      </c>
      <c r="BQ29" s="447">
        <f t="shared" si="83"/>
        <v>-24.536959721848071</v>
      </c>
      <c r="BR29" s="447">
        <f t="shared" si="83"/>
        <v>-24.722175833108842</v>
      </c>
      <c r="BS29" s="447">
        <f t="shared" si="83"/>
        <v>-24.833305499865304</v>
      </c>
      <c r="BT29" s="447">
        <f t="shared" si="83"/>
        <v>-25.299983299919184</v>
      </c>
      <c r="BU29" s="447">
        <f t="shared" si="83"/>
        <v>-25.57998997995151</v>
      </c>
      <c r="BV29" s="447">
        <f t="shared" si="83"/>
        <v>-26.547993987970905</v>
      </c>
      <c r="BW29" s="447">
        <f t="shared" si="83"/>
        <v>-27.528796392782546</v>
      </c>
      <c r="BX29" s="447">
        <f t="shared" si="83"/>
        <v>-28.517277835669532</v>
      </c>
      <c r="BY29" s="447">
        <f t="shared" si="83"/>
        <v>-29.510366701401718</v>
      </c>
      <c r="BZ29" s="447">
        <f t="shared" si="83"/>
        <v>-30.106220020841029</v>
      </c>
      <c r="CA29" s="448">
        <f t="shared" si="83"/>
        <v>-30.063732012504616</v>
      </c>
      <c r="CB29" s="447">
        <f t="shared" si="83"/>
        <v>-30.438239207502768</v>
      </c>
      <c r="CC29" s="447">
        <f t="shared" si="83"/>
        <v>-31.062943524501659</v>
      </c>
      <c r="CD29" s="447">
        <f t="shared" si="83"/>
        <v>-31.437766114700992</v>
      </c>
      <c r="CE29" s="447">
        <f t="shared" si="83"/>
        <v>-31.662659668820595</v>
      </c>
      <c r="CF29" s="447">
        <f t="shared" si="83"/>
        <v>-31.79759580129236</v>
      </c>
      <c r="CG29" s="447">
        <f t="shared" si="83"/>
        <v>-32.278557480775412</v>
      </c>
      <c r="CH29" s="447">
        <f t="shared" si="83"/>
        <v>-33.367134488465254</v>
      </c>
      <c r="CI29" s="447">
        <f t="shared" si="83"/>
        <v>-34.820280693079148</v>
      </c>
      <c r="CJ29" s="447">
        <f t="shared" si="83"/>
        <v>-36.092168415847496</v>
      </c>
      <c r="CK29" s="447">
        <f t="shared" ref="CK29:CY29" si="84">+SUM(CK26:CK27)</f>
        <v>-37.255301049508496</v>
      </c>
      <c r="CL29" s="447">
        <f t="shared" si="84"/>
        <v>-37.953180629705095</v>
      </c>
      <c r="CM29" s="448">
        <f t="shared" si="84"/>
        <v>-37.971908377823063</v>
      </c>
      <c r="CN29" s="447">
        <f t="shared" si="84"/>
        <v>-38.78314502669383</v>
      </c>
      <c r="CO29" s="447">
        <f t="shared" si="84"/>
        <v>-39.669887016016304</v>
      </c>
      <c r="CP29" s="447">
        <f t="shared" si="84"/>
        <v>-39.801932209609781</v>
      </c>
      <c r="CQ29" s="447">
        <f t="shared" si="84"/>
        <v>-39.881159325765864</v>
      </c>
      <c r="CR29" s="447">
        <f t="shared" si="84"/>
        <v>-40.328695595459521</v>
      </c>
      <c r="CS29" s="447">
        <f t="shared" si="84"/>
        <v>-40.997217357275709</v>
      </c>
      <c r="CT29" s="447">
        <f t="shared" si="84"/>
        <v>-42.598330414365421</v>
      </c>
      <c r="CU29" s="447">
        <f t="shared" si="84"/>
        <v>-44.358998248619258</v>
      </c>
      <c r="CV29" s="447">
        <f t="shared" si="84"/>
        <v>-45.815398949171552</v>
      </c>
      <c r="CW29" s="447">
        <f t="shared" si="84"/>
        <v>-47.489239369502933</v>
      </c>
      <c r="CX29" s="447">
        <f t="shared" si="84"/>
        <v>-48.093543621701762</v>
      </c>
      <c r="CY29" s="449">
        <f t="shared" si="84"/>
        <v>-48.456126173021055</v>
      </c>
    </row>
    <row r="30" spans="1:103" x14ac:dyDescent="0.3">
      <c r="A30" s="35"/>
      <c r="B30" s="111" t="s">
        <v>163</v>
      </c>
      <c r="C30" s="629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566"/>
      <c r="AD30" s="16"/>
      <c r="AE30" s="17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282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282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282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282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282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7"/>
    </row>
    <row r="31" spans="1:103" x14ac:dyDescent="0.3">
      <c r="A31" s="36"/>
      <c r="B31" s="112">
        <v>50</v>
      </c>
      <c r="C31" s="632" t="s">
        <v>50</v>
      </c>
      <c r="D31" s="18"/>
      <c r="E31" s="18">
        <f>NETWORKDAYS(D4+1,E4,Holidays!$B$3:$B$62)</f>
        <v>32026</v>
      </c>
      <c r="F31" s="18">
        <f>NETWORKDAYS(E4+1,F4,Holidays!$B$3:$B$62)</f>
        <v>21</v>
      </c>
      <c r="G31" s="18">
        <f>NETWORKDAYS(F4+1,G4,Holidays!$B$3:$B$62)</f>
        <v>21</v>
      </c>
      <c r="H31" s="18">
        <f>NETWORKDAYS(G4+1,H4,Holidays!$B$3:$B$62)</f>
        <v>21</v>
      </c>
      <c r="I31" s="18">
        <f>NETWORKDAYS(H4+1,I4,Holidays!$B$3:$B$62)</f>
        <v>19</v>
      </c>
      <c r="J31" s="18">
        <f>NETWORKDAYS(I4+1,J4,Holidays!$B$3:$B$62)</f>
        <v>23</v>
      </c>
      <c r="K31" s="18">
        <f>NETWORKDAYS(J4+1,K4,Holidays!$B$3:$B$62)</f>
        <v>20</v>
      </c>
      <c r="L31" s="18">
        <f>NETWORKDAYS(K4+1,L4,Holidays!$B$3:$B$62)</f>
        <v>22</v>
      </c>
      <c r="M31" s="18">
        <f>NETWORKDAYS(L4+1,M4,Holidays!$B$3:$B$62)</f>
        <v>22</v>
      </c>
      <c r="N31" s="18">
        <f>NETWORKDAYS(M4+1,N4,Holidays!$B$3:$B$62)</f>
        <v>20</v>
      </c>
      <c r="O31" s="18">
        <f>NETWORKDAYS(N4+1,O4,Holidays!$B$3:$B$62)</f>
        <v>23</v>
      </c>
      <c r="P31" s="18">
        <f>NETWORKDAYS(O4+1,P4,Holidays!$B$3:$B$62)</f>
        <v>20</v>
      </c>
      <c r="Q31" s="18">
        <f>NETWORKDAYS(P4+1,Q4,Holidays!$B$3:$B$62)</f>
        <v>22</v>
      </c>
      <c r="R31" s="18">
        <f>NETWORKDAYS(Q4+1,R4,Holidays!$B$3:$B$62)</f>
        <v>20</v>
      </c>
      <c r="S31" s="18">
        <f>NETWORKDAYS(R4+1,S4,Holidays!$B$3:$B$62)</f>
        <v>19</v>
      </c>
      <c r="T31" s="18">
        <f>NETWORKDAYS(S4+1,T4,Holidays!$B$3:$B$62)</f>
        <v>22</v>
      </c>
      <c r="U31" s="18">
        <f>NETWORKDAYS(T4+1,U4,Holidays!$B$3:$B$62)</f>
        <v>21</v>
      </c>
      <c r="V31" s="18">
        <f>NETWORKDAYS(U4+1,V4,Holidays!$B$3:$B$62)</f>
        <v>21</v>
      </c>
      <c r="W31" s="18">
        <f>NETWORKDAYS(V4+1,W4,Holidays!$B$3:$B$62)</f>
        <v>22</v>
      </c>
      <c r="X31" s="18">
        <f>NETWORKDAYS(W4+1,X4,Holidays!$B$3:$B$62)</f>
        <v>23</v>
      </c>
      <c r="Y31" s="18">
        <f>NETWORKDAYS(X4+1,Y4,Holidays!$B$3:$B$62)</f>
        <v>20</v>
      </c>
      <c r="Z31" s="18">
        <f>NETWORKDAYS(Y4+1,Z4,Holidays!$B$3:$B$62)</f>
        <v>22</v>
      </c>
      <c r="AA31" s="18">
        <f>NETWORKDAYS(Z4+1,AA4,Holidays!$B$3:$B$62)</f>
        <v>22</v>
      </c>
      <c r="AB31" s="18">
        <f>NETWORKDAYS(AA4+1,AB4,Holidays!$B$3:$B$62)</f>
        <v>21</v>
      </c>
      <c r="AC31" s="567">
        <f>NETWORKDAYS(AB4+1,AC4,Holidays!$B$3:$B$62)</f>
        <v>23</v>
      </c>
      <c r="AD31" s="19">
        <f>NETWORKDAYS(AC4+1,AD4,Holidays!$B$3:$B$62)</f>
        <v>19</v>
      </c>
      <c r="AE31" s="20">
        <f>NETWORKDAYS(AD4+1,AE4,Holidays!$B$3:$B$62)</f>
        <v>19</v>
      </c>
      <c r="AF31" s="19">
        <f>NETWORKDAYS(AE4+1,AF4,Holidays!$B$3:$B$62)</f>
        <v>23</v>
      </c>
      <c r="AG31" s="19">
        <f>NETWORKDAYS(AF4+1,AG4,Holidays!$B$3:$B$62)</f>
        <v>20</v>
      </c>
      <c r="AH31" s="19">
        <f>NETWORKDAYS(AG4+1,AH4,Holidays!$B$3:$B$62)</f>
        <v>21</v>
      </c>
      <c r="AI31" s="19">
        <f>NETWORKDAYS(AH4+1,AI4,Holidays!$B$3:$B$62)</f>
        <v>22</v>
      </c>
      <c r="AJ31" s="19">
        <f>NETWORKDAYS(AI4+1,AJ4,Holidays!$B$3:$B$62)</f>
        <v>22</v>
      </c>
      <c r="AK31" s="19">
        <f>NETWORKDAYS(AJ4+1,AK4,Holidays!$B$3:$B$62)</f>
        <v>21</v>
      </c>
      <c r="AL31" s="19">
        <f>NETWORKDAYS(AK4+1,AL4,Holidays!$B$3:$B$62)</f>
        <v>22</v>
      </c>
      <c r="AM31" s="19">
        <f>NETWORKDAYS(AL4+1,AM4,Holidays!$B$3:$B$62)</f>
        <v>21</v>
      </c>
      <c r="AN31" s="19">
        <f>NETWORKDAYS(AM4+1,AN4,Holidays!$B$3:$B$62)</f>
        <v>22</v>
      </c>
      <c r="AO31" s="19">
        <f>NETWORKDAYS(AN4+1,AO4,Holidays!$B$3:$B$62)</f>
        <v>23</v>
      </c>
      <c r="AP31" s="19">
        <f>NETWORKDAYS(AO4+1,AP4,Holidays!$B$3:$B$62)</f>
        <v>18</v>
      </c>
      <c r="AQ31" s="283">
        <f>NETWORKDAYS(AP4+1,AQ4,Holidays!$B$3:$B$62)</f>
        <v>21</v>
      </c>
      <c r="AR31" s="19">
        <f>NETWORKDAYS(AQ4+1,AR4,Holidays!$B$3:$B$62)</f>
        <v>22</v>
      </c>
      <c r="AS31" s="19">
        <f>NETWORKDAYS(AR4+1,AS4,Holidays!$B$3:$B$62)</f>
        <v>20</v>
      </c>
      <c r="AT31" s="19">
        <f>NETWORKDAYS(AS4+1,AT4,Holidays!$B$3:$B$62)</f>
        <v>22</v>
      </c>
      <c r="AU31" s="19">
        <f>NETWORKDAYS(AT4+1,AU4,Holidays!$B$3:$B$62)</f>
        <v>22</v>
      </c>
      <c r="AV31" s="19">
        <f>NETWORKDAYS(AU4+1,AV4,Holidays!$B$3:$B$62)</f>
        <v>21</v>
      </c>
      <c r="AW31" s="19">
        <f>NETWORKDAYS(AV4+1,AW4,Holidays!$B$3:$B$62)</f>
        <v>22</v>
      </c>
      <c r="AX31" s="19">
        <f>NETWORKDAYS(AW4+1,AX4,Holidays!$B$3:$B$62)</f>
        <v>23</v>
      </c>
      <c r="AY31" s="19">
        <f>NETWORKDAYS(AX4+1,AY4,Holidays!$B$3:$B$62)</f>
        <v>21</v>
      </c>
      <c r="AZ31" s="19">
        <f>NETWORKDAYS(AY4+1,AZ4,Holidays!$B$3:$B$62)</f>
        <v>22</v>
      </c>
      <c r="BA31" s="19">
        <f>NETWORKDAYS(AZ4+1,BA4,Holidays!$B$3:$B$62)</f>
        <v>22</v>
      </c>
      <c r="BB31" s="19">
        <f>NETWORKDAYS(BA4+1,BB4,Holidays!$B$3:$B$62)</f>
        <v>21</v>
      </c>
      <c r="BC31" s="283">
        <f>NETWORKDAYS(BB4+1,BC4,Holidays!$B$3:$B$62)</f>
        <v>23</v>
      </c>
      <c r="BD31" s="19">
        <f>NETWORKDAYS(BC4+1,BD4,Holidays!$B$3:$B$62)</f>
        <v>21</v>
      </c>
      <c r="BE31" s="19">
        <f>NETWORKDAYS(BD4+1,BE4,Holidays!$B$3:$B$62)</f>
        <v>20</v>
      </c>
      <c r="BF31" s="19">
        <f>NETWORKDAYS(BE4+1,BF4,Holidays!$B$3:$B$62)</f>
        <v>23</v>
      </c>
      <c r="BG31" s="19">
        <f>NETWORKDAYS(BF4+1,BG4,Holidays!$B$3:$B$62)</f>
        <v>22</v>
      </c>
      <c r="BH31" s="19">
        <f>NETWORKDAYS(BG4+1,BH4,Holidays!$B$3:$B$62)</f>
        <v>21</v>
      </c>
      <c r="BI31" s="19">
        <f>NETWORKDAYS(BH4+1,BI4,Holidays!$B$3:$B$62)</f>
        <v>22</v>
      </c>
      <c r="BJ31" s="19">
        <f>NETWORKDAYS(BI4+1,BJ4,Holidays!$B$3:$B$62)</f>
        <v>22</v>
      </c>
      <c r="BK31" s="19">
        <f>NETWORKDAYS(BJ4+1,BK4,Holidays!$B$3:$B$62)</f>
        <v>22</v>
      </c>
      <c r="BL31" s="19">
        <f>NETWORKDAYS(BK4+1,BL4,Holidays!$B$3:$B$62)</f>
        <v>22</v>
      </c>
      <c r="BM31" s="19">
        <f>NETWORKDAYS(BL4+1,BM4,Holidays!$B$3:$B$62)</f>
        <v>21</v>
      </c>
      <c r="BN31" s="19">
        <f>NETWORKDAYS(BM4+1,BN4,Holidays!$B$3:$B$62)</f>
        <v>22</v>
      </c>
      <c r="BO31" s="283">
        <f>NETWORKDAYS(BN4+1,BO4,Holidays!$B$3:$B$62)</f>
        <v>23</v>
      </c>
      <c r="BP31" s="19">
        <f>NETWORKDAYS(BO4+1,BP4,Holidays!$B$3:$B$62)</f>
        <v>21</v>
      </c>
      <c r="BQ31" s="19">
        <f>NETWORKDAYS(BP4+1,BQ4,Holidays!$B$3:$B$62)</f>
        <v>21</v>
      </c>
      <c r="BR31" s="19">
        <f>NETWORKDAYS(BQ4+1,BR4,Holidays!$B$3:$B$62)</f>
        <v>23</v>
      </c>
      <c r="BS31" s="19">
        <f>NETWORKDAYS(BR4+1,BS4,Holidays!$B$3:$B$62)</f>
        <v>20</v>
      </c>
      <c r="BT31" s="19">
        <f>NETWORKDAYS(BS4+1,BT4,Holidays!$B$3:$B$62)</f>
        <v>23</v>
      </c>
      <c r="BU31" s="19">
        <f>NETWORKDAYS(BT4+1,BU4,Holidays!$B$3:$B$62)</f>
        <v>22</v>
      </c>
      <c r="BV31" s="19">
        <f>NETWORKDAYS(BU4+1,BV4,Holidays!$B$3:$B$62)</f>
        <v>21</v>
      </c>
      <c r="BW31" s="19">
        <f>NETWORKDAYS(BV4+1,BW4,Holidays!$B$3:$B$62)</f>
        <v>23</v>
      </c>
      <c r="BX31" s="19">
        <f>NETWORKDAYS(BW4+1,BX4,Holidays!$B$3:$B$62)</f>
        <v>21</v>
      </c>
      <c r="BY31" s="19">
        <f>NETWORKDAYS(BX4+1,BY4,Holidays!$B$3:$B$62)</f>
        <v>22</v>
      </c>
      <c r="BZ31" s="19">
        <f>NETWORKDAYS(BY4+1,BZ4,Holidays!$B$3:$B$62)</f>
        <v>22</v>
      </c>
      <c r="CA31" s="283">
        <f>NETWORKDAYS(BZ4+1,CA4,Holidays!$B$3:$B$62)</f>
        <v>21</v>
      </c>
      <c r="CB31" s="19">
        <f>NETWORKDAYS(CA4+1,CB4,Holidays!$B$3:$B$62)</f>
        <v>23</v>
      </c>
      <c r="CC31" s="19">
        <f>NETWORKDAYS(CB4+1,CC4,Holidays!$B$3:$B$62)</f>
        <v>20</v>
      </c>
      <c r="CD31" s="19">
        <f>NETWORKDAYS(CC4+1,CD4,Holidays!$B$3:$B$62)</f>
        <v>22</v>
      </c>
      <c r="CE31" s="19">
        <f>NETWORKDAYS(CD4+1,CE4,Holidays!$B$3:$B$62)</f>
        <v>21</v>
      </c>
      <c r="CF31" s="19">
        <f>NETWORKDAYS(CE4+1,CF4,Holidays!$B$3:$B$62)</f>
        <v>23</v>
      </c>
      <c r="CG31" s="19">
        <f>NETWORKDAYS(CF4+1,CG4,Holidays!$B$3:$B$62)</f>
        <v>21</v>
      </c>
      <c r="CH31" s="19">
        <f>NETWORKDAYS(CG4+1,CH4,Holidays!$B$3:$B$62)</f>
        <v>22</v>
      </c>
      <c r="CI31" s="19">
        <f>NETWORKDAYS(CH4+1,CI4,Holidays!$B$3:$B$62)</f>
        <v>23</v>
      </c>
      <c r="CJ31" s="19">
        <f>NETWORKDAYS(CI4+1,CJ4,Holidays!$B$3:$B$62)</f>
        <v>20</v>
      </c>
      <c r="CK31" s="19">
        <f>NETWORKDAYS(CJ4+1,CK4,Holidays!$B$3:$B$62)</f>
        <v>23</v>
      </c>
      <c r="CL31" s="19">
        <f>NETWORKDAYS(CK4+1,CL4,Holidays!$B$3:$B$62)</f>
        <v>22</v>
      </c>
      <c r="CM31" s="283">
        <f>NETWORKDAYS(CL4+1,CM4,Holidays!$B$3:$B$62)</f>
        <v>21</v>
      </c>
      <c r="CN31" s="19">
        <f>NETWORKDAYS(CM4+1,CN4,Holidays!$B$3:$B$62)</f>
        <v>23</v>
      </c>
      <c r="CO31" s="19">
        <f>NETWORKDAYS(CN4+1,CO4,Holidays!$B$3:$B$62)</f>
        <v>20</v>
      </c>
      <c r="CP31" s="19">
        <f>NETWORKDAYS(CO4+1,CP4,Holidays!$B$3:$B$62)</f>
        <v>21</v>
      </c>
      <c r="CQ31" s="19">
        <f>NETWORKDAYS(CP4+1,CQ4,Holidays!$B$3:$B$62)</f>
        <v>22</v>
      </c>
      <c r="CR31" s="19">
        <f>NETWORKDAYS(CQ4+1,CR4,Holidays!$B$3:$B$62)</f>
        <v>23</v>
      </c>
      <c r="CS31" s="19">
        <f>NETWORKDAYS(CR4+1,CS4,Holidays!$B$3:$B$62)</f>
        <v>20</v>
      </c>
      <c r="CT31" s="19">
        <f>NETWORKDAYS(CS4+1,CT4,Holidays!$B$3:$B$62)</f>
        <v>23</v>
      </c>
      <c r="CU31" s="19">
        <f>NETWORKDAYS(CT4+1,CU4,Holidays!$B$3:$B$62)</f>
        <v>22</v>
      </c>
      <c r="CV31" s="19">
        <f>NETWORKDAYS(CU4+1,CV4,Holidays!$B$3:$B$62)</f>
        <v>21</v>
      </c>
      <c r="CW31" s="19">
        <f>NETWORKDAYS(CV4+1,CW4,Holidays!$B$3:$B$62)</f>
        <v>23</v>
      </c>
      <c r="CX31" s="19">
        <f>NETWORKDAYS(CW4+1,CX4,Holidays!$B$3:$B$62)</f>
        <v>21</v>
      </c>
      <c r="CY31" s="20">
        <f>NETWORKDAYS(CX4+1,CY4,Holidays!$B$3:$B$62)</f>
        <v>22</v>
      </c>
    </row>
    <row r="32" spans="1:103" ht="18" x14ac:dyDescent="0.3">
      <c r="A32" s="37"/>
      <c r="B32" s="37"/>
      <c r="C32" s="632" t="s">
        <v>234</v>
      </c>
      <c r="D32" s="21"/>
      <c r="E32" s="21" t="e">
        <f t="shared" ref="E32:W32" si="85">+E33/E31/E14</f>
        <v>#DIV/0!</v>
      </c>
      <c r="F32" s="21" t="e">
        <f t="shared" si="85"/>
        <v>#DIV/0!</v>
      </c>
      <c r="G32" s="21" t="e">
        <f t="shared" si="85"/>
        <v>#DIV/0!</v>
      </c>
      <c r="H32" s="21" t="e">
        <f t="shared" si="85"/>
        <v>#DIV/0!</v>
      </c>
      <c r="I32" s="21" t="e">
        <f t="shared" si="85"/>
        <v>#DIV/0!</v>
      </c>
      <c r="J32" s="21" t="e">
        <f t="shared" si="85"/>
        <v>#DIV/0!</v>
      </c>
      <c r="K32" s="21" t="e">
        <f t="shared" si="85"/>
        <v>#DIV/0!</v>
      </c>
      <c r="L32" s="21" t="e">
        <f t="shared" si="85"/>
        <v>#DIV/0!</v>
      </c>
      <c r="M32" s="21" t="e">
        <f t="shared" si="85"/>
        <v>#DIV/0!</v>
      </c>
      <c r="N32" s="21" t="e">
        <f t="shared" si="85"/>
        <v>#DIV/0!</v>
      </c>
      <c r="O32" s="21" t="e">
        <f t="shared" si="85"/>
        <v>#DIV/0!</v>
      </c>
      <c r="P32" s="21" t="e">
        <f t="shared" si="85"/>
        <v>#DIV/0!</v>
      </c>
      <c r="Q32" s="21" t="e">
        <f t="shared" si="85"/>
        <v>#DIV/0!</v>
      </c>
      <c r="R32" s="21" t="e">
        <f t="shared" si="85"/>
        <v>#DIV/0!</v>
      </c>
      <c r="S32" s="21" t="e">
        <f t="shared" si="85"/>
        <v>#DIV/0!</v>
      </c>
      <c r="T32" s="21">
        <f t="shared" si="85"/>
        <v>0.18181818181818182</v>
      </c>
      <c r="U32" s="21">
        <f t="shared" si="85"/>
        <v>9.5238095238095233E-2</v>
      </c>
      <c r="V32" s="21">
        <f>+V33/V31/V14</f>
        <v>9.5238095238095233E-2</v>
      </c>
      <c r="W32" s="21" t="e">
        <f t="shared" si="85"/>
        <v>#DIV/0!</v>
      </c>
      <c r="X32" s="21">
        <f t="shared" ref="X32" si="86">+X33/X31/X14</f>
        <v>6.5217391304347824E-2</v>
      </c>
      <c r="Y32" s="21">
        <f>+Y33/Y31/Y14</f>
        <v>4.2105263157894736E-2</v>
      </c>
      <c r="Z32" s="21">
        <f>+Z33/Z31/Z14</f>
        <v>3.1468531468531472E-2</v>
      </c>
      <c r="AA32" s="21">
        <f>+AA33/AA31/AA14</f>
        <v>9.0909090909090912E-2</v>
      </c>
      <c r="AB32" s="21">
        <f>+AB33/AB31/AB14</f>
        <v>8.3333333333333329E-2</v>
      </c>
      <c r="AC32" s="568">
        <f>+AC33/AC31/AC14</f>
        <v>5.5900621118012424E-2</v>
      </c>
      <c r="AD32" s="22">
        <v>0.05</v>
      </c>
      <c r="AE32" s="24">
        <f t="shared" ref="AE32:CG32" si="87">+AD32</f>
        <v>0.05</v>
      </c>
      <c r="AF32" s="23">
        <f t="shared" si="87"/>
        <v>0.05</v>
      </c>
      <c r="AG32" s="23">
        <f t="shared" si="87"/>
        <v>0.05</v>
      </c>
      <c r="AH32" s="23">
        <f t="shared" si="87"/>
        <v>0.05</v>
      </c>
      <c r="AI32" s="23">
        <f t="shared" si="87"/>
        <v>0.05</v>
      </c>
      <c r="AJ32" s="23">
        <f t="shared" si="87"/>
        <v>0.05</v>
      </c>
      <c r="AK32" s="23">
        <f t="shared" si="87"/>
        <v>0.05</v>
      </c>
      <c r="AL32" s="23">
        <f t="shared" si="87"/>
        <v>0.05</v>
      </c>
      <c r="AM32" s="23">
        <f t="shared" si="87"/>
        <v>0.05</v>
      </c>
      <c r="AN32" s="23">
        <f t="shared" si="87"/>
        <v>0.05</v>
      </c>
      <c r="AO32" s="23">
        <f t="shared" si="87"/>
        <v>0.05</v>
      </c>
      <c r="AP32" s="23">
        <f t="shared" si="87"/>
        <v>0.05</v>
      </c>
      <c r="AQ32" s="284">
        <f t="shared" si="87"/>
        <v>0.05</v>
      </c>
      <c r="AR32" s="23">
        <f t="shared" si="87"/>
        <v>0.05</v>
      </c>
      <c r="AS32" s="23">
        <f t="shared" si="87"/>
        <v>0.05</v>
      </c>
      <c r="AT32" s="23">
        <f t="shared" si="87"/>
        <v>0.05</v>
      </c>
      <c r="AU32" s="23">
        <f t="shared" si="87"/>
        <v>0.05</v>
      </c>
      <c r="AV32" s="23">
        <f t="shared" si="87"/>
        <v>0.05</v>
      </c>
      <c r="AW32" s="23">
        <f t="shared" si="87"/>
        <v>0.05</v>
      </c>
      <c r="AX32" s="23">
        <f t="shared" si="87"/>
        <v>0.05</v>
      </c>
      <c r="AY32" s="23">
        <f t="shared" si="87"/>
        <v>0.05</v>
      </c>
      <c r="AZ32" s="23">
        <f t="shared" si="87"/>
        <v>0.05</v>
      </c>
      <c r="BA32" s="23">
        <f t="shared" si="87"/>
        <v>0.05</v>
      </c>
      <c r="BB32" s="23">
        <f t="shared" si="87"/>
        <v>0.05</v>
      </c>
      <c r="BC32" s="284">
        <f t="shared" si="87"/>
        <v>0.05</v>
      </c>
      <c r="BD32" s="23">
        <f t="shared" si="87"/>
        <v>0.05</v>
      </c>
      <c r="BE32" s="23">
        <f t="shared" si="87"/>
        <v>0.05</v>
      </c>
      <c r="BF32" s="23">
        <f t="shared" si="87"/>
        <v>0.05</v>
      </c>
      <c r="BG32" s="23">
        <f t="shared" si="87"/>
        <v>0.05</v>
      </c>
      <c r="BH32" s="23">
        <f t="shared" si="87"/>
        <v>0.05</v>
      </c>
      <c r="BI32" s="23">
        <f t="shared" si="87"/>
        <v>0.05</v>
      </c>
      <c r="BJ32" s="23">
        <f t="shared" si="87"/>
        <v>0.05</v>
      </c>
      <c r="BK32" s="23">
        <f t="shared" si="87"/>
        <v>0.05</v>
      </c>
      <c r="BL32" s="23">
        <f t="shared" si="87"/>
        <v>0.05</v>
      </c>
      <c r="BM32" s="23">
        <f t="shared" si="87"/>
        <v>0.05</v>
      </c>
      <c r="BN32" s="23">
        <f t="shared" si="87"/>
        <v>0.05</v>
      </c>
      <c r="BO32" s="284">
        <f t="shared" si="87"/>
        <v>0.05</v>
      </c>
      <c r="BP32" s="23">
        <f t="shared" si="87"/>
        <v>0.05</v>
      </c>
      <c r="BQ32" s="23">
        <f t="shared" si="87"/>
        <v>0.05</v>
      </c>
      <c r="BR32" s="23">
        <f t="shared" si="87"/>
        <v>0.05</v>
      </c>
      <c r="BS32" s="23">
        <f t="shared" si="87"/>
        <v>0.05</v>
      </c>
      <c r="BT32" s="23">
        <f t="shared" si="87"/>
        <v>0.05</v>
      </c>
      <c r="BU32" s="23">
        <f t="shared" si="87"/>
        <v>0.05</v>
      </c>
      <c r="BV32" s="23">
        <f t="shared" si="87"/>
        <v>0.05</v>
      </c>
      <c r="BW32" s="23">
        <f t="shared" si="87"/>
        <v>0.05</v>
      </c>
      <c r="BX32" s="23">
        <f t="shared" si="87"/>
        <v>0.05</v>
      </c>
      <c r="BY32" s="23">
        <f t="shared" si="87"/>
        <v>0.05</v>
      </c>
      <c r="BZ32" s="23">
        <f t="shared" si="87"/>
        <v>0.05</v>
      </c>
      <c r="CA32" s="284">
        <f t="shared" si="87"/>
        <v>0.05</v>
      </c>
      <c r="CB32" s="23">
        <f t="shared" si="87"/>
        <v>0.05</v>
      </c>
      <c r="CC32" s="23">
        <f t="shared" si="87"/>
        <v>0.05</v>
      </c>
      <c r="CD32" s="23">
        <f t="shared" si="87"/>
        <v>0.05</v>
      </c>
      <c r="CE32" s="23">
        <f t="shared" si="87"/>
        <v>0.05</v>
      </c>
      <c r="CF32" s="23">
        <f t="shared" si="87"/>
        <v>0.05</v>
      </c>
      <c r="CG32" s="23">
        <f t="shared" si="87"/>
        <v>0.05</v>
      </c>
      <c r="CH32" s="23">
        <f t="shared" ref="CH32:CY32" si="88">+CG32</f>
        <v>0.05</v>
      </c>
      <c r="CI32" s="23">
        <f t="shared" si="88"/>
        <v>0.05</v>
      </c>
      <c r="CJ32" s="23">
        <f t="shared" si="88"/>
        <v>0.05</v>
      </c>
      <c r="CK32" s="23">
        <f t="shared" si="88"/>
        <v>0.05</v>
      </c>
      <c r="CL32" s="23">
        <f t="shared" si="88"/>
        <v>0.05</v>
      </c>
      <c r="CM32" s="284">
        <f t="shared" si="88"/>
        <v>0.05</v>
      </c>
      <c r="CN32" s="23">
        <f t="shared" si="88"/>
        <v>0.05</v>
      </c>
      <c r="CO32" s="23">
        <f t="shared" si="88"/>
        <v>0.05</v>
      </c>
      <c r="CP32" s="23">
        <f t="shared" si="88"/>
        <v>0.05</v>
      </c>
      <c r="CQ32" s="23">
        <f t="shared" si="88"/>
        <v>0.05</v>
      </c>
      <c r="CR32" s="23">
        <f t="shared" si="88"/>
        <v>0.05</v>
      </c>
      <c r="CS32" s="23">
        <f t="shared" si="88"/>
        <v>0.05</v>
      </c>
      <c r="CT32" s="23">
        <f t="shared" si="88"/>
        <v>0.05</v>
      </c>
      <c r="CU32" s="23">
        <f t="shared" si="88"/>
        <v>0.05</v>
      </c>
      <c r="CV32" s="23">
        <f t="shared" si="88"/>
        <v>0.05</v>
      </c>
      <c r="CW32" s="23">
        <f t="shared" si="88"/>
        <v>0.05</v>
      </c>
      <c r="CX32" s="23">
        <f t="shared" si="88"/>
        <v>0.05</v>
      </c>
      <c r="CY32" s="24">
        <f t="shared" si="88"/>
        <v>0.05</v>
      </c>
    </row>
    <row r="33" spans="1:103" ht="18" x14ac:dyDescent="0.3">
      <c r="A33" s="37"/>
      <c r="B33" s="37"/>
      <c r="C33" s="632" t="s">
        <v>52</v>
      </c>
      <c r="D33" s="50"/>
      <c r="E33" s="50">
        <v>57.25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  <c r="P33" s="50">
        <v>1</v>
      </c>
      <c r="Q33" s="50">
        <v>1</v>
      </c>
      <c r="R33" s="50">
        <v>1</v>
      </c>
      <c r="S33" s="50">
        <v>80</v>
      </c>
      <c r="T33" s="50">
        <v>4</v>
      </c>
      <c r="U33" s="50">
        <v>4</v>
      </c>
      <c r="V33" s="50">
        <v>4</v>
      </c>
      <c r="W33" s="50">
        <v>0</v>
      </c>
      <c r="X33" s="50">
        <f>8+2+2</f>
        <v>12</v>
      </c>
      <c r="Y33" s="50">
        <f>4+8+12+8</f>
        <v>32</v>
      </c>
      <c r="Z33" s="50">
        <f>2+8+10+1+6</f>
        <v>27</v>
      </c>
      <c r="AA33" s="50">
        <v>8</v>
      </c>
      <c r="AB33" s="50">
        <v>14</v>
      </c>
      <c r="AC33" s="569">
        <v>9</v>
      </c>
      <c r="AD33" s="25">
        <f>+IF(AD2="Peak", AD14*AD31*AD32, AD31*AD32*AD14)</f>
        <v>19.678571428571431</v>
      </c>
      <c r="AE33" s="26">
        <f t="shared" ref="AE33:CM33" si="89">+IF(AE2="Peak", AE14*AE31*AE32, AE31*AE32*AE14)</f>
        <v>42.722857142857151</v>
      </c>
      <c r="AF33" s="25">
        <f t="shared" si="89"/>
        <v>53.903785714285718</v>
      </c>
      <c r="AG33" s="25">
        <f t="shared" si="89"/>
        <v>47.443714285714293</v>
      </c>
      <c r="AH33" s="25">
        <f t="shared" si="89"/>
        <v>33.262740000000001</v>
      </c>
      <c r="AI33" s="25">
        <f t="shared" si="89"/>
        <v>53.60271085714286</v>
      </c>
      <c r="AJ33" s="25">
        <f t="shared" si="89"/>
        <v>56.66962651428571</v>
      </c>
      <c r="AK33" s="25">
        <f t="shared" si="89"/>
        <v>179.58224064000001</v>
      </c>
      <c r="AL33" s="25">
        <f t="shared" si="89"/>
        <v>198.24026554514285</v>
      </c>
      <c r="AM33" s="25">
        <f t="shared" si="89"/>
        <v>87.248917862399992</v>
      </c>
      <c r="AN33" s="25">
        <f t="shared" si="89"/>
        <v>66.185495596251428</v>
      </c>
      <c r="AO33" s="25">
        <f t="shared" si="89"/>
        <v>68.771356328557729</v>
      </c>
      <c r="AP33" s="25">
        <f t="shared" si="89"/>
        <v>33.919513935667197</v>
      </c>
      <c r="AQ33" s="285">
        <f t="shared" si="89"/>
        <v>63.813145819299841</v>
      </c>
      <c r="AR33" s="25">
        <f t="shared" si="89"/>
        <v>69.93212022927419</v>
      </c>
      <c r="AS33" s="25">
        <f t="shared" si="89"/>
        <v>61.204792852331373</v>
      </c>
      <c r="AT33" s="25">
        <f t="shared" si="89"/>
        <v>40.68161900740968</v>
      </c>
      <c r="AU33" s="25">
        <f t="shared" si="89"/>
        <v>70.406297969523223</v>
      </c>
      <c r="AV33" s="25">
        <f t="shared" si="89"/>
        <v>68.022607018908758</v>
      </c>
      <c r="AW33" s="25">
        <f t="shared" si="89"/>
        <v>239.62406726902833</v>
      </c>
      <c r="AX33" s="25">
        <f t="shared" si="89"/>
        <v>263.46964219602688</v>
      </c>
      <c r="AY33" s="25">
        <f t="shared" si="89"/>
        <v>110.51706606246999</v>
      </c>
      <c r="AZ33" s="25">
        <f t="shared" si="89"/>
        <v>83.905198530110127</v>
      </c>
      <c r="BA33" s="25">
        <f t="shared" si="89"/>
        <v>83.519119118066087</v>
      </c>
      <c r="BB33" s="25">
        <f t="shared" si="89"/>
        <v>50.10908626949351</v>
      </c>
      <c r="BC33" s="285">
        <f t="shared" si="89"/>
        <v>88.625359377163051</v>
      </c>
      <c r="BD33" s="25">
        <f t="shared" si="89"/>
        <v>84.02028383270671</v>
      </c>
      <c r="BE33" s="25">
        <f t="shared" si="89"/>
        <v>79.6515907615467</v>
      </c>
      <c r="BF33" s="25">
        <f t="shared" si="89"/>
        <v>57.715938873909842</v>
      </c>
      <c r="BG33" s="25">
        <f t="shared" si="89"/>
        <v>88.852029941572511</v>
      </c>
      <c r="BH33" s="25">
        <f t="shared" si="89"/>
        <v>87.910980784718788</v>
      </c>
      <c r="BI33" s="25">
        <f t="shared" si="89"/>
        <v>304.87033077896615</v>
      </c>
      <c r="BJ33" s="25">
        <f t="shared" si="89"/>
        <v>319.54219846737965</v>
      </c>
      <c r="BK33" s="25">
        <f t="shared" si="89"/>
        <v>146.53092214566851</v>
      </c>
      <c r="BL33" s="25">
        <f t="shared" si="89"/>
        <v>106.19119144825669</v>
      </c>
      <c r="BM33" s="25">
        <f t="shared" si="89"/>
        <v>100.69759146581974</v>
      </c>
      <c r="BN33" s="25">
        <f t="shared" si="89"/>
        <v>66.117199183464393</v>
      </c>
      <c r="BO33" s="285">
        <f t="shared" si="89"/>
        <v>114.26042177795179</v>
      </c>
      <c r="BP33" s="25">
        <f t="shared" si="89"/>
        <v>105.85483975661705</v>
      </c>
      <c r="BQ33" s="25">
        <f t="shared" si="89"/>
        <v>105.07190385397024</v>
      </c>
      <c r="BR33" s="25">
        <f t="shared" si="89"/>
        <v>71.730247423912303</v>
      </c>
      <c r="BS33" s="25">
        <f t="shared" si="89"/>
        <v>103.41665274993265</v>
      </c>
      <c r="BT33" s="25">
        <f t="shared" si="89"/>
        <v>120.57749039745354</v>
      </c>
      <c r="BU33" s="25">
        <f t="shared" si="89"/>
        <v>385.86899448897339</v>
      </c>
      <c r="BV33" s="25">
        <f t="shared" si="89"/>
        <v>385.63769684368469</v>
      </c>
      <c r="BW33" s="25">
        <f t="shared" si="89"/>
        <v>192.52886483968342</v>
      </c>
      <c r="BX33" s="25">
        <f t="shared" si="89"/>
        <v>129.5265708637265</v>
      </c>
      <c r="BY33" s="25">
        <f t="shared" si="89"/>
        <v>135.25070168577093</v>
      </c>
      <c r="BZ33" s="25">
        <f t="shared" si="89"/>
        <v>83.702017639920683</v>
      </c>
      <c r="CA33" s="285">
        <f t="shared" si="89"/>
        <v>130.81095930656494</v>
      </c>
      <c r="CB33" s="25">
        <f t="shared" si="89"/>
        <v>147.3369875443141</v>
      </c>
      <c r="CC33" s="25">
        <f t="shared" si="89"/>
        <v>127.53147176225083</v>
      </c>
      <c r="CD33" s="25">
        <f t="shared" si="89"/>
        <v>88.226533486133718</v>
      </c>
      <c r="CE33" s="25">
        <f t="shared" si="89"/>
        <v>135.64039632613083</v>
      </c>
      <c r="CF33" s="25">
        <f t="shared" si="89"/>
        <v>152.66111758574311</v>
      </c>
      <c r="CG33" s="25">
        <f t="shared" si="89"/>
        <v>464.24624267740711</v>
      </c>
      <c r="CH33" s="25">
        <f t="shared" si="89"/>
        <v>511.15192396865586</v>
      </c>
      <c r="CI33" s="25">
        <f t="shared" si="89"/>
        <v>244.42445673678554</v>
      </c>
      <c r="CJ33" s="25">
        <f t="shared" si="89"/>
        <v>155.59608420792375</v>
      </c>
      <c r="CK33" s="25">
        <f t="shared" si="89"/>
        <v>178.22429810346739</v>
      </c>
      <c r="CL33" s="25">
        <f t="shared" si="89"/>
        <v>105.73341819187847</v>
      </c>
      <c r="CM33" s="285">
        <f t="shared" si="89"/>
        <v>167.09275189835711</v>
      </c>
      <c r="CN33" s="25">
        <f t="shared" ref="CN33:CY33" si="90">+IF(CN2="Peak", CN14*CN31*CN32, CN31*CN32*CN14)</f>
        <v>187.84280839034901</v>
      </c>
      <c r="CO33" s="25">
        <f t="shared" si="90"/>
        <v>160.28494350800815</v>
      </c>
      <c r="CP33" s="25">
        <f t="shared" si="90"/>
        <v>104.455133043228</v>
      </c>
      <c r="CQ33" s="25">
        <f t="shared" si="90"/>
        <v>180.77463762917125</v>
      </c>
      <c r="CR33" s="25">
        <f t="shared" si="90"/>
        <v>193.79149996738923</v>
      </c>
      <c r="CS33" s="25">
        <f t="shared" si="90"/>
        <v>560.49860867863788</v>
      </c>
      <c r="CT33" s="25">
        <f t="shared" si="90"/>
        <v>676.54403998826012</v>
      </c>
      <c r="CU33" s="25">
        <f t="shared" si="90"/>
        <v>295.54928558093854</v>
      </c>
      <c r="CV33" s="25">
        <f t="shared" si="90"/>
        <v>208.11808444831507</v>
      </c>
      <c r="CW33" s="25">
        <f t="shared" si="90"/>
        <v>224.87631263746422</v>
      </c>
      <c r="CX33" s="25">
        <f t="shared" si="90"/>
        <v>128.94790906341532</v>
      </c>
      <c r="CY33" s="26">
        <f t="shared" si="90"/>
        <v>220.30586939516158</v>
      </c>
    </row>
    <row r="34" spans="1:103" ht="18" x14ac:dyDescent="0.3">
      <c r="A34" s="37"/>
      <c r="B34" s="37"/>
      <c r="C34" s="632" t="s">
        <v>361</v>
      </c>
      <c r="D34" s="15"/>
      <c r="E34" s="15">
        <v>14.75</v>
      </c>
      <c r="F34" s="15">
        <v>13.5</v>
      </c>
      <c r="G34" s="15">
        <v>14</v>
      </c>
      <c r="H34" s="15">
        <v>14</v>
      </c>
      <c r="I34" s="15">
        <v>14</v>
      </c>
      <c r="J34" s="15">
        <v>5.5</v>
      </c>
      <c r="K34" s="15">
        <v>4.5</v>
      </c>
      <c r="L34" s="15">
        <v>5</v>
      </c>
      <c r="M34" s="15">
        <v>25.75</v>
      </c>
      <c r="N34" s="15">
        <v>11.75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566">
        <v>0</v>
      </c>
      <c r="AD34" s="22">
        <v>0</v>
      </c>
      <c r="AE34" s="26">
        <f t="shared" ref="AE34:BU34" si="91">AD34</f>
        <v>0</v>
      </c>
      <c r="AF34" s="25">
        <f t="shared" si="91"/>
        <v>0</v>
      </c>
      <c r="AG34" s="25">
        <f t="shared" si="91"/>
        <v>0</v>
      </c>
      <c r="AH34" s="25">
        <f t="shared" si="91"/>
        <v>0</v>
      </c>
      <c r="AI34" s="25">
        <f t="shared" si="91"/>
        <v>0</v>
      </c>
      <c r="AJ34" s="25">
        <f t="shared" si="91"/>
        <v>0</v>
      </c>
      <c r="AK34" s="25">
        <f t="shared" si="91"/>
        <v>0</v>
      </c>
      <c r="AL34" s="25">
        <f t="shared" si="91"/>
        <v>0</v>
      </c>
      <c r="AM34" s="25">
        <f t="shared" si="91"/>
        <v>0</v>
      </c>
      <c r="AN34" s="25">
        <f t="shared" si="91"/>
        <v>0</v>
      </c>
      <c r="AO34" s="25">
        <f t="shared" si="91"/>
        <v>0</v>
      </c>
      <c r="AP34" s="25">
        <f t="shared" si="91"/>
        <v>0</v>
      </c>
      <c r="AQ34" s="285">
        <f t="shared" si="91"/>
        <v>0</v>
      </c>
      <c r="AR34" s="25">
        <f t="shared" si="91"/>
        <v>0</v>
      </c>
      <c r="AS34" s="25">
        <f t="shared" si="91"/>
        <v>0</v>
      </c>
      <c r="AT34" s="25">
        <f t="shared" si="91"/>
        <v>0</v>
      </c>
      <c r="AU34" s="25">
        <f t="shared" si="91"/>
        <v>0</v>
      </c>
      <c r="AV34" s="25">
        <f t="shared" si="91"/>
        <v>0</v>
      </c>
      <c r="AW34" s="25">
        <f t="shared" si="91"/>
        <v>0</v>
      </c>
      <c r="AX34" s="25">
        <f t="shared" si="91"/>
        <v>0</v>
      </c>
      <c r="AY34" s="25">
        <f t="shared" si="91"/>
        <v>0</v>
      </c>
      <c r="AZ34" s="25">
        <f t="shared" si="91"/>
        <v>0</v>
      </c>
      <c r="BA34" s="25">
        <f t="shared" si="91"/>
        <v>0</v>
      </c>
      <c r="BB34" s="25">
        <f t="shared" si="91"/>
        <v>0</v>
      </c>
      <c r="BC34" s="285">
        <f t="shared" si="91"/>
        <v>0</v>
      </c>
      <c r="BD34" s="25">
        <f t="shared" si="91"/>
        <v>0</v>
      </c>
      <c r="BE34" s="25">
        <f t="shared" si="91"/>
        <v>0</v>
      </c>
      <c r="BF34" s="25">
        <f t="shared" si="91"/>
        <v>0</v>
      </c>
      <c r="BG34" s="25">
        <f t="shared" si="91"/>
        <v>0</v>
      </c>
      <c r="BH34" s="25">
        <f t="shared" si="91"/>
        <v>0</v>
      </c>
      <c r="BI34" s="25">
        <f t="shared" si="91"/>
        <v>0</v>
      </c>
      <c r="BJ34" s="25">
        <f t="shared" si="91"/>
        <v>0</v>
      </c>
      <c r="BK34" s="25">
        <f t="shared" si="91"/>
        <v>0</v>
      </c>
      <c r="BL34" s="25">
        <f t="shared" si="91"/>
        <v>0</v>
      </c>
      <c r="BM34" s="25">
        <f t="shared" si="91"/>
        <v>0</v>
      </c>
      <c r="BN34" s="25">
        <f t="shared" si="91"/>
        <v>0</v>
      </c>
      <c r="BO34" s="285">
        <f t="shared" si="91"/>
        <v>0</v>
      </c>
      <c r="BP34" s="25">
        <f t="shared" si="91"/>
        <v>0</v>
      </c>
      <c r="BQ34" s="25">
        <f t="shared" si="91"/>
        <v>0</v>
      </c>
      <c r="BR34" s="25">
        <f t="shared" si="91"/>
        <v>0</v>
      </c>
      <c r="BS34" s="25">
        <f t="shared" si="91"/>
        <v>0</v>
      </c>
      <c r="BT34" s="25">
        <f t="shared" si="91"/>
        <v>0</v>
      </c>
      <c r="BU34" s="25">
        <f t="shared" si="91"/>
        <v>0</v>
      </c>
      <c r="BV34" s="25">
        <f t="shared" ref="BV34:CY34" si="92">BU34</f>
        <v>0</v>
      </c>
      <c r="BW34" s="25">
        <f t="shared" si="92"/>
        <v>0</v>
      </c>
      <c r="BX34" s="25">
        <f t="shared" si="92"/>
        <v>0</v>
      </c>
      <c r="BY34" s="25">
        <f t="shared" si="92"/>
        <v>0</v>
      </c>
      <c r="BZ34" s="25">
        <f t="shared" si="92"/>
        <v>0</v>
      </c>
      <c r="CA34" s="285">
        <f t="shared" si="92"/>
        <v>0</v>
      </c>
      <c r="CB34" s="25">
        <f t="shared" si="92"/>
        <v>0</v>
      </c>
      <c r="CC34" s="25">
        <f t="shared" si="92"/>
        <v>0</v>
      </c>
      <c r="CD34" s="25">
        <f t="shared" si="92"/>
        <v>0</v>
      </c>
      <c r="CE34" s="25">
        <f t="shared" si="92"/>
        <v>0</v>
      </c>
      <c r="CF34" s="25">
        <f t="shared" si="92"/>
        <v>0</v>
      </c>
      <c r="CG34" s="25">
        <f t="shared" si="92"/>
        <v>0</v>
      </c>
      <c r="CH34" s="25">
        <f t="shared" si="92"/>
        <v>0</v>
      </c>
      <c r="CI34" s="25">
        <f t="shared" si="92"/>
        <v>0</v>
      </c>
      <c r="CJ34" s="25">
        <f t="shared" si="92"/>
        <v>0</v>
      </c>
      <c r="CK34" s="25">
        <f t="shared" si="92"/>
        <v>0</v>
      </c>
      <c r="CL34" s="25">
        <f t="shared" si="92"/>
        <v>0</v>
      </c>
      <c r="CM34" s="285">
        <f t="shared" si="92"/>
        <v>0</v>
      </c>
      <c r="CN34" s="25">
        <f t="shared" si="92"/>
        <v>0</v>
      </c>
      <c r="CO34" s="25">
        <f t="shared" si="92"/>
        <v>0</v>
      </c>
      <c r="CP34" s="25">
        <f t="shared" si="92"/>
        <v>0</v>
      </c>
      <c r="CQ34" s="25">
        <f t="shared" si="92"/>
        <v>0</v>
      </c>
      <c r="CR34" s="25">
        <f t="shared" si="92"/>
        <v>0</v>
      </c>
      <c r="CS34" s="25">
        <f t="shared" si="92"/>
        <v>0</v>
      </c>
      <c r="CT34" s="25">
        <f t="shared" si="92"/>
        <v>0</v>
      </c>
      <c r="CU34" s="25">
        <f t="shared" si="92"/>
        <v>0</v>
      </c>
      <c r="CV34" s="25">
        <f t="shared" si="92"/>
        <v>0</v>
      </c>
      <c r="CW34" s="25">
        <f t="shared" si="92"/>
        <v>0</v>
      </c>
      <c r="CX34" s="25">
        <f>CW34</f>
        <v>0</v>
      </c>
      <c r="CY34" s="26">
        <f t="shared" si="92"/>
        <v>0</v>
      </c>
    </row>
    <row r="35" spans="1:103" s="3" customFormat="1" ht="18" x14ac:dyDescent="0.3">
      <c r="A35" s="37"/>
      <c r="B35" s="37"/>
      <c r="C35" s="632" t="s">
        <v>53</v>
      </c>
      <c r="D35" s="27"/>
      <c r="E35" s="27">
        <f t="shared" ref="E35:AC35" si="93">+E12/(E33+E34)</f>
        <v>0</v>
      </c>
      <c r="F35" s="27">
        <f t="shared" si="93"/>
        <v>0</v>
      </c>
      <c r="G35" s="27">
        <f t="shared" si="93"/>
        <v>0</v>
      </c>
      <c r="H35" s="27">
        <f t="shared" si="93"/>
        <v>0</v>
      </c>
      <c r="I35" s="27">
        <f t="shared" si="93"/>
        <v>0</v>
      </c>
      <c r="J35" s="27">
        <f t="shared" si="93"/>
        <v>0</v>
      </c>
      <c r="K35" s="27">
        <f t="shared" si="93"/>
        <v>0</v>
      </c>
      <c r="L35" s="27">
        <f t="shared" si="93"/>
        <v>0</v>
      </c>
      <c r="M35" s="27">
        <f t="shared" si="93"/>
        <v>0</v>
      </c>
      <c r="N35" s="27">
        <f t="shared" si="93"/>
        <v>0</v>
      </c>
      <c r="O35" s="27">
        <f t="shared" si="93"/>
        <v>0</v>
      </c>
      <c r="P35" s="27">
        <f t="shared" si="93"/>
        <v>0</v>
      </c>
      <c r="Q35" s="27">
        <f t="shared" si="93"/>
        <v>0</v>
      </c>
      <c r="R35" s="27">
        <f t="shared" si="93"/>
        <v>0</v>
      </c>
      <c r="S35" s="27">
        <f t="shared" si="93"/>
        <v>0</v>
      </c>
      <c r="T35" s="27">
        <f t="shared" si="93"/>
        <v>0</v>
      </c>
      <c r="U35" s="27">
        <f t="shared" si="93"/>
        <v>92.5</v>
      </c>
      <c r="V35" s="27">
        <f t="shared" si="93"/>
        <v>127.5</v>
      </c>
      <c r="W35" s="27" t="e">
        <f t="shared" si="93"/>
        <v>#DIV/0!</v>
      </c>
      <c r="X35" s="27">
        <f t="shared" si="93"/>
        <v>137.5</v>
      </c>
      <c r="Y35" s="27">
        <f t="shared" si="93"/>
        <v>123.28125</v>
      </c>
      <c r="Z35" s="27">
        <f t="shared" si="93"/>
        <v>175.66444444444446</v>
      </c>
      <c r="AA35" s="27">
        <f t="shared" si="93"/>
        <v>90</v>
      </c>
      <c r="AB35" s="27">
        <f t="shared" si="93"/>
        <v>121.78571428571429</v>
      </c>
      <c r="AC35" s="570">
        <f t="shared" si="93"/>
        <v>90</v>
      </c>
      <c r="AD35" s="22">
        <f t="shared" ref="AD35:BI35" si="94">+AD12/AD33</f>
        <v>119.92740471869327</v>
      </c>
      <c r="AE35" s="29">
        <f t="shared" si="94"/>
        <v>121.24657259412824</v>
      </c>
      <c r="AF35" s="28">
        <f t="shared" si="94"/>
        <v>110.9291290169124</v>
      </c>
      <c r="AG35" s="28">
        <f t="shared" si="94"/>
        <v>135.40676771874038</v>
      </c>
      <c r="AH35" s="28">
        <f t="shared" si="94"/>
        <v>154.0318085641772</v>
      </c>
      <c r="AI35" s="28">
        <f t="shared" si="94"/>
        <v>128.50305310784705</v>
      </c>
      <c r="AJ35" s="28">
        <f t="shared" si="94"/>
        <v>127.26159750112305</v>
      </c>
      <c r="AK35" s="28">
        <f t="shared" si="94"/>
        <v>132.50820479349599</v>
      </c>
      <c r="AL35" s="28">
        <f t="shared" si="94"/>
        <v>126.0070557477723</v>
      </c>
      <c r="AM35" s="28">
        <f t="shared" si="94"/>
        <v>94.142179827994696</v>
      </c>
      <c r="AN35" s="28">
        <f t="shared" si="94"/>
        <v>128.12145490076637</v>
      </c>
      <c r="AO35" s="28">
        <f t="shared" si="94"/>
        <v>124.7157196158192</v>
      </c>
      <c r="AP35" s="28">
        <f t="shared" si="94"/>
        <v>198.63555618344003</v>
      </c>
      <c r="AQ35" s="286">
        <f t="shared" si="94"/>
        <v>136.83031603511884</v>
      </c>
      <c r="AR35" s="28">
        <f t="shared" si="94"/>
        <v>128.6310741944927</v>
      </c>
      <c r="AS35" s="28">
        <f t="shared" si="94"/>
        <v>145.67921615201311</v>
      </c>
      <c r="AT35" s="28">
        <f t="shared" si="94"/>
        <v>169.51782934765473</v>
      </c>
      <c r="AU35" s="28">
        <f t="shared" si="94"/>
        <v>129.09719884753909</v>
      </c>
      <c r="AV35" s="28">
        <f t="shared" si="94"/>
        <v>135.72772220988139</v>
      </c>
      <c r="AW35" s="28">
        <f t="shared" si="94"/>
        <v>126.26457955787838</v>
      </c>
      <c r="AX35" s="28">
        <f t="shared" si="94"/>
        <v>120.4678421348773</v>
      </c>
      <c r="AY35" s="28">
        <f t="shared" si="94"/>
        <v>94.35440090445239</v>
      </c>
      <c r="AZ35" s="28">
        <f t="shared" si="94"/>
        <v>127.77114079502573</v>
      </c>
      <c r="BA35" s="28">
        <f t="shared" si="94"/>
        <v>129.62777715112784</v>
      </c>
      <c r="BB35" s="28">
        <f t="shared" si="94"/>
        <v>169.22756505539482</v>
      </c>
      <c r="BC35" s="286">
        <f t="shared" si="94"/>
        <v>124.13944802301393</v>
      </c>
      <c r="BD35" s="28">
        <f t="shared" si="94"/>
        <v>134.25498465124582</v>
      </c>
      <c r="BE35" s="28">
        <f t="shared" si="94"/>
        <v>142.83563003621163</v>
      </c>
      <c r="BF35" s="28">
        <f t="shared" si="94"/>
        <v>154.64101016161098</v>
      </c>
      <c r="BG35" s="28">
        <f t="shared" si="94"/>
        <v>129.92557020389461</v>
      </c>
      <c r="BH35" s="28">
        <f t="shared" si="94"/>
        <v>134.45977154214737</v>
      </c>
      <c r="BI35" s="28">
        <f t="shared" si="94"/>
        <v>126.13983832784574</v>
      </c>
      <c r="BJ35" s="28">
        <f t="shared" ref="BJ35:CO35" si="95">+BJ12/BJ33</f>
        <v>125.92633065130877</v>
      </c>
      <c r="BK35" s="28">
        <f t="shared" si="95"/>
        <v>90.204618460052103</v>
      </c>
      <c r="BL35" s="28">
        <f t="shared" si="95"/>
        <v>127.47911922097575</v>
      </c>
      <c r="BM35" s="28">
        <f t="shared" si="95"/>
        <v>135.44311769899031</v>
      </c>
      <c r="BN35" s="28">
        <f t="shared" si="95"/>
        <v>161.22548401009519</v>
      </c>
      <c r="BO35" s="286">
        <f t="shared" si="95"/>
        <v>122.61346707675951</v>
      </c>
      <c r="BP35" s="28">
        <f t="shared" si="95"/>
        <v>134.57032206614878</v>
      </c>
      <c r="BQ35" s="28">
        <f t="shared" si="95"/>
        <v>135.9873705804676</v>
      </c>
      <c r="BR35" s="28">
        <f t="shared" si="95"/>
        <v>155.43751146290063</v>
      </c>
      <c r="BS35" s="28">
        <f t="shared" si="95"/>
        <v>141.21268002192372</v>
      </c>
      <c r="BT35" s="28">
        <f t="shared" si="95"/>
        <v>122.96031014874973</v>
      </c>
      <c r="BU35" s="28">
        <f t="shared" si="95"/>
        <v>125.84516523295036</v>
      </c>
      <c r="BV35" s="28">
        <f t="shared" si="95"/>
        <v>131.75280538623622</v>
      </c>
      <c r="BW35" s="28">
        <f t="shared" si="95"/>
        <v>86.01987586067068</v>
      </c>
      <c r="BX35" s="28">
        <f t="shared" si="95"/>
        <v>132.1797166225904</v>
      </c>
      <c r="BY35" s="28">
        <f t="shared" si="95"/>
        <v>128.23572109380498</v>
      </c>
      <c r="BZ35" s="28">
        <f t="shared" si="95"/>
        <v>160.54431104969834</v>
      </c>
      <c r="CA35" s="286">
        <f t="shared" si="95"/>
        <v>134.27185112311128</v>
      </c>
      <c r="CB35" s="28">
        <f t="shared" si="95"/>
        <v>121.82981402799953</v>
      </c>
      <c r="CC35" s="28">
        <f t="shared" si="95"/>
        <v>141.74166129659855</v>
      </c>
      <c r="CD35" s="28">
        <f t="shared" si="95"/>
        <v>160.23993062507594</v>
      </c>
      <c r="CE35" s="28">
        <f t="shared" si="95"/>
        <v>134.98152953670058</v>
      </c>
      <c r="CF35" s="28">
        <f t="shared" si="95"/>
        <v>122.1291262155703</v>
      </c>
      <c r="CG35" s="28">
        <f t="shared" si="95"/>
        <v>131.74715423858419</v>
      </c>
      <c r="CH35" s="28">
        <f t="shared" si="95"/>
        <v>125.47907930237029</v>
      </c>
      <c r="CI35" s="28">
        <f t="shared" si="95"/>
        <v>85.457175443072927</v>
      </c>
      <c r="CJ35" s="28">
        <f t="shared" si="95"/>
        <v>138.47838343005481</v>
      </c>
      <c r="CK35" s="28">
        <f t="shared" si="95"/>
        <v>122.32909181013521</v>
      </c>
      <c r="CL35" s="28">
        <f t="shared" si="95"/>
        <v>159.81427825054004</v>
      </c>
      <c r="CM35" s="286">
        <f t="shared" si="95"/>
        <v>133.25010029592707</v>
      </c>
      <c r="CN35" s="28">
        <f t="shared" si="95"/>
        <v>121.39445616741908</v>
      </c>
      <c r="CO35" s="28">
        <f t="shared" si="95"/>
        <v>142.23635010711547</v>
      </c>
      <c r="CP35" s="28">
        <f t="shared" ref="CP35:CY35" si="96">+CP12/CP33</f>
        <v>169.76673800878584</v>
      </c>
      <c r="CQ35" s="28">
        <f t="shared" si="96"/>
        <v>127.94275030139117</v>
      </c>
      <c r="CR35" s="28">
        <f t="shared" si="96"/>
        <v>121.69668224755337</v>
      </c>
      <c r="CS35" s="28">
        <f t="shared" si="96"/>
        <v>138.13017259544114</v>
      </c>
      <c r="CT35" s="28">
        <f t="shared" si="96"/>
        <v>119.9952359866767</v>
      </c>
      <c r="CU35" s="28">
        <f t="shared" si="96"/>
        <v>89.381833518349396</v>
      </c>
      <c r="CV35" s="28">
        <f t="shared" si="96"/>
        <v>131.35111394390333</v>
      </c>
      <c r="CW35" s="28">
        <f t="shared" si="96"/>
        <v>122.46032057138345</v>
      </c>
      <c r="CX35" s="28">
        <f t="shared" si="96"/>
        <v>166.61421931340362</v>
      </c>
      <c r="CY35" s="29">
        <f t="shared" si="96"/>
        <v>127.51468309738547</v>
      </c>
    </row>
    <row r="36" spans="1:103" ht="18" x14ac:dyDescent="0.3">
      <c r="A36" s="37"/>
      <c r="B36" s="37"/>
      <c r="C36" s="63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634"/>
      <c r="AA36" s="27"/>
      <c r="AB36" s="27"/>
      <c r="AC36" s="570"/>
      <c r="AD36" s="28"/>
      <c r="AE36" s="29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6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6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6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6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6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9"/>
    </row>
    <row r="37" spans="1:103" ht="18" x14ac:dyDescent="0.3">
      <c r="A37" s="37"/>
      <c r="B37" s="37"/>
      <c r="C37" s="632" t="s">
        <v>219</v>
      </c>
      <c r="D37" s="174"/>
      <c r="E37" s="174" t="e">
        <f>+AVERAGE(D23:E23)/E14</f>
        <v>#DIV/0!</v>
      </c>
      <c r="F37" s="174" t="e">
        <f>+AVERAGE(D23:F23)/F14</f>
        <v>#DIV/0!</v>
      </c>
      <c r="G37" s="174" t="e">
        <f>+AVERAGE(D23:G23)/G14</f>
        <v>#DIV/0!</v>
      </c>
      <c r="H37" s="173" t="e">
        <f>+AVERAGE(D23:H23)/H14</f>
        <v>#DIV/0!</v>
      </c>
      <c r="I37" s="173" t="e">
        <f>+AVERAGE(D23:I23)/I14</f>
        <v>#DIV/0!</v>
      </c>
      <c r="J37" s="173" t="e">
        <f t="shared" ref="J37:S37" si="97">+AVERAGE(D23:J23)/J14</f>
        <v>#DIV/0!</v>
      </c>
      <c r="K37" s="173" t="e">
        <f t="shared" si="97"/>
        <v>#DIV/0!</v>
      </c>
      <c r="L37" s="173" t="e">
        <f t="shared" si="97"/>
        <v>#DIV/0!</v>
      </c>
      <c r="M37" s="173" t="e">
        <f t="shared" si="97"/>
        <v>#DIV/0!</v>
      </c>
      <c r="N37" s="173" t="e">
        <f t="shared" si="97"/>
        <v>#DIV/0!</v>
      </c>
      <c r="O37" s="173" t="e">
        <f t="shared" si="97"/>
        <v>#DIV/0!</v>
      </c>
      <c r="P37" s="173" t="e">
        <f t="shared" si="97"/>
        <v>#DIV/0!</v>
      </c>
      <c r="Q37" s="173" t="e">
        <f t="shared" si="97"/>
        <v>#DIV/0!</v>
      </c>
      <c r="R37" s="173" t="e">
        <f t="shared" si="97"/>
        <v>#DIV/0!</v>
      </c>
      <c r="S37" s="173" t="e">
        <f t="shared" si="97"/>
        <v>#DIV/0!</v>
      </c>
      <c r="T37" s="578">
        <f>+AVERAGE(N29:T29)/T15</f>
        <v>0</v>
      </c>
      <c r="U37" s="578">
        <f>+AVERAGE(O29:U29)/U15</f>
        <v>0</v>
      </c>
      <c r="V37" s="578">
        <f t="shared" ref="V37:AC37" si="98">+IFERROR(AVERAGE(P29:V29)/V15, 0)</f>
        <v>0</v>
      </c>
      <c r="W37" s="578">
        <f t="shared" si="98"/>
        <v>0</v>
      </c>
      <c r="X37" s="578">
        <f t="shared" si="98"/>
        <v>0</v>
      </c>
      <c r="Y37" s="578">
        <f t="shared" si="98"/>
        <v>-0.33333333333333331</v>
      </c>
      <c r="Z37" s="578">
        <f t="shared" si="98"/>
        <v>-0.10714285714285714</v>
      </c>
      <c r="AA37" s="578">
        <f t="shared" si="98"/>
        <v>-0.25</v>
      </c>
      <c r="AB37" s="578">
        <f t="shared" si="98"/>
        <v>-0.33333333333333331</v>
      </c>
      <c r="AC37" s="579">
        <f t="shared" si="98"/>
        <v>-0.52380952380952384</v>
      </c>
      <c r="AD37" s="267">
        <v>-0.2</v>
      </c>
      <c r="AE37" s="181">
        <f t="shared" ref="AE37:CN37" si="99">+AD37</f>
        <v>-0.2</v>
      </c>
      <c r="AF37" s="180">
        <f t="shared" si="99"/>
        <v>-0.2</v>
      </c>
      <c r="AG37" s="180">
        <f t="shared" si="99"/>
        <v>-0.2</v>
      </c>
      <c r="AH37" s="180">
        <f t="shared" si="99"/>
        <v>-0.2</v>
      </c>
      <c r="AI37" s="180">
        <f t="shared" si="99"/>
        <v>-0.2</v>
      </c>
      <c r="AJ37" s="180">
        <f t="shared" si="99"/>
        <v>-0.2</v>
      </c>
      <c r="AK37" s="180">
        <f t="shared" si="99"/>
        <v>-0.2</v>
      </c>
      <c r="AL37" s="180">
        <f t="shared" si="99"/>
        <v>-0.2</v>
      </c>
      <c r="AM37" s="180">
        <f t="shared" si="99"/>
        <v>-0.2</v>
      </c>
      <c r="AN37" s="180">
        <f t="shared" si="99"/>
        <v>-0.2</v>
      </c>
      <c r="AO37" s="180">
        <f t="shared" si="99"/>
        <v>-0.2</v>
      </c>
      <c r="AP37" s="180">
        <f t="shared" si="99"/>
        <v>-0.2</v>
      </c>
      <c r="AQ37" s="287">
        <f t="shared" si="99"/>
        <v>-0.2</v>
      </c>
      <c r="AR37" s="180">
        <f t="shared" si="99"/>
        <v>-0.2</v>
      </c>
      <c r="AS37" s="270">
        <f t="shared" si="99"/>
        <v>-0.2</v>
      </c>
      <c r="AT37" s="180">
        <f t="shared" si="99"/>
        <v>-0.2</v>
      </c>
      <c r="AU37" s="180">
        <f t="shared" si="99"/>
        <v>-0.2</v>
      </c>
      <c r="AV37" s="180">
        <f t="shared" si="99"/>
        <v>-0.2</v>
      </c>
      <c r="AW37" s="180">
        <f t="shared" si="99"/>
        <v>-0.2</v>
      </c>
      <c r="AX37" s="180">
        <f t="shared" si="99"/>
        <v>-0.2</v>
      </c>
      <c r="AY37" s="180">
        <f t="shared" si="99"/>
        <v>-0.2</v>
      </c>
      <c r="AZ37" s="180">
        <f t="shared" si="99"/>
        <v>-0.2</v>
      </c>
      <c r="BA37" s="180">
        <f t="shared" si="99"/>
        <v>-0.2</v>
      </c>
      <c r="BB37" s="180">
        <f t="shared" si="99"/>
        <v>-0.2</v>
      </c>
      <c r="BC37" s="287">
        <f t="shared" si="99"/>
        <v>-0.2</v>
      </c>
      <c r="BD37" s="180">
        <f t="shared" si="99"/>
        <v>-0.2</v>
      </c>
      <c r="BE37" s="180">
        <f t="shared" si="99"/>
        <v>-0.2</v>
      </c>
      <c r="BF37" s="180">
        <f t="shared" si="99"/>
        <v>-0.2</v>
      </c>
      <c r="BG37" s="180">
        <f t="shared" si="99"/>
        <v>-0.2</v>
      </c>
      <c r="BH37" s="180">
        <f t="shared" si="99"/>
        <v>-0.2</v>
      </c>
      <c r="BI37" s="180">
        <f t="shared" si="99"/>
        <v>-0.2</v>
      </c>
      <c r="BJ37" s="180">
        <f t="shared" si="99"/>
        <v>-0.2</v>
      </c>
      <c r="BK37" s="180">
        <f t="shared" si="99"/>
        <v>-0.2</v>
      </c>
      <c r="BL37" s="180">
        <f t="shared" si="99"/>
        <v>-0.2</v>
      </c>
      <c r="BM37" s="180">
        <f t="shared" si="99"/>
        <v>-0.2</v>
      </c>
      <c r="BN37" s="180">
        <f t="shared" si="99"/>
        <v>-0.2</v>
      </c>
      <c r="BO37" s="287">
        <f t="shared" si="99"/>
        <v>-0.2</v>
      </c>
      <c r="BP37" s="180">
        <f t="shared" si="99"/>
        <v>-0.2</v>
      </c>
      <c r="BQ37" s="180">
        <f t="shared" si="99"/>
        <v>-0.2</v>
      </c>
      <c r="BR37" s="180">
        <f t="shared" si="99"/>
        <v>-0.2</v>
      </c>
      <c r="BS37" s="180">
        <f t="shared" si="99"/>
        <v>-0.2</v>
      </c>
      <c r="BT37" s="180">
        <f t="shared" si="99"/>
        <v>-0.2</v>
      </c>
      <c r="BU37" s="180">
        <f t="shared" si="99"/>
        <v>-0.2</v>
      </c>
      <c r="BV37" s="180">
        <f t="shared" si="99"/>
        <v>-0.2</v>
      </c>
      <c r="BW37" s="180">
        <f t="shared" si="99"/>
        <v>-0.2</v>
      </c>
      <c r="BX37" s="180">
        <f t="shared" si="99"/>
        <v>-0.2</v>
      </c>
      <c r="BY37" s="180">
        <f t="shared" si="99"/>
        <v>-0.2</v>
      </c>
      <c r="BZ37" s="180">
        <f t="shared" si="99"/>
        <v>-0.2</v>
      </c>
      <c r="CA37" s="287">
        <f t="shared" si="99"/>
        <v>-0.2</v>
      </c>
      <c r="CB37" s="180">
        <f t="shared" si="99"/>
        <v>-0.2</v>
      </c>
      <c r="CC37" s="180">
        <f t="shared" si="99"/>
        <v>-0.2</v>
      </c>
      <c r="CD37" s="180">
        <f t="shared" si="99"/>
        <v>-0.2</v>
      </c>
      <c r="CE37" s="180">
        <f t="shared" si="99"/>
        <v>-0.2</v>
      </c>
      <c r="CF37" s="180">
        <f t="shared" si="99"/>
        <v>-0.2</v>
      </c>
      <c r="CG37" s="180">
        <f t="shared" si="99"/>
        <v>-0.2</v>
      </c>
      <c r="CH37" s="180">
        <f t="shared" si="99"/>
        <v>-0.2</v>
      </c>
      <c r="CI37" s="180">
        <f t="shared" si="99"/>
        <v>-0.2</v>
      </c>
      <c r="CJ37" s="180">
        <f t="shared" si="99"/>
        <v>-0.2</v>
      </c>
      <c r="CK37" s="180">
        <f t="shared" si="99"/>
        <v>-0.2</v>
      </c>
      <c r="CL37" s="180">
        <f t="shared" si="99"/>
        <v>-0.2</v>
      </c>
      <c r="CM37" s="287">
        <f t="shared" si="99"/>
        <v>-0.2</v>
      </c>
      <c r="CN37" s="180">
        <f t="shared" si="99"/>
        <v>-0.2</v>
      </c>
      <c r="CO37" s="180">
        <f t="shared" ref="CO37:CY37" si="100">+CN37</f>
        <v>-0.2</v>
      </c>
      <c r="CP37" s="180">
        <f t="shared" si="100"/>
        <v>-0.2</v>
      </c>
      <c r="CQ37" s="180">
        <f t="shared" si="100"/>
        <v>-0.2</v>
      </c>
      <c r="CR37" s="180">
        <f t="shared" si="100"/>
        <v>-0.2</v>
      </c>
      <c r="CS37" s="180">
        <f t="shared" si="100"/>
        <v>-0.2</v>
      </c>
      <c r="CT37" s="180">
        <f t="shared" si="100"/>
        <v>-0.2</v>
      </c>
      <c r="CU37" s="180">
        <f t="shared" si="100"/>
        <v>-0.2</v>
      </c>
      <c r="CV37" s="180">
        <f t="shared" si="100"/>
        <v>-0.2</v>
      </c>
      <c r="CW37" s="180">
        <f t="shared" si="100"/>
        <v>-0.2</v>
      </c>
      <c r="CX37" s="180">
        <f t="shared" si="100"/>
        <v>-0.2</v>
      </c>
      <c r="CY37" s="181">
        <f t="shared" si="100"/>
        <v>-0.2</v>
      </c>
    </row>
    <row r="38" spans="1:103" ht="18" x14ac:dyDescent="0.3">
      <c r="A38" s="37"/>
      <c r="B38" s="37"/>
      <c r="C38" s="632" t="s">
        <v>212</v>
      </c>
      <c r="D38" s="177"/>
      <c r="E38" s="177" t="e">
        <f t="shared" ref="E38:I38" si="101">1/-E37</f>
        <v>#DIV/0!</v>
      </c>
      <c r="F38" s="177" t="e">
        <f t="shared" si="101"/>
        <v>#DIV/0!</v>
      </c>
      <c r="G38" s="177" t="e">
        <f t="shared" si="101"/>
        <v>#DIV/0!</v>
      </c>
      <c r="H38" s="177" t="e">
        <f t="shared" si="101"/>
        <v>#DIV/0!</v>
      </c>
      <c r="I38" s="177" t="e">
        <f t="shared" si="101"/>
        <v>#DIV/0!</v>
      </c>
      <c r="J38" s="177" t="e">
        <f t="shared" ref="J38:N38" si="102">1/-J37</f>
        <v>#DIV/0!</v>
      </c>
      <c r="K38" s="177" t="e">
        <f>1/-K37</f>
        <v>#DIV/0!</v>
      </c>
      <c r="L38" s="177" t="e">
        <f>1/-L37</f>
        <v>#DIV/0!</v>
      </c>
      <c r="M38" s="177" t="e">
        <f>1/-M37</f>
        <v>#DIV/0!</v>
      </c>
      <c r="N38" s="177" t="e">
        <f t="shared" si="102"/>
        <v>#DIV/0!</v>
      </c>
      <c r="O38" s="177" t="e">
        <f t="shared" ref="O38:S38" si="103">1/-O37</f>
        <v>#DIV/0!</v>
      </c>
      <c r="P38" s="177" t="e">
        <f t="shared" si="103"/>
        <v>#DIV/0!</v>
      </c>
      <c r="Q38" s="177" t="e">
        <f t="shared" si="103"/>
        <v>#DIV/0!</v>
      </c>
      <c r="R38" s="177" t="e">
        <f t="shared" si="103"/>
        <v>#DIV/0!</v>
      </c>
      <c r="S38" s="177" t="e">
        <f t="shared" si="103"/>
        <v>#DIV/0!</v>
      </c>
      <c r="T38" s="177">
        <f>IFERROR(1/-T37, 0)</f>
        <v>0</v>
      </c>
      <c r="U38" s="177">
        <f t="shared" ref="U38:CF38" si="104">IFERROR(1/-U37, 0)</f>
        <v>0</v>
      </c>
      <c r="V38" s="177">
        <f t="shared" si="104"/>
        <v>0</v>
      </c>
      <c r="W38" s="177">
        <f t="shared" si="104"/>
        <v>0</v>
      </c>
      <c r="X38" s="177">
        <f t="shared" si="104"/>
        <v>0</v>
      </c>
      <c r="Y38" s="177">
        <f>IFERROR(1/-Y37, 0)</f>
        <v>3</v>
      </c>
      <c r="Z38" s="177">
        <f t="shared" ref="Z38" si="105">IFERROR(1/-Z37, 0)</f>
        <v>9.3333333333333339</v>
      </c>
      <c r="AA38" s="177">
        <f>IFERROR(1/-AA37, 0)</f>
        <v>4</v>
      </c>
      <c r="AB38" s="177">
        <f>IFERROR(1/-AB37, 0)</f>
        <v>3</v>
      </c>
      <c r="AC38" s="571">
        <f>IFERROR(1/-AC37, 0)</f>
        <v>1.9090909090909089</v>
      </c>
      <c r="AD38" s="178">
        <f t="shared" ref="AD38" si="106">IFERROR(1/-AD37, 0)</f>
        <v>5</v>
      </c>
      <c r="AE38" s="179">
        <f t="shared" si="104"/>
        <v>5</v>
      </c>
      <c r="AF38" s="178">
        <f t="shared" si="104"/>
        <v>5</v>
      </c>
      <c r="AG38" s="178">
        <f t="shared" si="104"/>
        <v>5</v>
      </c>
      <c r="AH38" s="178">
        <f t="shared" si="104"/>
        <v>5</v>
      </c>
      <c r="AI38" s="178">
        <f t="shared" si="104"/>
        <v>5</v>
      </c>
      <c r="AJ38" s="178">
        <f t="shared" si="104"/>
        <v>5</v>
      </c>
      <c r="AK38" s="178">
        <f t="shared" si="104"/>
        <v>5</v>
      </c>
      <c r="AL38" s="178">
        <f t="shared" si="104"/>
        <v>5</v>
      </c>
      <c r="AM38" s="178">
        <f t="shared" si="104"/>
        <v>5</v>
      </c>
      <c r="AN38" s="178">
        <f t="shared" si="104"/>
        <v>5</v>
      </c>
      <c r="AO38" s="178">
        <f t="shared" si="104"/>
        <v>5</v>
      </c>
      <c r="AP38" s="178">
        <f t="shared" si="104"/>
        <v>5</v>
      </c>
      <c r="AQ38" s="288">
        <f t="shared" si="104"/>
        <v>5</v>
      </c>
      <c r="AR38" s="178">
        <f t="shared" si="104"/>
        <v>5</v>
      </c>
      <c r="AS38" s="178">
        <f t="shared" si="104"/>
        <v>5</v>
      </c>
      <c r="AT38" s="178">
        <f t="shared" si="104"/>
        <v>5</v>
      </c>
      <c r="AU38" s="178">
        <f t="shared" si="104"/>
        <v>5</v>
      </c>
      <c r="AV38" s="178">
        <f t="shared" si="104"/>
        <v>5</v>
      </c>
      <c r="AW38" s="178">
        <f t="shared" si="104"/>
        <v>5</v>
      </c>
      <c r="AX38" s="178">
        <f t="shared" si="104"/>
        <v>5</v>
      </c>
      <c r="AY38" s="178">
        <f t="shared" si="104"/>
        <v>5</v>
      </c>
      <c r="AZ38" s="178">
        <f t="shared" si="104"/>
        <v>5</v>
      </c>
      <c r="BA38" s="178">
        <f t="shared" si="104"/>
        <v>5</v>
      </c>
      <c r="BB38" s="178">
        <f t="shared" si="104"/>
        <v>5</v>
      </c>
      <c r="BC38" s="288">
        <f t="shared" si="104"/>
        <v>5</v>
      </c>
      <c r="BD38" s="178">
        <f t="shared" si="104"/>
        <v>5</v>
      </c>
      <c r="BE38" s="178">
        <f t="shared" si="104"/>
        <v>5</v>
      </c>
      <c r="BF38" s="178">
        <f t="shared" si="104"/>
        <v>5</v>
      </c>
      <c r="BG38" s="178">
        <f t="shared" si="104"/>
        <v>5</v>
      </c>
      <c r="BH38" s="178">
        <f t="shared" si="104"/>
        <v>5</v>
      </c>
      <c r="BI38" s="178">
        <f t="shared" si="104"/>
        <v>5</v>
      </c>
      <c r="BJ38" s="178">
        <f t="shared" si="104"/>
        <v>5</v>
      </c>
      <c r="BK38" s="178">
        <f t="shared" si="104"/>
        <v>5</v>
      </c>
      <c r="BL38" s="178">
        <f t="shared" si="104"/>
        <v>5</v>
      </c>
      <c r="BM38" s="178">
        <f t="shared" si="104"/>
        <v>5</v>
      </c>
      <c r="BN38" s="178">
        <f t="shared" si="104"/>
        <v>5</v>
      </c>
      <c r="BO38" s="288">
        <f t="shared" si="104"/>
        <v>5</v>
      </c>
      <c r="BP38" s="178">
        <f t="shared" si="104"/>
        <v>5</v>
      </c>
      <c r="BQ38" s="178">
        <f t="shared" si="104"/>
        <v>5</v>
      </c>
      <c r="BR38" s="178">
        <f t="shared" si="104"/>
        <v>5</v>
      </c>
      <c r="BS38" s="178">
        <f t="shared" si="104"/>
        <v>5</v>
      </c>
      <c r="BT38" s="178">
        <f t="shared" si="104"/>
        <v>5</v>
      </c>
      <c r="BU38" s="178">
        <f t="shared" si="104"/>
        <v>5</v>
      </c>
      <c r="BV38" s="178">
        <f t="shared" si="104"/>
        <v>5</v>
      </c>
      <c r="BW38" s="178">
        <f t="shared" si="104"/>
        <v>5</v>
      </c>
      <c r="BX38" s="178">
        <f t="shared" si="104"/>
        <v>5</v>
      </c>
      <c r="BY38" s="178">
        <f t="shared" si="104"/>
        <v>5</v>
      </c>
      <c r="BZ38" s="178">
        <f t="shared" si="104"/>
        <v>5</v>
      </c>
      <c r="CA38" s="288">
        <f t="shared" si="104"/>
        <v>5</v>
      </c>
      <c r="CB38" s="178">
        <f t="shared" si="104"/>
        <v>5</v>
      </c>
      <c r="CC38" s="178">
        <f t="shared" si="104"/>
        <v>5</v>
      </c>
      <c r="CD38" s="178">
        <f t="shared" si="104"/>
        <v>5</v>
      </c>
      <c r="CE38" s="178">
        <f t="shared" si="104"/>
        <v>5</v>
      </c>
      <c r="CF38" s="178">
        <f t="shared" si="104"/>
        <v>5</v>
      </c>
      <c r="CG38" s="178">
        <f t="shared" ref="CG38:CY38" si="107">IFERROR(1/-CG37, 0)</f>
        <v>5</v>
      </c>
      <c r="CH38" s="178">
        <f t="shared" si="107"/>
        <v>5</v>
      </c>
      <c r="CI38" s="178">
        <f t="shared" si="107"/>
        <v>5</v>
      </c>
      <c r="CJ38" s="178">
        <f t="shared" si="107"/>
        <v>5</v>
      </c>
      <c r="CK38" s="178">
        <f t="shared" si="107"/>
        <v>5</v>
      </c>
      <c r="CL38" s="178">
        <f t="shared" si="107"/>
        <v>5</v>
      </c>
      <c r="CM38" s="288">
        <f t="shared" si="107"/>
        <v>5</v>
      </c>
      <c r="CN38" s="178">
        <f t="shared" si="107"/>
        <v>5</v>
      </c>
      <c r="CO38" s="178">
        <f t="shared" si="107"/>
        <v>5</v>
      </c>
      <c r="CP38" s="178">
        <f t="shared" si="107"/>
        <v>5</v>
      </c>
      <c r="CQ38" s="178">
        <f t="shared" si="107"/>
        <v>5</v>
      </c>
      <c r="CR38" s="178">
        <f t="shared" si="107"/>
        <v>5</v>
      </c>
      <c r="CS38" s="178">
        <f t="shared" si="107"/>
        <v>5</v>
      </c>
      <c r="CT38" s="178">
        <f t="shared" si="107"/>
        <v>5</v>
      </c>
      <c r="CU38" s="178">
        <f t="shared" si="107"/>
        <v>5</v>
      </c>
      <c r="CV38" s="178">
        <f t="shared" si="107"/>
        <v>5</v>
      </c>
      <c r="CW38" s="178">
        <f t="shared" si="107"/>
        <v>5</v>
      </c>
      <c r="CX38" s="178">
        <f t="shared" si="107"/>
        <v>5</v>
      </c>
      <c r="CY38" s="179">
        <f t="shared" si="107"/>
        <v>5</v>
      </c>
    </row>
    <row r="39" spans="1:103" ht="18" x14ac:dyDescent="0.3">
      <c r="A39" s="37"/>
      <c r="B39" s="37"/>
      <c r="C39" s="632" t="s">
        <v>311</v>
      </c>
      <c r="D39" s="27"/>
      <c r="E39" s="27" t="e">
        <f t="shared" ref="E39:S39" si="108">+E12/E14</f>
        <v>#DIV/0!</v>
      </c>
      <c r="F39" s="27" t="e">
        <f t="shared" si="108"/>
        <v>#DIV/0!</v>
      </c>
      <c r="G39" s="27" t="e">
        <f t="shared" si="108"/>
        <v>#DIV/0!</v>
      </c>
      <c r="H39" s="27" t="e">
        <f t="shared" si="108"/>
        <v>#DIV/0!</v>
      </c>
      <c r="I39" s="27" t="e">
        <f t="shared" si="108"/>
        <v>#DIV/0!</v>
      </c>
      <c r="J39" s="27" t="e">
        <f t="shared" si="108"/>
        <v>#DIV/0!</v>
      </c>
      <c r="K39" s="27" t="e">
        <f t="shared" si="108"/>
        <v>#DIV/0!</v>
      </c>
      <c r="L39" s="27" t="e">
        <f t="shared" si="108"/>
        <v>#DIV/0!</v>
      </c>
      <c r="M39" s="27" t="e">
        <f t="shared" si="108"/>
        <v>#DIV/0!</v>
      </c>
      <c r="N39" s="27" t="e">
        <f t="shared" si="108"/>
        <v>#DIV/0!</v>
      </c>
      <c r="O39" s="27" t="e">
        <f t="shared" si="108"/>
        <v>#DIV/0!</v>
      </c>
      <c r="P39" s="27" t="e">
        <f t="shared" si="108"/>
        <v>#DIV/0!</v>
      </c>
      <c r="Q39" s="27" t="e">
        <f t="shared" si="108"/>
        <v>#DIV/0!</v>
      </c>
      <c r="R39" s="27" t="e">
        <f t="shared" si="108"/>
        <v>#DIV/0!</v>
      </c>
      <c r="S39" s="27" t="e">
        <f t="shared" si="108"/>
        <v>#DIV/0!</v>
      </c>
      <c r="T39" s="27">
        <f t="shared" ref="T39:AY39" si="109">+IFERROR(T12/T14,0)</f>
        <v>0</v>
      </c>
      <c r="U39" s="27">
        <f t="shared" si="109"/>
        <v>185</v>
      </c>
      <c r="V39" s="27">
        <f t="shared" si="109"/>
        <v>255</v>
      </c>
      <c r="W39" s="27">
        <f t="shared" si="109"/>
        <v>0</v>
      </c>
      <c r="X39" s="27">
        <f t="shared" si="109"/>
        <v>206.25</v>
      </c>
      <c r="Y39" s="27">
        <f t="shared" si="109"/>
        <v>103.81578947368421</v>
      </c>
      <c r="Z39" s="27">
        <f t="shared" si="109"/>
        <v>121.61384615384617</v>
      </c>
      <c r="AA39" s="27">
        <f t="shared" si="109"/>
        <v>180</v>
      </c>
      <c r="AB39" s="27">
        <f t="shared" si="109"/>
        <v>213.125</v>
      </c>
      <c r="AC39" s="570">
        <f t="shared" si="109"/>
        <v>115.71428571428571</v>
      </c>
      <c r="AD39" s="28">
        <f t="shared" si="109"/>
        <v>113.93103448275862</v>
      </c>
      <c r="AE39" s="29">
        <f t="shared" si="109"/>
        <v>115.18424396442184</v>
      </c>
      <c r="AF39" s="28">
        <f t="shared" si="109"/>
        <v>127.56849836944927</v>
      </c>
      <c r="AG39" s="28">
        <f t="shared" si="109"/>
        <v>135.40676771874038</v>
      </c>
      <c r="AH39" s="28">
        <f t="shared" si="109"/>
        <v>161.73339899238607</v>
      </c>
      <c r="AI39" s="28">
        <f t="shared" si="109"/>
        <v>141.35335841863179</v>
      </c>
      <c r="AJ39" s="28">
        <f t="shared" si="109"/>
        <v>139.98775725123537</v>
      </c>
      <c r="AK39" s="28">
        <f t="shared" si="109"/>
        <v>139.13361503317077</v>
      </c>
      <c r="AL39" s="28">
        <f t="shared" si="109"/>
        <v>138.60776132254952</v>
      </c>
      <c r="AM39" s="28">
        <f t="shared" si="109"/>
        <v>98.849288819394431</v>
      </c>
      <c r="AN39" s="28">
        <f t="shared" si="109"/>
        <v>140.933600390843</v>
      </c>
      <c r="AO39" s="28">
        <f t="shared" si="109"/>
        <v>143.42307755819212</v>
      </c>
      <c r="AP39" s="28">
        <f t="shared" si="109"/>
        <v>178.77200056509602</v>
      </c>
      <c r="AQ39" s="286">
        <f t="shared" si="109"/>
        <v>143.67183183687479</v>
      </c>
      <c r="AR39" s="28">
        <f t="shared" si="109"/>
        <v>141.49418161394195</v>
      </c>
      <c r="AS39" s="28">
        <f t="shared" si="109"/>
        <v>145.67921615201311</v>
      </c>
      <c r="AT39" s="28">
        <f t="shared" si="109"/>
        <v>186.4696122824202</v>
      </c>
      <c r="AU39" s="28">
        <f t="shared" si="109"/>
        <v>142.006918732293</v>
      </c>
      <c r="AV39" s="28">
        <f t="shared" si="109"/>
        <v>142.51410832037547</v>
      </c>
      <c r="AW39" s="28">
        <f t="shared" si="109"/>
        <v>138.89103751366622</v>
      </c>
      <c r="AX39" s="28">
        <f t="shared" si="109"/>
        <v>138.5380184551089</v>
      </c>
      <c r="AY39" s="28">
        <f t="shared" si="109"/>
        <v>99.072120949675011</v>
      </c>
      <c r="AZ39" s="28">
        <f t="shared" ref="AZ39:CE39" si="110">+IFERROR(AZ12/AZ14,0)</f>
        <v>140.54825487452831</v>
      </c>
      <c r="BA39" s="28">
        <f t="shared" si="110"/>
        <v>142.59055486624064</v>
      </c>
      <c r="BB39" s="28">
        <f t="shared" si="110"/>
        <v>177.68894330816457</v>
      </c>
      <c r="BC39" s="286">
        <f t="shared" si="110"/>
        <v>142.76036522646604</v>
      </c>
      <c r="BD39" s="28">
        <f t="shared" si="110"/>
        <v>140.96773388380814</v>
      </c>
      <c r="BE39" s="28">
        <f t="shared" si="110"/>
        <v>142.83563003621163</v>
      </c>
      <c r="BF39" s="28">
        <f t="shared" si="110"/>
        <v>177.83716168585264</v>
      </c>
      <c r="BG39" s="28">
        <f t="shared" si="110"/>
        <v>142.91812722428409</v>
      </c>
      <c r="BH39" s="28">
        <f t="shared" si="110"/>
        <v>141.18276011925474</v>
      </c>
      <c r="BI39" s="28">
        <f t="shared" si="110"/>
        <v>138.75382216063034</v>
      </c>
      <c r="BJ39" s="28">
        <f t="shared" si="110"/>
        <v>138.51896371643966</v>
      </c>
      <c r="BK39" s="28">
        <f t="shared" si="110"/>
        <v>99.225080306057322</v>
      </c>
      <c r="BL39" s="28">
        <f t="shared" si="110"/>
        <v>140.22703114307333</v>
      </c>
      <c r="BM39" s="28">
        <f t="shared" si="110"/>
        <v>142.21527358393982</v>
      </c>
      <c r="BN39" s="28">
        <f t="shared" si="110"/>
        <v>177.34803241110475</v>
      </c>
      <c r="BO39" s="286">
        <f t="shared" si="110"/>
        <v>141.00548713827345</v>
      </c>
      <c r="BP39" s="28">
        <f t="shared" si="110"/>
        <v>141.29883816945622</v>
      </c>
      <c r="BQ39" s="28">
        <f t="shared" si="110"/>
        <v>142.78673910949101</v>
      </c>
      <c r="BR39" s="28">
        <f t="shared" si="110"/>
        <v>178.75313818233573</v>
      </c>
      <c r="BS39" s="28">
        <f t="shared" si="110"/>
        <v>141.21268002192372</v>
      </c>
      <c r="BT39" s="28">
        <f t="shared" si="110"/>
        <v>141.4043566710622</v>
      </c>
      <c r="BU39" s="28">
        <f t="shared" si="110"/>
        <v>138.42968175624543</v>
      </c>
      <c r="BV39" s="28">
        <f t="shared" si="110"/>
        <v>138.34044565554805</v>
      </c>
      <c r="BW39" s="28">
        <f t="shared" si="110"/>
        <v>98.92285723977129</v>
      </c>
      <c r="BX39" s="28">
        <f t="shared" si="110"/>
        <v>138.78870245371994</v>
      </c>
      <c r="BY39" s="28">
        <f t="shared" si="110"/>
        <v>141.05929320318549</v>
      </c>
      <c r="BZ39" s="28">
        <f t="shared" si="110"/>
        <v>176.59874215466817</v>
      </c>
      <c r="CA39" s="286">
        <f t="shared" si="110"/>
        <v>140.98544367926687</v>
      </c>
      <c r="CB39" s="28">
        <f t="shared" si="110"/>
        <v>140.10428613219946</v>
      </c>
      <c r="CC39" s="28">
        <f t="shared" si="110"/>
        <v>141.74166129659855</v>
      </c>
      <c r="CD39" s="28">
        <f t="shared" si="110"/>
        <v>176.26392368758354</v>
      </c>
      <c r="CE39" s="28">
        <f t="shared" si="110"/>
        <v>141.73060601353563</v>
      </c>
      <c r="CF39" s="28">
        <f t="shared" ref="CF39:CY39" si="111">+IFERROR(CF12/CF14,0)</f>
        <v>140.44849514790585</v>
      </c>
      <c r="CG39" s="28">
        <f t="shared" si="111"/>
        <v>138.33451195051342</v>
      </c>
      <c r="CH39" s="28">
        <f t="shared" si="111"/>
        <v>138.02698723260733</v>
      </c>
      <c r="CI39" s="28">
        <f t="shared" si="111"/>
        <v>98.275751759533875</v>
      </c>
      <c r="CJ39" s="28">
        <f t="shared" si="111"/>
        <v>138.47838343005481</v>
      </c>
      <c r="CK39" s="28">
        <f t="shared" si="111"/>
        <v>140.6784555816555</v>
      </c>
      <c r="CL39" s="28">
        <f t="shared" si="111"/>
        <v>175.79570607559407</v>
      </c>
      <c r="CM39" s="286">
        <f t="shared" si="111"/>
        <v>139.91260531072345</v>
      </c>
      <c r="CN39" s="28">
        <f t="shared" si="111"/>
        <v>139.60362459253196</v>
      </c>
      <c r="CO39" s="28">
        <f t="shared" si="111"/>
        <v>142.23635010711547</v>
      </c>
      <c r="CP39" s="28">
        <f t="shared" si="111"/>
        <v>178.25507490922513</v>
      </c>
      <c r="CQ39" s="28">
        <f t="shared" si="111"/>
        <v>140.7370253315303</v>
      </c>
      <c r="CR39" s="28">
        <f t="shared" si="111"/>
        <v>139.95118458468639</v>
      </c>
      <c r="CS39" s="28">
        <f t="shared" si="111"/>
        <v>138.13017259544114</v>
      </c>
      <c r="CT39" s="28">
        <f t="shared" si="111"/>
        <v>137.99452138467822</v>
      </c>
      <c r="CU39" s="28">
        <f t="shared" si="111"/>
        <v>98.320016870184332</v>
      </c>
      <c r="CV39" s="28">
        <f t="shared" si="111"/>
        <v>137.91866964109849</v>
      </c>
      <c r="CW39" s="28">
        <f t="shared" si="111"/>
        <v>140.82936865709101</v>
      </c>
      <c r="CX39" s="28">
        <f t="shared" si="111"/>
        <v>174.94493027907382</v>
      </c>
      <c r="CY39" s="29">
        <f t="shared" si="111"/>
        <v>140.26615140712403</v>
      </c>
    </row>
    <row r="40" spans="1:103" ht="18" x14ac:dyDescent="0.3">
      <c r="A40" s="37"/>
      <c r="B40" s="37"/>
      <c r="C40" s="632" t="s">
        <v>213</v>
      </c>
      <c r="D40" s="27"/>
      <c r="E40" s="27" t="e">
        <f t="shared" ref="E40:I40" si="112">+E39*E38</f>
        <v>#DIV/0!</v>
      </c>
      <c r="F40" s="27" t="e">
        <f t="shared" si="112"/>
        <v>#DIV/0!</v>
      </c>
      <c r="G40" s="27" t="e">
        <f t="shared" si="112"/>
        <v>#DIV/0!</v>
      </c>
      <c r="H40" s="27" t="e">
        <f t="shared" si="112"/>
        <v>#DIV/0!</v>
      </c>
      <c r="I40" s="27" t="e">
        <f t="shared" si="112"/>
        <v>#DIV/0!</v>
      </c>
      <c r="J40" s="27" t="e">
        <f t="shared" ref="J40:BU40" si="113">+J39*J38</f>
        <v>#DIV/0!</v>
      </c>
      <c r="K40" s="27" t="e">
        <f t="shared" si="113"/>
        <v>#DIV/0!</v>
      </c>
      <c r="L40" s="27" t="e">
        <f t="shared" si="113"/>
        <v>#DIV/0!</v>
      </c>
      <c r="M40" s="27" t="e">
        <f t="shared" si="113"/>
        <v>#DIV/0!</v>
      </c>
      <c r="N40" s="27" t="e">
        <f t="shared" si="113"/>
        <v>#DIV/0!</v>
      </c>
      <c r="O40" s="27" t="e">
        <f t="shared" si="113"/>
        <v>#DIV/0!</v>
      </c>
      <c r="P40" s="27" t="e">
        <f t="shared" ref="P40:Q40" si="114">+P39*P38</f>
        <v>#DIV/0!</v>
      </c>
      <c r="Q40" s="27" t="e">
        <f t="shared" si="114"/>
        <v>#DIV/0!</v>
      </c>
      <c r="R40" s="27" t="e">
        <f t="shared" ref="R40:W40" si="115">+R39*R38</f>
        <v>#DIV/0!</v>
      </c>
      <c r="S40" s="27" t="e">
        <f t="shared" si="115"/>
        <v>#DIV/0!</v>
      </c>
      <c r="T40" s="27">
        <f t="shared" si="115"/>
        <v>0</v>
      </c>
      <c r="U40" s="27">
        <f t="shared" si="115"/>
        <v>0</v>
      </c>
      <c r="V40" s="27">
        <f t="shared" si="115"/>
        <v>0</v>
      </c>
      <c r="W40" s="27">
        <f t="shared" si="115"/>
        <v>0</v>
      </c>
      <c r="X40" s="27">
        <f t="shared" ref="X40" si="116">+X39*X38</f>
        <v>0</v>
      </c>
      <c r="Y40" s="27">
        <f t="shared" ref="Y40:AD40" si="117">+Y39*Y38</f>
        <v>311.4473684210526</v>
      </c>
      <c r="Z40" s="27">
        <f t="shared" si="117"/>
        <v>1135.0625641025642</v>
      </c>
      <c r="AA40" s="27">
        <f t="shared" si="117"/>
        <v>720</v>
      </c>
      <c r="AB40" s="27">
        <f t="shared" si="117"/>
        <v>639.375</v>
      </c>
      <c r="AC40" s="570">
        <f t="shared" si="117"/>
        <v>220.90909090909088</v>
      </c>
      <c r="AD40" s="28">
        <f t="shared" si="117"/>
        <v>569.65517241379314</v>
      </c>
      <c r="AE40" s="29">
        <f t="shared" si="113"/>
        <v>575.92121982210915</v>
      </c>
      <c r="AF40" s="28">
        <f t="shared" si="113"/>
        <v>637.84249184724638</v>
      </c>
      <c r="AG40" s="28">
        <f t="shared" si="113"/>
        <v>677.03383859370194</v>
      </c>
      <c r="AH40" s="28">
        <f t="shared" si="113"/>
        <v>808.66699496193041</v>
      </c>
      <c r="AI40" s="28">
        <f t="shared" si="113"/>
        <v>706.76679209315898</v>
      </c>
      <c r="AJ40" s="28">
        <f t="shared" si="113"/>
        <v>699.93878625617685</v>
      </c>
      <c r="AK40" s="28">
        <f t="shared" si="113"/>
        <v>695.66807516585391</v>
      </c>
      <c r="AL40" s="28">
        <f t="shared" si="113"/>
        <v>693.03880661274763</v>
      </c>
      <c r="AM40" s="28">
        <f t="shared" si="113"/>
        <v>494.24644409697214</v>
      </c>
      <c r="AN40" s="28">
        <f t="shared" si="113"/>
        <v>704.66800195421501</v>
      </c>
      <c r="AO40" s="28">
        <f t="shared" si="113"/>
        <v>717.11538779096054</v>
      </c>
      <c r="AP40" s="28">
        <f t="shared" si="113"/>
        <v>893.86000282548014</v>
      </c>
      <c r="AQ40" s="286">
        <f t="shared" si="113"/>
        <v>718.35915918437399</v>
      </c>
      <c r="AR40" s="28">
        <f t="shared" si="113"/>
        <v>707.47090806970971</v>
      </c>
      <c r="AS40" s="28">
        <f t="shared" si="113"/>
        <v>728.39608076006562</v>
      </c>
      <c r="AT40" s="28">
        <f t="shared" si="113"/>
        <v>932.34806141210106</v>
      </c>
      <c r="AU40" s="28">
        <f t="shared" si="113"/>
        <v>710.03459366146501</v>
      </c>
      <c r="AV40" s="28">
        <f t="shared" si="113"/>
        <v>712.57054160187738</v>
      </c>
      <c r="AW40" s="28">
        <f t="shared" si="113"/>
        <v>694.4551875683311</v>
      </c>
      <c r="AX40" s="28">
        <f t="shared" si="113"/>
        <v>692.69009227554443</v>
      </c>
      <c r="AY40" s="28">
        <f t="shared" si="113"/>
        <v>495.36060474837507</v>
      </c>
      <c r="AZ40" s="28">
        <f t="shared" si="113"/>
        <v>702.74127437264156</v>
      </c>
      <c r="BA40" s="28">
        <f t="shared" si="113"/>
        <v>712.95277433120316</v>
      </c>
      <c r="BB40" s="28">
        <f t="shared" si="113"/>
        <v>888.44471654082281</v>
      </c>
      <c r="BC40" s="286">
        <f t="shared" si="113"/>
        <v>713.80182613233023</v>
      </c>
      <c r="BD40" s="28">
        <f t="shared" si="113"/>
        <v>704.83866941904068</v>
      </c>
      <c r="BE40" s="28">
        <f t="shared" si="113"/>
        <v>714.17815018105807</v>
      </c>
      <c r="BF40" s="28">
        <f t="shared" si="113"/>
        <v>889.18580842926315</v>
      </c>
      <c r="BG40" s="28">
        <f t="shared" si="113"/>
        <v>714.5906361214204</v>
      </c>
      <c r="BH40" s="28">
        <f t="shared" si="113"/>
        <v>705.91380059627363</v>
      </c>
      <c r="BI40" s="28">
        <f t="shared" si="113"/>
        <v>693.76911080315165</v>
      </c>
      <c r="BJ40" s="28">
        <f t="shared" si="113"/>
        <v>692.59481858219829</v>
      </c>
      <c r="BK40" s="28">
        <f t="shared" si="113"/>
        <v>496.12540153028658</v>
      </c>
      <c r="BL40" s="28">
        <f t="shared" si="113"/>
        <v>701.13515571536664</v>
      </c>
      <c r="BM40" s="28">
        <f t="shared" si="113"/>
        <v>711.07636791969912</v>
      </c>
      <c r="BN40" s="28">
        <f t="shared" si="113"/>
        <v>886.7401620555238</v>
      </c>
      <c r="BO40" s="286">
        <f t="shared" si="113"/>
        <v>705.02743569136726</v>
      </c>
      <c r="BP40" s="28">
        <f t="shared" si="113"/>
        <v>706.49419084728106</v>
      </c>
      <c r="BQ40" s="28">
        <f t="shared" si="113"/>
        <v>713.93369554745505</v>
      </c>
      <c r="BR40" s="28">
        <f t="shared" si="113"/>
        <v>893.76569091167869</v>
      </c>
      <c r="BS40" s="28">
        <f t="shared" si="113"/>
        <v>706.06340010961856</v>
      </c>
      <c r="BT40" s="28">
        <f t="shared" si="113"/>
        <v>707.02178335531107</v>
      </c>
      <c r="BU40" s="28">
        <f t="shared" si="113"/>
        <v>692.14840878122709</v>
      </c>
      <c r="BV40" s="28">
        <f t="shared" ref="BV40:CY40" si="118">+BV39*BV38</f>
        <v>691.70222827774023</v>
      </c>
      <c r="BW40" s="28">
        <f t="shared" si="118"/>
        <v>494.61428619885646</v>
      </c>
      <c r="BX40" s="28">
        <f t="shared" si="118"/>
        <v>693.94351226859965</v>
      </c>
      <c r="BY40" s="28">
        <f t="shared" si="118"/>
        <v>705.29646601592742</v>
      </c>
      <c r="BZ40" s="28">
        <f t="shared" si="118"/>
        <v>882.99371077334081</v>
      </c>
      <c r="CA40" s="286">
        <f t="shared" si="118"/>
        <v>704.9272183963343</v>
      </c>
      <c r="CB40" s="28">
        <f t="shared" si="118"/>
        <v>700.52143066099734</v>
      </c>
      <c r="CC40" s="28">
        <f t="shared" si="118"/>
        <v>708.70830648299273</v>
      </c>
      <c r="CD40" s="28">
        <f t="shared" si="118"/>
        <v>881.31961843791771</v>
      </c>
      <c r="CE40" s="28">
        <f t="shared" si="118"/>
        <v>708.65303006767817</v>
      </c>
      <c r="CF40" s="28">
        <f t="shared" si="118"/>
        <v>702.24247573952925</v>
      </c>
      <c r="CG40" s="28">
        <f t="shared" si="118"/>
        <v>691.67255975256705</v>
      </c>
      <c r="CH40" s="28">
        <f t="shared" si="118"/>
        <v>690.13493616303663</v>
      </c>
      <c r="CI40" s="28">
        <f t="shared" si="118"/>
        <v>491.37875879766938</v>
      </c>
      <c r="CJ40" s="28">
        <f t="shared" si="118"/>
        <v>692.39191715027403</v>
      </c>
      <c r="CK40" s="28">
        <f t="shared" si="118"/>
        <v>703.39227790827749</v>
      </c>
      <c r="CL40" s="28">
        <f t="shared" si="118"/>
        <v>878.9785303779704</v>
      </c>
      <c r="CM40" s="286">
        <f t="shared" si="118"/>
        <v>699.56302655361719</v>
      </c>
      <c r="CN40" s="28">
        <f t="shared" si="118"/>
        <v>698.01812296265985</v>
      </c>
      <c r="CO40" s="28">
        <f t="shared" si="118"/>
        <v>711.18175053557729</v>
      </c>
      <c r="CP40" s="28">
        <f t="shared" si="118"/>
        <v>891.2753745461257</v>
      </c>
      <c r="CQ40" s="28">
        <f t="shared" si="118"/>
        <v>703.68512665765149</v>
      </c>
      <c r="CR40" s="28">
        <f t="shared" si="118"/>
        <v>699.75592292343197</v>
      </c>
      <c r="CS40" s="28">
        <f t="shared" si="118"/>
        <v>690.65086297720563</v>
      </c>
      <c r="CT40" s="28">
        <f t="shared" si="118"/>
        <v>689.97260692339114</v>
      </c>
      <c r="CU40" s="28">
        <f t="shared" si="118"/>
        <v>491.60008435092163</v>
      </c>
      <c r="CV40" s="28">
        <f t="shared" si="118"/>
        <v>689.59334820549248</v>
      </c>
      <c r="CW40" s="28">
        <f t="shared" si="118"/>
        <v>704.14684328545502</v>
      </c>
      <c r="CX40" s="28">
        <f t="shared" si="118"/>
        <v>874.72465139536905</v>
      </c>
      <c r="CY40" s="29">
        <f t="shared" si="118"/>
        <v>701.33075703562008</v>
      </c>
    </row>
    <row r="41" spans="1:103" ht="18" x14ac:dyDescent="0.3">
      <c r="A41" s="37"/>
      <c r="B41" s="37"/>
      <c r="C41" s="632" t="s">
        <v>214</v>
      </c>
      <c r="D41" s="173"/>
      <c r="E41" s="173" t="e">
        <f t="shared" ref="E41:S41" si="119">+E84/E12</f>
        <v>#DIV/0!</v>
      </c>
      <c r="F41" s="173" t="e">
        <f t="shared" si="119"/>
        <v>#DIV/0!</v>
      </c>
      <c r="G41" s="173" t="e">
        <f t="shared" si="119"/>
        <v>#DIV/0!</v>
      </c>
      <c r="H41" s="203" t="e">
        <f t="shared" si="119"/>
        <v>#DIV/0!</v>
      </c>
      <c r="I41" s="203" t="e">
        <f t="shared" si="119"/>
        <v>#DIV/0!</v>
      </c>
      <c r="J41" s="203" t="e">
        <f t="shared" si="119"/>
        <v>#DIV/0!</v>
      </c>
      <c r="K41" s="203" t="e">
        <f t="shared" si="119"/>
        <v>#DIV/0!</v>
      </c>
      <c r="L41" s="203" t="e">
        <f t="shared" si="119"/>
        <v>#DIV/0!</v>
      </c>
      <c r="M41" s="203" t="e">
        <f t="shared" si="119"/>
        <v>#DIV/0!</v>
      </c>
      <c r="N41" s="203" t="e">
        <f t="shared" si="119"/>
        <v>#DIV/0!</v>
      </c>
      <c r="O41" s="203" t="e">
        <f t="shared" si="119"/>
        <v>#DIV/0!</v>
      </c>
      <c r="P41" s="203" t="e">
        <f t="shared" si="119"/>
        <v>#DIV/0!</v>
      </c>
      <c r="Q41" s="203" t="e">
        <f t="shared" si="119"/>
        <v>#DIV/0!</v>
      </c>
      <c r="R41" s="203" t="e">
        <f t="shared" si="119"/>
        <v>#DIV/0!</v>
      </c>
      <c r="S41" s="203" t="e">
        <f t="shared" si="119"/>
        <v>#DIV/0!</v>
      </c>
      <c r="T41" s="203">
        <f>+IFERROR(T84/T12, 0)</f>
        <v>0</v>
      </c>
      <c r="U41" s="203">
        <f>+IFERROR(U84/U12, 0)</f>
        <v>-2.0920540540540538</v>
      </c>
      <c r="V41" s="203">
        <f>+IFERROR(V84/V12, 0)</f>
        <v>-2.1099607843137256</v>
      </c>
      <c r="W41" s="203">
        <f>+IFERROR(W84/W12, 0)</f>
        <v>0</v>
      </c>
      <c r="X41" s="203">
        <f t="shared" ref="X41:BC41" si="120">+X84/X12</f>
        <v>0.37401818181818186</v>
      </c>
      <c r="Y41" s="203">
        <f t="shared" si="120"/>
        <v>0.85169328263624833</v>
      </c>
      <c r="Z41" s="203">
        <f t="shared" si="120"/>
        <v>0.71395800916730967</v>
      </c>
      <c r="AA41" s="203">
        <f t="shared" si="120"/>
        <v>-0.41206944444444438</v>
      </c>
      <c r="AB41" s="203">
        <f t="shared" si="120"/>
        <v>0.44683870967741934</v>
      </c>
      <c r="AC41" s="572">
        <f t="shared" si="120"/>
        <v>-4.7456790123456855E-2</v>
      </c>
      <c r="AD41" s="204">
        <f t="shared" si="120"/>
        <v>-0.29417671330527068</v>
      </c>
      <c r="AE41" s="205">
        <f t="shared" si="120"/>
        <v>0.68286284562411892</v>
      </c>
      <c r="AF41" s="204">
        <f t="shared" si="120"/>
        <v>0.65848878799284916</v>
      </c>
      <c r="AG41" s="204">
        <f t="shared" si="120"/>
        <v>0.7209219477955775</v>
      </c>
      <c r="AH41" s="204">
        <f t="shared" si="120"/>
        <v>0.66029273407677302</v>
      </c>
      <c r="AI41" s="204">
        <f t="shared" si="120"/>
        <v>0.40918376599749601</v>
      </c>
      <c r="AJ41" s="204">
        <f t="shared" si="120"/>
        <v>0.71926161175202286</v>
      </c>
      <c r="AK41" s="204">
        <f t="shared" si="120"/>
        <v>0.73190621010425905</v>
      </c>
      <c r="AL41" s="204">
        <f t="shared" si="120"/>
        <v>0.71428871168323094</v>
      </c>
      <c r="AM41" s="204">
        <f t="shared" si="120"/>
        <v>0.62777808087041265</v>
      </c>
      <c r="AN41" s="204">
        <f t="shared" si="120"/>
        <v>0.72155399704636569</v>
      </c>
      <c r="AO41" s="204">
        <f t="shared" si="120"/>
        <v>0.69771658935147318</v>
      </c>
      <c r="AP41" s="204">
        <f t="shared" si="120"/>
        <v>0.73203164201370952</v>
      </c>
      <c r="AQ41" s="289">
        <f t="shared" si="120"/>
        <v>0.73657366578737093</v>
      </c>
      <c r="AR41" s="204">
        <f t="shared" si="120"/>
        <v>0.4147796136308034</v>
      </c>
      <c r="AS41" s="204">
        <f t="shared" si="120"/>
        <v>0.45612771333210073</v>
      </c>
      <c r="AT41" s="204">
        <f t="shared" si="120"/>
        <v>0.35735381230665503</v>
      </c>
      <c r="AU41" s="204">
        <f t="shared" si="120"/>
        <v>0.41883926456434523</v>
      </c>
      <c r="AV41" s="204">
        <f t="shared" si="120"/>
        <v>0.45122700468359944</v>
      </c>
      <c r="AW41" s="204">
        <f t="shared" si="120"/>
        <v>0.6344240523486413</v>
      </c>
      <c r="AX41" s="204">
        <f t="shared" si="120"/>
        <v>0.62236586493387891</v>
      </c>
      <c r="AY41" s="204">
        <f t="shared" si="120"/>
        <v>0.38006688459745874</v>
      </c>
      <c r="AZ41" s="204">
        <f t="shared" si="120"/>
        <v>0.47736864139633556</v>
      </c>
      <c r="BA41" s="204">
        <f t="shared" si="120"/>
        <v>0.46929454084298122</v>
      </c>
      <c r="BB41" s="204">
        <f t="shared" si="120"/>
        <v>0.46946261783525478</v>
      </c>
      <c r="BC41" s="289">
        <f t="shared" si="120"/>
        <v>0.47682867968345238</v>
      </c>
      <c r="BD41" s="204">
        <f t="shared" ref="BD41:CI41" si="121">+BD84/BD12</f>
        <v>0.4749243461185782</v>
      </c>
      <c r="BE41" s="204">
        <f t="shared" si="121"/>
        <v>0.50375959390301772</v>
      </c>
      <c r="BF41" s="204">
        <f t="shared" si="121"/>
        <v>0.45222760562303277</v>
      </c>
      <c r="BG41" s="204">
        <f t="shared" si="121"/>
        <v>0.47345564020170278</v>
      </c>
      <c r="BH41" s="204">
        <f t="shared" si="121"/>
        <v>0.49990235229067359</v>
      </c>
      <c r="BI41" s="204">
        <f t="shared" si="121"/>
        <v>0.6101457294075695</v>
      </c>
      <c r="BJ41" s="204">
        <f t="shared" si="121"/>
        <v>0.61096588545493391</v>
      </c>
      <c r="BK41" s="204">
        <f t="shared" si="121"/>
        <v>0.29630754212873867</v>
      </c>
      <c r="BL41" s="204">
        <f t="shared" si="121"/>
        <v>0.40689870836349262</v>
      </c>
      <c r="BM41" s="204">
        <f t="shared" si="121"/>
        <v>0.41210425508833892</v>
      </c>
      <c r="BN41" s="204">
        <f t="shared" si="121"/>
        <v>0.37044991141662398</v>
      </c>
      <c r="BO41" s="289">
        <f t="shared" si="121"/>
        <v>0.40827333278078543</v>
      </c>
      <c r="BP41" s="204">
        <f t="shared" si="121"/>
        <v>0.41241468515443713</v>
      </c>
      <c r="BQ41" s="204">
        <f t="shared" si="121"/>
        <v>0.42622405902747301</v>
      </c>
      <c r="BR41" s="204">
        <f t="shared" si="121"/>
        <v>0.36573605939722731</v>
      </c>
      <c r="BS41" s="204">
        <f t="shared" si="121"/>
        <v>0.43087166180720282</v>
      </c>
      <c r="BT41" s="204">
        <f t="shared" si="121"/>
        <v>0.41420197859954672</v>
      </c>
      <c r="BU41" s="204">
        <f t="shared" si="121"/>
        <v>0.62928545621546039</v>
      </c>
      <c r="BV41" s="204">
        <f t="shared" si="121"/>
        <v>0.64109797290667581</v>
      </c>
      <c r="BW41" s="204">
        <f t="shared" si="121"/>
        <v>0.33649157645499506</v>
      </c>
      <c r="BX41" s="204">
        <f t="shared" si="121"/>
        <v>0.47163523119966894</v>
      </c>
      <c r="BY41" s="204">
        <f t="shared" si="121"/>
        <v>0.45936674383257958</v>
      </c>
      <c r="BZ41" s="204">
        <f t="shared" si="121"/>
        <v>0.44016214814106203</v>
      </c>
      <c r="CA41" s="289">
        <f t="shared" si="121"/>
        <v>0.48176483553673549</v>
      </c>
      <c r="CB41" s="204">
        <f t="shared" si="121"/>
        <v>0.44450968099598753</v>
      </c>
      <c r="CC41" s="204">
        <f t="shared" si="121"/>
        <v>0.48928240759209568</v>
      </c>
      <c r="CD41" s="204">
        <f t="shared" si="121"/>
        <v>0.44160301766013854</v>
      </c>
      <c r="CE41" s="204">
        <f t="shared" si="121"/>
        <v>0.47377524855921327</v>
      </c>
      <c r="CF41" s="204">
        <f t="shared" si="121"/>
        <v>0.46317598227555418</v>
      </c>
      <c r="CG41" s="204">
        <f t="shared" si="121"/>
        <v>0.65554724817972698</v>
      </c>
      <c r="CH41" s="204">
        <f t="shared" si="121"/>
        <v>0.64538262402732793</v>
      </c>
      <c r="CI41" s="204">
        <f t="shared" si="121"/>
        <v>0.38112504482604043</v>
      </c>
      <c r="CJ41" s="204">
        <f t="shared" ref="CJ41:CY41" si="122">+CJ84/CJ12</f>
        <v>0.52597734135268681</v>
      </c>
      <c r="CK41" s="204">
        <f t="shared" si="122"/>
        <v>0.49304023491279292</v>
      </c>
      <c r="CL41" s="204">
        <f t="shared" si="122"/>
        <v>0.49516201641031471</v>
      </c>
      <c r="CM41" s="289">
        <f t="shared" si="122"/>
        <v>0.52448325014394936</v>
      </c>
      <c r="CN41" s="204">
        <f t="shared" si="122"/>
        <v>0.48996230514950045</v>
      </c>
      <c r="CO41" s="204">
        <f t="shared" si="122"/>
        <v>0.53270723874734727</v>
      </c>
      <c r="CP41" s="204">
        <f t="shared" si="122"/>
        <v>0.50517628770676104</v>
      </c>
      <c r="CQ41" s="204">
        <f t="shared" si="122"/>
        <v>0.50574641166267709</v>
      </c>
      <c r="CR41" s="204">
        <f t="shared" si="122"/>
        <v>0.50430705559949507</v>
      </c>
      <c r="CS41" s="204">
        <f t="shared" si="122"/>
        <v>0.67891889203646905</v>
      </c>
      <c r="CT41" s="204">
        <f t="shared" si="122"/>
        <v>0.64719553975422262</v>
      </c>
      <c r="CU41" s="204">
        <f t="shared" si="122"/>
        <v>0.43474914971243361</v>
      </c>
      <c r="CV41" s="204">
        <f t="shared" si="122"/>
        <v>0.55110738428317629</v>
      </c>
      <c r="CW41" s="204">
        <f t="shared" si="122"/>
        <v>0.53039997639803849</v>
      </c>
      <c r="CX41" s="204">
        <f t="shared" si="122"/>
        <v>0.55035109412485583</v>
      </c>
      <c r="CY41" s="205">
        <f t="shared" si="122"/>
        <v>0.54908446574217828</v>
      </c>
    </row>
    <row r="42" spans="1:103" ht="18" x14ac:dyDescent="0.3">
      <c r="A42" s="37"/>
      <c r="B42" s="37"/>
      <c r="C42" s="632" t="s">
        <v>305</v>
      </c>
      <c r="D42" s="173"/>
      <c r="E42" s="173"/>
      <c r="F42" s="173"/>
      <c r="G42" s="17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451">
        <f>+(T39*T15)/12</f>
        <v>0</v>
      </c>
      <c r="U42" s="451">
        <f>+(U39*U15)/12</f>
        <v>30.833333333333332</v>
      </c>
      <c r="V42" s="451">
        <f>+(V39*V15)/12</f>
        <v>42.5</v>
      </c>
      <c r="W42" s="451">
        <f>+(W39*W15)/12</f>
        <v>0</v>
      </c>
      <c r="X42" s="451">
        <f t="shared" ref="X42:BC42" si="123">+(X39*X15)</f>
        <v>618.75</v>
      </c>
      <c r="Y42" s="451">
        <f t="shared" si="123"/>
        <v>103.81578947368421</v>
      </c>
      <c r="Z42" s="451">
        <f t="shared" si="123"/>
        <v>486.45538461538467</v>
      </c>
      <c r="AA42" s="451">
        <f t="shared" si="123"/>
        <v>720</v>
      </c>
      <c r="AB42" s="451">
        <f t="shared" si="123"/>
        <v>639.375</v>
      </c>
      <c r="AC42" s="573">
        <f t="shared" si="123"/>
        <v>347.14285714285711</v>
      </c>
      <c r="AD42" s="452">
        <f t="shared" si="123"/>
        <v>1350.8965517241379</v>
      </c>
      <c r="AE42" s="454">
        <f t="shared" si="123"/>
        <v>2201.6645489199486</v>
      </c>
      <c r="AF42" s="452">
        <f t="shared" si="123"/>
        <v>2993.8504160190182</v>
      </c>
      <c r="AG42" s="452">
        <f t="shared" si="123"/>
        <v>3531.5632526964278</v>
      </c>
      <c r="AH42" s="452">
        <f t="shared" si="123"/>
        <v>4471.7159182436562</v>
      </c>
      <c r="AI42" s="452">
        <f t="shared" si="123"/>
        <v>4041.1810499689004</v>
      </c>
      <c r="AJ42" s="452">
        <f t="shared" si="123"/>
        <v>4221.1245979463201</v>
      </c>
      <c r="AK42" s="452">
        <f t="shared" si="123"/>
        <v>4325.9585140116733</v>
      </c>
      <c r="AL42" s="452">
        <f t="shared" si="123"/>
        <v>4526.2738241448396</v>
      </c>
      <c r="AM42" s="452">
        <f t="shared" si="123"/>
        <v>3419.5094420572132</v>
      </c>
      <c r="AN42" s="452">
        <f t="shared" si="123"/>
        <v>5039.2073107854703</v>
      </c>
      <c r="AO42" s="452">
        <f t="shared" si="123"/>
        <v>5228.2786434724349</v>
      </c>
      <c r="AP42" s="452">
        <f t="shared" si="123"/>
        <v>6591.7031846832942</v>
      </c>
      <c r="AQ42" s="453">
        <f t="shared" si="123"/>
        <v>5333.5687462355399</v>
      </c>
      <c r="AR42" s="452">
        <f t="shared" si="123"/>
        <v>5415.5432503244001</v>
      </c>
      <c r="AS42" s="452">
        <f t="shared" si="123"/>
        <v>5530.6209098811978</v>
      </c>
      <c r="AT42" s="452">
        <f t="shared" si="123"/>
        <v>7044.5659542757348</v>
      </c>
      <c r="AU42" s="452">
        <f t="shared" si="123"/>
        <v>5491.00655967475</v>
      </c>
      <c r="AV42" s="452">
        <f t="shared" si="123"/>
        <v>5586.5966224568747</v>
      </c>
      <c r="AW42" s="452">
        <f t="shared" si="123"/>
        <v>5627.890321140505</v>
      </c>
      <c r="AX42" s="452">
        <f t="shared" si="123"/>
        <v>5861.8358866654826</v>
      </c>
      <c r="AY42" s="452">
        <f t="shared" si="123"/>
        <v>4397.5405903302681</v>
      </c>
      <c r="AZ42" s="452">
        <f t="shared" si="123"/>
        <v>6413.5485114622752</v>
      </c>
      <c r="BA42" s="452">
        <f t="shared" si="123"/>
        <v>6613.2666299494604</v>
      </c>
      <c r="BB42" s="452">
        <f t="shared" si="123"/>
        <v>8320.7555512055806</v>
      </c>
      <c r="BC42" s="453">
        <f t="shared" si="123"/>
        <v>6723.5263435743936</v>
      </c>
      <c r="BD42" s="452">
        <f t="shared" ref="BD42:CI42" si="124">+(BD39*BD15)</f>
        <v>6802.814390145677</v>
      </c>
      <c r="BE42" s="452">
        <f t="shared" si="124"/>
        <v>6992.4857425558366</v>
      </c>
      <c r="BF42" s="452">
        <f t="shared" si="124"/>
        <v>8780.329886163634</v>
      </c>
      <c r="BG42" s="452">
        <f t="shared" si="124"/>
        <v>7092.1288456774282</v>
      </c>
      <c r="BH42" s="452">
        <f t="shared" si="124"/>
        <v>7168.4460491795371</v>
      </c>
      <c r="BI42" s="452">
        <f t="shared" si="124"/>
        <v>7279.6552431158952</v>
      </c>
      <c r="BJ42" s="452">
        <f t="shared" si="124"/>
        <v>7546.336267416953</v>
      </c>
      <c r="BK42" s="452">
        <f t="shared" si="124"/>
        <v>5624.7953316612911</v>
      </c>
      <c r="BL42" s="452">
        <f t="shared" si="124"/>
        <v>8134.898251813539</v>
      </c>
      <c r="BM42" s="452">
        <f t="shared" si="124"/>
        <v>8363.3110753657656</v>
      </c>
      <c r="BN42" s="452">
        <f t="shared" si="124"/>
        <v>10513.97923224033</v>
      </c>
      <c r="BO42" s="453">
        <f t="shared" si="124"/>
        <v>8540.7961962026984</v>
      </c>
      <c r="BP42" s="452">
        <f t="shared" si="124"/>
        <v>8667.6097522696891</v>
      </c>
      <c r="BQ42" s="452">
        <f t="shared" si="124"/>
        <v>8824.9971772526897</v>
      </c>
      <c r="BR42" s="452">
        <f t="shared" si="124"/>
        <v>11097.578223853952</v>
      </c>
      <c r="BS42" s="452">
        <f t="shared" si="124"/>
        <v>8931.6961157287533</v>
      </c>
      <c r="BT42" s="452">
        <f t="shared" si="124"/>
        <v>9042.8050669181503</v>
      </c>
      <c r="BU42" s="452">
        <f t="shared" si="124"/>
        <v>9187.5758975538229</v>
      </c>
      <c r="BV42" s="452">
        <f t="shared" si="124"/>
        <v>9520.8649033459515</v>
      </c>
      <c r="BW42" s="452">
        <f t="shared" si="124"/>
        <v>7052.526510512077</v>
      </c>
      <c r="BX42" s="452">
        <f t="shared" si="124"/>
        <v>10239.263758552519</v>
      </c>
      <c r="BY42" s="452">
        <f t="shared" si="124"/>
        <v>10616.905292898569</v>
      </c>
      <c r="BZ42" s="452">
        <f t="shared" si="124"/>
        <v>13273.043144708363</v>
      </c>
      <c r="CA42" s="453">
        <f t="shared" si="124"/>
        <v>10728.371648713584</v>
      </c>
      <c r="CB42" s="452">
        <f t="shared" si="124"/>
        <v>10880.128819162832</v>
      </c>
      <c r="CC42" s="452">
        <f t="shared" si="124"/>
        <v>11140.102991379077</v>
      </c>
      <c r="CD42" s="452">
        <f t="shared" si="124"/>
        <v>13952.461569027306</v>
      </c>
      <c r="CE42" s="452">
        <f t="shared" si="124"/>
        <v>11266.731306726555</v>
      </c>
      <c r="CF42" s="452">
        <f t="shared" si="124"/>
        <v>11333.687059300213</v>
      </c>
      <c r="CG42" s="452">
        <f t="shared" si="124"/>
        <v>11539.565661622462</v>
      </c>
      <c r="CH42" s="452">
        <f t="shared" si="124"/>
        <v>12015.346096648598</v>
      </c>
      <c r="CI42" s="452">
        <f t="shared" si="124"/>
        <v>8867.462459247794</v>
      </c>
      <c r="CJ42" s="452">
        <f t="shared" ref="CJ42:CY42" si="125">+(CJ39*CJ15)</f>
        <v>12897.634658839901</v>
      </c>
      <c r="CK42" s="452">
        <f t="shared" si="125"/>
        <v>13347.987088496289</v>
      </c>
      <c r="CL42" s="452">
        <f t="shared" si="125"/>
        <v>16688.246110792927</v>
      </c>
      <c r="CM42" s="453">
        <f t="shared" si="125"/>
        <v>13565.627157070903</v>
      </c>
      <c r="CN42" s="452">
        <f t="shared" si="125"/>
        <v>13845.150036530244</v>
      </c>
      <c r="CO42" s="452">
        <f t="shared" si="125"/>
        <v>14153.203911764331</v>
      </c>
      <c r="CP42" s="452">
        <f t="shared" si="125"/>
        <v>17772.54760770284</v>
      </c>
      <c r="CQ42" s="452">
        <f t="shared" si="125"/>
        <v>14189.351634014401</v>
      </c>
      <c r="CR42" s="452">
        <f t="shared" si="125"/>
        <v>14344.022834566504</v>
      </c>
      <c r="CS42" s="452">
        <f t="shared" si="125"/>
        <v>14710.286831034813</v>
      </c>
      <c r="CT42" s="452">
        <f t="shared" si="125"/>
        <v>15303.246831054983</v>
      </c>
      <c r="CU42" s="452">
        <f t="shared" si="125"/>
        <v>11261.42699399193</v>
      </c>
      <c r="CV42" s="452">
        <f t="shared" si="125"/>
        <v>16374.131790273806</v>
      </c>
      <c r="CW42" s="452">
        <f t="shared" si="125"/>
        <v>16932.458461816314</v>
      </c>
      <c r="CX42" s="452">
        <f t="shared" si="125"/>
        <v>21192.884037332929</v>
      </c>
      <c r="CY42" s="454">
        <f t="shared" si="125"/>
        <v>17208.439065937713</v>
      </c>
    </row>
    <row r="43" spans="1:103" ht="18" x14ac:dyDescent="0.3">
      <c r="A43" s="37"/>
      <c r="B43" s="37"/>
      <c r="C43" s="632" t="s">
        <v>218</v>
      </c>
      <c r="D43" s="27"/>
      <c r="E43" s="27" t="e">
        <f>+AVERAGE(E41*E40,D41*D40,#REF! *#REF!)</f>
        <v>#DIV/0!</v>
      </c>
      <c r="F43" s="27" t="e">
        <f t="shared" ref="F43:L43" si="126">+AVERAGE(F41*F40,E41*E40, D41*D40)</f>
        <v>#DIV/0!</v>
      </c>
      <c r="G43" s="27" t="e">
        <f t="shared" si="126"/>
        <v>#DIV/0!</v>
      </c>
      <c r="H43" s="27" t="e">
        <f t="shared" si="126"/>
        <v>#DIV/0!</v>
      </c>
      <c r="I43" s="27" t="e">
        <f t="shared" si="126"/>
        <v>#DIV/0!</v>
      </c>
      <c r="J43" s="27" t="e">
        <f t="shared" si="126"/>
        <v>#DIV/0!</v>
      </c>
      <c r="K43" s="27" t="e">
        <f t="shared" si="126"/>
        <v>#DIV/0!</v>
      </c>
      <c r="L43" s="27" t="e">
        <f t="shared" si="126"/>
        <v>#DIV/0!</v>
      </c>
      <c r="M43" s="27" t="e">
        <f t="shared" ref="M43:AC43" si="127">+AVERAGE(M41*M40,L41*L40, K41*K40)</f>
        <v>#DIV/0!</v>
      </c>
      <c r="N43" s="27" t="e">
        <f t="shared" si="127"/>
        <v>#DIV/0!</v>
      </c>
      <c r="O43" s="27" t="e">
        <f t="shared" si="127"/>
        <v>#DIV/0!</v>
      </c>
      <c r="P43" s="27" t="e">
        <f t="shared" si="127"/>
        <v>#DIV/0!</v>
      </c>
      <c r="Q43" s="27" t="e">
        <f t="shared" si="127"/>
        <v>#DIV/0!</v>
      </c>
      <c r="R43" s="27" t="e">
        <f t="shared" si="127"/>
        <v>#DIV/0!</v>
      </c>
      <c r="S43" s="27" t="e">
        <f t="shared" si="127"/>
        <v>#DIV/0!</v>
      </c>
      <c r="T43" s="27">
        <f>+IFERROR(AVERAGE(T41*T40,S41*S40, R41*R40), 0)</f>
        <v>0</v>
      </c>
      <c r="U43" s="27">
        <f t="shared" ref="U43" si="128">+IFERROR(AVERAGE(U41*U40,T41*T40, S41*S40), 0)</f>
        <v>0</v>
      </c>
      <c r="V43" s="27">
        <f>+AVERAGE(V41*V40,U41*U40, T41*T40)</f>
        <v>0</v>
      </c>
      <c r="W43" s="27">
        <f t="shared" si="127"/>
        <v>0</v>
      </c>
      <c r="X43" s="27">
        <f t="shared" si="127"/>
        <v>0</v>
      </c>
      <c r="Y43" s="27">
        <f>+AVERAGE(Y41*Y40,X41*X40, W41*W40)</f>
        <v>88.41921052631578</v>
      </c>
      <c r="Z43" s="27">
        <f t="shared" si="127"/>
        <v>358.54821337531865</v>
      </c>
      <c r="AA43" s="27">
        <f t="shared" si="127"/>
        <v>259.65154670865201</v>
      </c>
      <c r="AB43" s="27">
        <f t="shared" si="127"/>
        <v>266.46483618233623</v>
      </c>
      <c r="AC43" s="570">
        <f t="shared" si="127"/>
        <v>-7.1587121212121092</v>
      </c>
      <c r="AD43" s="28">
        <f t="shared" ref="AD43:BD43" si="129">+AVERAGE(AD41*AD40,AC41*AC40, AB41*AB40)</f>
        <v>35.878192432775556</v>
      </c>
      <c r="AE43" s="29">
        <f t="shared" si="129"/>
        <v>71.737426773788613</v>
      </c>
      <c r="AF43" s="28">
        <f t="shared" si="129"/>
        <v>215.23601535727809</v>
      </c>
      <c r="AG43" s="28">
        <f t="shared" si="129"/>
        <v>433.79196201745316</v>
      </c>
      <c r="AH43" s="28">
        <f t="shared" si="129"/>
        <v>480.68587469679386</v>
      </c>
      <c r="AI43" s="28">
        <f t="shared" si="129"/>
        <v>437.08099745806584</v>
      </c>
      <c r="AJ43" s="28">
        <f t="shared" si="129"/>
        <v>442.19784608736057</v>
      </c>
      <c r="AK43" s="28">
        <f t="shared" si="129"/>
        <v>433.93346052872852</v>
      </c>
      <c r="AL43" s="28">
        <f t="shared" si="129"/>
        <v>502.5442267458136</v>
      </c>
      <c r="AM43" s="28">
        <f t="shared" si="129"/>
        <v>438.15688828643039</v>
      </c>
      <c r="AN43" s="28">
        <f t="shared" si="129"/>
        <v>437.92096462495539</v>
      </c>
      <c r="AO43" s="28">
        <f t="shared" si="129"/>
        <v>439.69213336464367</v>
      </c>
      <c r="AP43" s="28">
        <f t="shared" si="129"/>
        <v>554.3777071801411</v>
      </c>
      <c r="AQ43" s="286">
        <f t="shared" si="129"/>
        <v>561.26718245735037</v>
      </c>
      <c r="AR43" s="28">
        <f t="shared" si="129"/>
        <v>492.30091824509032</v>
      </c>
      <c r="AS43" s="28">
        <f t="shared" si="129"/>
        <v>384.93686261790282</v>
      </c>
      <c r="AT43" s="28">
        <f t="shared" si="129"/>
        <v>319.62142758789145</v>
      </c>
      <c r="AU43" s="28">
        <f t="shared" si="129"/>
        <v>320.93671329463274</v>
      </c>
      <c r="AV43" s="28">
        <f t="shared" si="129"/>
        <v>317.36652409317691</v>
      </c>
      <c r="AW43" s="28">
        <f t="shared" si="129"/>
        <v>353.16683746961115</v>
      </c>
      <c r="AX43" s="28">
        <f t="shared" si="129"/>
        <v>397.73893793153974</v>
      </c>
      <c r="AY43" s="28">
        <f t="shared" si="129"/>
        <v>353.318634826954</v>
      </c>
      <c r="AZ43" s="28">
        <f t="shared" si="129"/>
        <v>318.28115920320766</v>
      </c>
      <c r="BA43" s="28">
        <f t="shared" si="129"/>
        <v>286.10721802397234</v>
      </c>
      <c r="BB43" s="28">
        <f t="shared" si="129"/>
        <v>362.3810249006815</v>
      </c>
      <c r="BC43" s="286">
        <f t="shared" si="129"/>
        <v>364.01253653732118</v>
      </c>
      <c r="BD43" s="28">
        <f t="shared" si="129"/>
        <v>364.06593631079949</v>
      </c>
      <c r="BE43" s="28">
        <f t="shared" ref="BE43:BZ43" si="130">+AVERAGE(BE41*BE40,BD41*BD40, BC41*BC40)</f>
        <v>344.96010713762035</v>
      </c>
      <c r="BF43" s="28">
        <f t="shared" si="130"/>
        <v>365.5445027341637</v>
      </c>
      <c r="BG43" s="28">
        <f t="shared" si="130"/>
        <v>366.73847703885787</v>
      </c>
      <c r="BH43" s="28">
        <f t="shared" si="130"/>
        <v>364.44310187982734</v>
      </c>
      <c r="BI43" s="28">
        <f t="shared" si="130"/>
        <v>371.50506556365525</v>
      </c>
      <c r="BJ43" s="28">
        <f t="shared" si="130"/>
        <v>399.7800120601762</v>
      </c>
      <c r="BK43" s="28">
        <f t="shared" si="130"/>
        <v>331.15258835435822</v>
      </c>
      <c r="BL43" s="28">
        <f t="shared" si="130"/>
        <v>285.14949805348795</v>
      </c>
      <c r="BM43" s="28">
        <f t="shared" si="130"/>
        <v>241.77809482545365</v>
      </c>
      <c r="BN43" s="28">
        <f t="shared" si="130"/>
        <v>302.27380021477325</v>
      </c>
      <c r="BO43" s="286">
        <f t="shared" si="130"/>
        <v>303.12477075570206</v>
      </c>
      <c r="BP43" s="28">
        <f t="shared" si="130"/>
        <v>302.56843154545243</v>
      </c>
      <c r="BQ43" s="28">
        <f t="shared" si="130"/>
        <v>294.50273258201537</v>
      </c>
      <c r="BR43" s="28">
        <f t="shared" si="130"/>
        <v>307.5155462309728</v>
      </c>
      <c r="BS43" s="28">
        <f t="shared" si="130"/>
        <v>311.80025665255783</v>
      </c>
      <c r="BT43" s="28">
        <f t="shared" si="130"/>
        <v>307.98495798123434</v>
      </c>
      <c r="BU43" s="28">
        <f t="shared" si="130"/>
        <v>344.21048643797491</v>
      </c>
      <c r="BV43" s="28">
        <f t="shared" si="130"/>
        <v>390.61921505711308</v>
      </c>
      <c r="BW43" s="28">
        <f t="shared" si="130"/>
        <v>348.48045483093489</v>
      </c>
      <c r="BX43" s="28">
        <f t="shared" si="130"/>
        <v>312.39021538413886</v>
      </c>
      <c r="BY43" s="28">
        <f t="shared" si="130"/>
        <v>272.5704969262963</v>
      </c>
      <c r="BZ43" s="28">
        <f t="shared" si="130"/>
        <v>346.64611946923827</v>
      </c>
      <c r="CA43" s="286">
        <f t="shared" ref="CA43:CY43" si="131">+AVERAGE(CA41*CA40,BZ41*BZ40, BY41*BY40)</f>
        <v>350.75309833182729</v>
      </c>
      <c r="CB43" s="28">
        <f t="shared" si="131"/>
        <v>346.5527038796975</v>
      </c>
      <c r="CC43" s="28">
        <f t="shared" si="131"/>
        <v>332.58540319552219</v>
      </c>
      <c r="CD43" s="28">
        <f t="shared" si="131"/>
        <v>349.11348905858478</v>
      </c>
      <c r="CE43" s="28">
        <f t="shared" si="131"/>
        <v>357.23139165477852</v>
      </c>
      <c r="CF43" s="28">
        <f t="shared" si="131"/>
        <v>350.06583899469791</v>
      </c>
      <c r="CG43" s="28">
        <f t="shared" si="131"/>
        <v>371.47605238201686</v>
      </c>
      <c r="CH43" s="28">
        <f t="shared" si="131"/>
        <v>408.02899590577653</v>
      </c>
      <c r="CI43" s="28">
        <f t="shared" si="131"/>
        <v>362.03396356479396</v>
      </c>
      <c r="CJ43" s="28">
        <f t="shared" si="131"/>
        <v>332.28676908798326</v>
      </c>
      <c r="CK43" s="28">
        <f t="shared" si="131"/>
        <v>299.41996838861945</v>
      </c>
      <c r="CL43" s="28">
        <f t="shared" si="131"/>
        <v>382.07331172528779</v>
      </c>
      <c r="CM43" s="286">
        <f t="shared" si="131"/>
        <v>382.98218842215056</v>
      </c>
      <c r="CN43" s="28">
        <f t="shared" si="131"/>
        <v>381.38281329787407</v>
      </c>
      <c r="CO43" s="28">
        <f t="shared" si="131"/>
        <v>362.58777499520119</v>
      </c>
      <c r="CP43" s="28">
        <f t="shared" si="131"/>
        <v>390.36847339196311</v>
      </c>
      <c r="CQ43" s="28">
        <f t="shared" si="131"/>
        <v>394.99635978682682</v>
      </c>
      <c r="CR43" s="28">
        <f t="shared" si="131"/>
        <v>386.34308730433054</v>
      </c>
      <c r="CS43" s="28">
        <f t="shared" si="131"/>
        <v>392.55799851728079</v>
      </c>
      <c r="CT43" s="28">
        <f t="shared" si="131"/>
        <v>422.77832051925037</v>
      </c>
      <c r="CU43" s="28">
        <f t="shared" si="131"/>
        <v>376.38861036668385</v>
      </c>
      <c r="CV43" s="28">
        <f t="shared" si="131"/>
        <v>346.76996625738087</v>
      </c>
      <c r="CW43" s="28">
        <f t="shared" si="131"/>
        <v>322.41405802602964</v>
      </c>
      <c r="CX43" s="28">
        <f t="shared" si="131"/>
        <v>411.64170812046319</v>
      </c>
      <c r="CY43" s="29">
        <f t="shared" si="131"/>
        <v>413.32498734941464</v>
      </c>
    </row>
    <row r="44" spans="1:103" ht="18" x14ac:dyDescent="0.3">
      <c r="A44" s="37"/>
      <c r="B44" s="37"/>
      <c r="C44" s="632" t="s">
        <v>217</v>
      </c>
      <c r="D44" s="27"/>
      <c r="E44" s="27">
        <f>+AVERAGE(D80:E80)</f>
        <v>0</v>
      </c>
      <c r="F44" s="27">
        <f t="shared" ref="F44" si="132">+AVERAGE(D80:F80)</f>
        <v>0</v>
      </c>
      <c r="G44" s="27">
        <f t="shared" ref="G44" si="133">+AVERAGE(E80:G80)</f>
        <v>0</v>
      </c>
      <c r="H44" s="27">
        <f t="shared" ref="H44" si="134">+AVERAGE(F80:H80)</f>
        <v>0</v>
      </c>
      <c r="I44" s="27">
        <f t="shared" ref="I44" si="135">+AVERAGE(G80:I80)</f>
        <v>0</v>
      </c>
      <c r="J44" s="27">
        <f t="shared" ref="J44" si="136">+AVERAGE(H80:J80)</f>
        <v>0</v>
      </c>
      <c r="K44" s="27">
        <f t="shared" ref="K44" si="137">+AVERAGE(I80:K80)</f>
        <v>0</v>
      </c>
      <c r="L44" s="27">
        <f t="shared" ref="L44" si="138">+AVERAGE(J80:L80)</f>
        <v>0</v>
      </c>
      <c r="M44" s="27">
        <f t="shared" ref="M44:AQ44" si="139">+AVERAGE(K80:M80)</f>
        <v>0</v>
      </c>
      <c r="N44" s="27">
        <f t="shared" si="139"/>
        <v>0</v>
      </c>
      <c r="O44" s="27">
        <f t="shared" si="139"/>
        <v>0</v>
      </c>
      <c r="P44" s="27">
        <f t="shared" si="139"/>
        <v>0</v>
      </c>
      <c r="Q44" s="27">
        <f t="shared" si="139"/>
        <v>0</v>
      </c>
      <c r="R44" s="27">
        <f t="shared" si="139"/>
        <v>0</v>
      </c>
      <c r="S44" s="27">
        <f t="shared" si="139"/>
        <v>0</v>
      </c>
      <c r="T44" s="27">
        <f t="shared" si="139"/>
        <v>190.38</v>
      </c>
      <c r="U44" s="27">
        <f t="shared" si="139"/>
        <v>571.73333333333323</v>
      </c>
      <c r="V44" s="27">
        <f t="shared" si="139"/>
        <v>1100.4266666666665</v>
      </c>
      <c r="W44" s="27">
        <f t="shared" si="139"/>
        <v>1264.7833333333335</v>
      </c>
      <c r="X44" s="27">
        <f t="shared" si="139"/>
        <v>1227.72</v>
      </c>
      <c r="Y44" s="27">
        <f t="shared" si="139"/>
        <v>894.05000000000007</v>
      </c>
      <c r="Z44" s="27">
        <f t="shared" si="139"/>
        <v>991.54</v>
      </c>
      <c r="AA44" s="27">
        <f t="shared" si="139"/>
        <v>986.14666666666665</v>
      </c>
      <c r="AB44" s="27">
        <f t="shared" si="139"/>
        <v>1105.5033333333333</v>
      </c>
      <c r="AC44" s="570">
        <f t="shared" si="139"/>
        <v>931.42333333333329</v>
      </c>
      <c r="AD44" s="28">
        <f t="shared" si="139"/>
        <v>1602.2790144668131</v>
      </c>
      <c r="AE44" s="29">
        <f t="shared" si="139"/>
        <v>1668.8225010225008</v>
      </c>
      <c r="AF44" s="28">
        <f t="shared" si="139"/>
        <v>1832.3267412785628</v>
      </c>
      <c r="AG44" s="28">
        <f t="shared" si="139"/>
        <v>1220.1921344689672</v>
      </c>
      <c r="AH44" s="28">
        <f t="shared" si="139"/>
        <v>1219.4343049476031</v>
      </c>
      <c r="AI44" s="28">
        <f t="shared" si="139"/>
        <v>1898.2924198625976</v>
      </c>
      <c r="AJ44" s="28">
        <f t="shared" si="139"/>
        <v>1908.8610717246738</v>
      </c>
      <c r="AK44" s="28">
        <f t="shared" si="139"/>
        <v>2159.4037020916344</v>
      </c>
      <c r="AL44" s="28">
        <f t="shared" si="139"/>
        <v>1735.4834660381123</v>
      </c>
      <c r="AM44" s="28">
        <f t="shared" si="139"/>
        <v>1773.9271056737227</v>
      </c>
      <c r="AN44" s="28">
        <f t="shared" si="139"/>
        <v>1568.417662572818</v>
      </c>
      <c r="AO44" s="28">
        <f t="shared" si="139"/>
        <v>1348.3304043327043</v>
      </c>
      <c r="AP44" s="28">
        <f t="shared" si="139"/>
        <v>1303.5234966437729</v>
      </c>
      <c r="AQ44" s="286">
        <f t="shared" si="139"/>
        <v>1306.9019419835211</v>
      </c>
      <c r="AR44" s="28">
        <f t="shared" ref="AR44:BW44" si="140">+AVERAGE(AP80:AR80)</f>
        <v>2145.8515669712142</v>
      </c>
      <c r="AS44" s="28">
        <f t="shared" si="140"/>
        <v>3008.4172178330878</v>
      </c>
      <c r="AT44" s="28">
        <f t="shared" si="140"/>
        <v>3817.1249404284777</v>
      </c>
      <c r="AU44" s="28">
        <f t="shared" si="140"/>
        <v>3818.38367947491</v>
      </c>
      <c r="AV44" s="28">
        <f t="shared" si="140"/>
        <v>3822.6275148920517</v>
      </c>
      <c r="AW44" s="28">
        <f t="shared" si="140"/>
        <v>4136.0610330333184</v>
      </c>
      <c r="AX44" s="28">
        <f t="shared" si="140"/>
        <v>4439.9759421159724</v>
      </c>
      <c r="AY44" s="28">
        <f t="shared" si="140"/>
        <v>4481.0129733073109</v>
      </c>
      <c r="AZ44" s="28">
        <f t="shared" si="140"/>
        <v>4218.8940025493202</v>
      </c>
      <c r="BA44" s="28">
        <f t="shared" si="140"/>
        <v>3938.2874756119236</v>
      </c>
      <c r="BB44" s="28">
        <f t="shared" si="140"/>
        <v>3887.1507713201986</v>
      </c>
      <c r="BC44" s="286">
        <f t="shared" si="140"/>
        <v>3890.9243579161571</v>
      </c>
      <c r="BD44" s="28">
        <f t="shared" si="140"/>
        <v>3897.0125434004444</v>
      </c>
      <c r="BE44" s="28">
        <f t="shared" si="140"/>
        <v>3935.8868161212645</v>
      </c>
      <c r="BF44" s="28">
        <f t="shared" si="140"/>
        <v>3908.0230011417971</v>
      </c>
      <c r="BG44" s="28">
        <f t="shared" si="140"/>
        <v>3911.5653810149447</v>
      </c>
      <c r="BH44" s="28">
        <f t="shared" si="140"/>
        <v>3917.5148424655454</v>
      </c>
      <c r="BI44" s="28">
        <f t="shared" si="140"/>
        <v>4813.7523830525488</v>
      </c>
      <c r="BJ44" s="28">
        <f t="shared" si="140"/>
        <v>5698.7671599984242</v>
      </c>
      <c r="BK44" s="28">
        <f t="shared" si="140"/>
        <v>6242.5153301104083</v>
      </c>
      <c r="BL44" s="28">
        <f t="shared" si="140"/>
        <v>5908.158816162515</v>
      </c>
      <c r="BM44" s="28">
        <f t="shared" si="140"/>
        <v>5551.2492778432133</v>
      </c>
      <c r="BN44" s="28">
        <f t="shared" si="140"/>
        <v>5491.9270542376034</v>
      </c>
      <c r="BO44" s="286">
        <f t="shared" si="140"/>
        <v>5498.2696755299403</v>
      </c>
      <c r="BP44" s="28">
        <f t="shared" si="140"/>
        <v>5506.4024441382016</v>
      </c>
      <c r="BQ44" s="28">
        <f t="shared" si="140"/>
        <v>5555.0907700916368</v>
      </c>
      <c r="BR44" s="28">
        <f t="shared" si="140"/>
        <v>5516.7122958713671</v>
      </c>
      <c r="BS44" s="28">
        <f t="shared" si="140"/>
        <v>5521.5268589459729</v>
      </c>
      <c r="BT44" s="28">
        <f t="shared" si="140"/>
        <v>5528.7427926235941</v>
      </c>
      <c r="BU44" s="28">
        <f t="shared" si="140"/>
        <v>6030.6998736089472</v>
      </c>
      <c r="BV44" s="28">
        <f t="shared" si="140"/>
        <v>6516.4877267406437</v>
      </c>
      <c r="BW44" s="28">
        <f t="shared" si="140"/>
        <v>6564.7682206128857</v>
      </c>
      <c r="BX44" s="28">
        <f t="shared" ref="BX44:CY44" si="141">+AVERAGE(BV80:BX80)</f>
        <v>6142.9308715059715</v>
      </c>
      <c r="BY44" s="28">
        <f t="shared" si="141"/>
        <v>5693.9104776899176</v>
      </c>
      <c r="BZ44" s="28">
        <f t="shared" si="141"/>
        <v>5627.0014009166871</v>
      </c>
      <c r="CA44" s="286">
        <f t="shared" si="141"/>
        <v>5632.9513853725957</v>
      </c>
      <c r="CB44" s="28">
        <f t="shared" si="141"/>
        <v>5641.0833809552023</v>
      </c>
      <c r="CC44" s="28">
        <f t="shared" si="141"/>
        <v>5703.3230812054535</v>
      </c>
      <c r="CD44" s="28">
        <f t="shared" si="141"/>
        <v>5657.3432234577631</v>
      </c>
      <c r="CE44" s="28">
        <f t="shared" si="141"/>
        <v>5662.1589613249753</v>
      </c>
      <c r="CF44" s="28">
        <f t="shared" si="141"/>
        <v>5669.7781297230795</v>
      </c>
      <c r="CG44" s="28">
        <f t="shared" si="141"/>
        <v>6300.7531577604532</v>
      </c>
      <c r="CH44" s="28">
        <f t="shared" si="141"/>
        <v>6915.68357302596</v>
      </c>
      <c r="CI44" s="28">
        <f t="shared" si="141"/>
        <v>6970.7854899032909</v>
      </c>
      <c r="CJ44" s="28">
        <f t="shared" si="141"/>
        <v>6439.2256809491164</v>
      </c>
      <c r="CK44" s="28">
        <f t="shared" si="141"/>
        <v>5871.1640745574114</v>
      </c>
      <c r="CL44" s="28">
        <f t="shared" si="141"/>
        <v>5792.6260787012288</v>
      </c>
      <c r="CM44" s="286">
        <f t="shared" si="141"/>
        <v>5802.2657525976692</v>
      </c>
      <c r="CN44" s="28">
        <f t="shared" si="141"/>
        <v>5815.6976239889582</v>
      </c>
      <c r="CO44" s="28">
        <f t="shared" si="141"/>
        <v>5894.8703527590878</v>
      </c>
      <c r="CP44" s="28">
        <f t="shared" si="141"/>
        <v>5834.0599175847201</v>
      </c>
      <c r="CQ44" s="28">
        <f t="shared" si="141"/>
        <v>5838.4304357391857</v>
      </c>
      <c r="CR44" s="28">
        <f t="shared" si="141"/>
        <v>5848.9691669152353</v>
      </c>
      <c r="CS44" s="28">
        <f t="shared" si="141"/>
        <v>6649.8527753335002</v>
      </c>
      <c r="CT44" s="28">
        <f t="shared" si="141"/>
        <v>7428.791732083012</v>
      </c>
      <c r="CU44" s="28">
        <f t="shared" si="141"/>
        <v>7491.8033558826291</v>
      </c>
      <c r="CV44" s="28">
        <f t="shared" si="141"/>
        <v>6819.77672952798</v>
      </c>
      <c r="CW44" s="28">
        <f t="shared" si="141"/>
        <v>6100.0045748416242</v>
      </c>
      <c r="CX44" s="28">
        <f t="shared" si="141"/>
        <v>6008.8262284755101</v>
      </c>
      <c r="CY44" s="29">
        <f t="shared" si="141"/>
        <v>6018.9658331180772</v>
      </c>
    </row>
    <row r="45" spans="1:103" ht="18" x14ac:dyDescent="0.3">
      <c r="A45" s="37"/>
      <c r="B45" s="37"/>
      <c r="C45" s="632" t="s">
        <v>215</v>
      </c>
      <c r="D45" s="182"/>
      <c r="E45" s="182" t="e">
        <f t="shared" ref="E45:L45" si="142">+E43/E44</f>
        <v>#DIV/0!</v>
      </c>
      <c r="F45" s="182" t="e">
        <f t="shared" si="142"/>
        <v>#DIV/0!</v>
      </c>
      <c r="G45" s="182" t="e">
        <f t="shared" si="142"/>
        <v>#DIV/0!</v>
      </c>
      <c r="H45" s="182" t="e">
        <f t="shared" si="142"/>
        <v>#DIV/0!</v>
      </c>
      <c r="I45" s="182" t="e">
        <f t="shared" si="142"/>
        <v>#DIV/0!</v>
      </c>
      <c r="J45" s="182" t="e">
        <f t="shared" si="142"/>
        <v>#DIV/0!</v>
      </c>
      <c r="K45" s="182" t="e">
        <f t="shared" si="142"/>
        <v>#DIV/0!</v>
      </c>
      <c r="L45" s="182" t="e">
        <f t="shared" si="142"/>
        <v>#DIV/0!</v>
      </c>
      <c r="M45" s="183" t="e">
        <f t="shared" ref="M45:BX45" si="143">+M43/M44</f>
        <v>#DIV/0!</v>
      </c>
      <c r="N45" s="183" t="e">
        <f t="shared" si="143"/>
        <v>#DIV/0!</v>
      </c>
      <c r="O45" s="183" t="e">
        <f t="shared" si="143"/>
        <v>#DIV/0!</v>
      </c>
      <c r="P45" s="183" t="e">
        <f t="shared" ref="P45:Q45" si="144">+P43/P44</f>
        <v>#DIV/0!</v>
      </c>
      <c r="Q45" s="183" t="e">
        <f t="shared" si="144"/>
        <v>#DIV/0!</v>
      </c>
      <c r="R45" s="183" t="e">
        <f t="shared" ref="R45:S45" si="145">+R43/R44</f>
        <v>#DIV/0!</v>
      </c>
      <c r="S45" s="183" t="e">
        <f t="shared" si="145"/>
        <v>#DIV/0!</v>
      </c>
      <c r="T45" s="183">
        <f>+IFERROR(T43/T44, 0)</f>
        <v>0</v>
      </c>
      <c r="U45" s="183">
        <f t="shared" ref="U45" si="146">+U43/U44</f>
        <v>0</v>
      </c>
      <c r="V45" s="183">
        <f t="shared" ref="V45:W45" si="147">+V43/V44</f>
        <v>0</v>
      </c>
      <c r="W45" s="183">
        <f t="shared" si="147"/>
        <v>0</v>
      </c>
      <c r="X45" s="183">
        <f t="shared" ref="X45" si="148">+X43/X44</f>
        <v>0</v>
      </c>
      <c r="Y45" s="183">
        <f t="shared" ref="Y45:Z45" si="149">+Y43/Y44</f>
        <v>9.8897388877932743E-2</v>
      </c>
      <c r="Z45" s="183">
        <f t="shared" si="149"/>
        <v>0.36160741208152841</v>
      </c>
      <c r="AA45" s="183">
        <f t="shared" ref="AA45:AB45" si="150">+AA43/AA44</f>
        <v>0.26329911714483173</v>
      </c>
      <c r="AB45" s="183">
        <f t="shared" si="150"/>
        <v>0.24103485547970868</v>
      </c>
      <c r="AC45" s="574">
        <f t="shared" ref="AC45" si="151">+AC43/AC44</f>
        <v>-7.685777095139814E-3</v>
      </c>
      <c r="AD45" s="184">
        <f t="shared" ref="AD45" si="152">+AD43/AD44</f>
        <v>2.2391975497922042E-2</v>
      </c>
      <c r="AE45" s="185">
        <f t="shared" si="143"/>
        <v>4.2986852544134875E-2</v>
      </c>
      <c r="AF45" s="184">
        <f t="shared" si="143"/>
        <v>0.11746595763105573</v>
      </c>
      <c r="AG45" s="184">
        <f t="shared" si="143"/>
        <v>0.35551119349432725</v>
      </c>
      <c r="AH45" s="184">
        <f t="shared" si="143"/>
        <v>0.39418759399051684</v>
      </c>
      <c r="AI45" s="184">
        <f t="shared" si="143"/>
        <v>0.23024956159794532</v>
      </c>
      <c r="AJ45" s="184">
        <f t="shared" si="143"/>
        <v>0.23165533240605651</v>
      </c>
      <c r="AK45" s="184">
        <f t="shared" si="143"/>
        <v>0.20095059580958083</v>
      </c>
      <c r="AL45" s="184">
        <f t="shared" si="143"/>
        <v>0.28957016104167105</v>
      </c>
      <c r="AM45" s="184">
        <f t="shared" si="143"/>
        <v>0.2469982486230865</v>
      </c>
      <c r="AN45" s="184">
        <f t="shared" si="143"/>
        <v>0.27921195678617505</v>
      </c>
      <c r="AO45" s="184">
        <f t="shared" si="143"/>
        <v>0.32610117813241002</v>
      </c>
      <c r="AP45" s="184">
        <f t="shared" si="143"/>
        <v>0.425291687190539</v>
      </c>
      <c r="AQ45" s="290">
        <f t="shared" si="143"/>
        <v>0.42946388281090142</v>
      </c>
      <c r="AR45" s="184">
        <f t="shared" si="143"/>
        <v>0.22941983771037522</v>
      </c>
      <c r="AS45" s="184">
        <f t="shared" si="143"/>
        <v>0.12795328398471484</v>
      </c>
      <c r="AT45" s="184">
        <f t="shared" si="143"/>
        <v>8.3733551449330729E-2</v>
      </c>
      <c r="AU45" s="184">
        <f t="shared" si="143"/>
        <v>8.4050409868388812E-2</v>
      </c>
      <c r="AV45" s="184">
        <f t="shared" si="143"/>
        <v>8.3023136012282672E-2</v>
      </c>
      <c r="AW45" s="184">
        <f t="shared" si="143"/>
        <v>8.5387240335427175E-2</v>
      </c>
      <c r="AX45" s="184">
        <f t="shared" si="143"/>
        <v>8.9581327267730215E-2</v>
      </c>
      <c r="AY45" s="184">
        <f t="shared" si="143"/>
        <v>7.8847938386167923E-2</v>
      </c>
      <c r="AZ45" s="184">
        <f t="shared" si="143"/>
        <v>7.5441847794915501E-2</v>
      </c>
      <c r="BA45" s="184">
        <f t="shared" si="143"/>
        <v>7.2647621534920465E-2</v>
      </c>
      <c r="BB45" s="184">
        <f t="shared" si="143"/>
        <v>9.3225358680287446E-2</v>
      </c>
      <c r="BC45" s="290">
        <f t="shared" si="143"/>
        <v>9.3554256791636412E-2</v>
      </c>
      <c r="BD45" s="184">
        <f t="shared" si="143"/>
        <v>9.3421802536238135E-2</v>
      </c>
      <c r="BE45" s="184">
        <f t="shared" si="143"/>
        <v>8.7644823963096447E-2</v>
      </c>
      <c r="BF45" s="184">
        <f t="shared" si="143"/>
        <v>9.3536937379171903E-2</v>
      </c>
      <c r="BG45" s="184">
        <f t="shared" si="143"/>
        <v>9.3757470811774907E-2</v>
      </c>
      <c r="BH45" s="184">
        <f t="shared" si="143"/>
        <v>9.3029156629936272E-2</v>
      </c>
      <c r="BI45" s="184">
        <f t="shared" si="143"/>
        <v>7.7175773908019843E-2</v>
      </c>
      <c r="BJ45" s="184">
        <f t="shared" si="143"/>
        <v>7.0152017240916145E-2</v>
      </c>
      <c r="BK45" s="184">
        <f t="shared" si="143"/>
        <v>5.3047941549628726E-2</v>
      </c>
      <c r="BL45" s="184">
        <f t="shared" si="143"/>
        <v>4.8263681956792606E-2</v>
      </c>
      <c r="BM45" s="184">
        <f t="shared" si="143"/>
        <v>4.3553816938191964E-2</v>
      </c>
      <c r="BN45" s="184">
        <f t="shared" si="143"/>
        <v>5.5039660437867066E-2</v>
      </c>
      <c r="BO45" s="290">
        <f t="shared" si="143"/>
        <v>5.5130939121585731E-2</v>
      </c>
      <c r="BP45" s="184">
        <f t="shared" si="143"/>
        <v>5.4948477633985748E-2</v>
      </c>
      <c r="BQ45" s="184">
        <f t="shared" si="143"/>
        <v>5.3014927166915984E-2</v>
      </c>
      <c r="BR45" s="184">
        <f t="shared" si="143"/>
        <v>5.5742538261622468E-2</v>
      </c>
      <c r="BS45" s="184">
        <f t="shared" si="143"/>
        <v>5.6469933882034702E-2</v>
      </c>
      <c r="BT45" s="184">
        <f t="shared" si="143"/>
        <v>5.5706146864373127E-2</v>
      </c>
      <c r="BU45" s="184">
        <f t="shared" si="143"/>
        <v>5.7076374824136175E-2</v>
      </c>
      <c r="BV45" s="184">
        <f t="shared" si="143"/>
        <v>5.9943213497386481E-2</v>
      </c>
      <c r="BW45" s="184">
        <f t="shared" si="143"/>
        <v>5.3083436173227271E-2</v>
      </c>
      <c r="BX45" s="184">
        <f t="shared" si="143"/>
        <v>5.0853610746811932E-2</v>
      </c>
      <c r="BY45" s="184">
        <f t="shared" ref="BY45:CY45" si="153">+BY43/BY44</f>
        <v>4.7870527293025017E-2</v>
      </c>
      <c r="BZ45" s="184">
        <f t="shared" si="153"/>
        <v>6.1604057786935444E-2</v>
      </c>
      <c r="CA45" s="290">
        <f t="shared" si="153"/>
        <v>6.2268085473389266E-2</v>
      </c>
      <c r="CB45" s="184">
        <f t="shared" si="153"/>
        <v>6.1433714142515632E-2</v>
      </c>
      <c r="CC45" s="184">
        <f t="shared" si="153"/>
        <v>5.8314319294222233E-2</v>
      </c>
      <c r="CD45" s="184">
        <f t="shared" si="153"/>
        <v>6.1709794733862185E-2</v>
      </c>
      <c r="CE45" s="184">
        <f t="shared" si="153"/>
        <v>6.3091021303856937E-2</v>
      </c>
      <c r="CF45" s="184">
        <f t="shared" si="153"/>
        <v>6.1742422892974061E-2</v>
      </c>
      <c r="CG45" s="184">
        <f t="shared" si="153"/>
        <v>5.8957404469095996E-2</v>
      </c>
      <c r="CH45" s="184">
        <f t="shared" si="153"/>
        <v>5.9000529968904182E-2</v>
      </c>
      <c r="CI45" s="184">
        <f t="shared" si="153"/>
        <v>5.1935892173009132E-2</v>
      </c>
      <c r="CJ45" s="184">
        <f t="shared" si="153"/>
        <v>5.1603528988132238E-2</v>
      </c>
      <c r="CK45" s="184">
        <f t="shared" si="153"/>
        <v>5.0998399054482356E-2</v>
      </c>
      <c r="CL45" s="184">
        <f t="shared" si="153"/>
        <v>6.5958566379784839E-2</v>
      </c>
      <c r="CM45" s="290">
        <f t="shared" si="153"/>
        <v>6.6005626896818673E-2</v>
      </c>
      <c r="CN45" s="184">
        <f t="shared" si="153"/>
        <v>6.5578171004751357E-2</v>
      </c>
      <c r="CO45" s="184">
        <f t="shared" si="153"/>
        <v>6.1509032989248418E-2</v>
      </c>
      <c r="CP45" s="184">
        <f t="shared" si="153"/>
        <v>6.691197534933345E-2</v>
      </c>
      <c r="CQ45" s="184">
        <f t="shared" si="153"/>
        <v>6.7654545880842978E-2</v>
      </c>
      <c r="CR45" s="184">
        <f t="shared" si="153"/>
        <v>6.6053192670203306E-2</v>
      </c>
      <c r="CS45" s="184">
        <f t="shared" si="153"/>
        <v>5.903258489773007E-2</v>
      </c>
      <c r="CT45" s="184">
        <f t="shared" si="153"/>
        <v>5.6910778463929897E-2</v>
      </c>
      <c r="CU45" s="184">
        <f t="shared" si="153"/>
        <v>5.0240054695394568E-2</v>
      </c>
      <c r="CV45" s="184">
        <f t="shared" si="153"/>
        <v>5.0847700740106486E-2</v>
      </c>
      <c r="CW45" s="184">
        <f t="shared" si="153"/>
        <v>5.285472397115383E-2</v>
      </c>
      <c r="CX45" s="184">
        <f t="shared" si="153"/>
        <v>6.8506176159615809E-2</v>
      </c>
      <c r="CY45" s="185">
        <f t="shared" si="153"/>
        <v>6.867043256420928E-2</v>
      </c>
    </row>
    <row r="46" spans="1:103" x14ac:dyDescent="0.3">
      <c r="A46" s="36"/>
      <c r="B46" s="36"/>
      <c r="C46" s="633" t="s">
        <v>216</v>
      </c>
      <c r="D46" s="562"/>
      <c r="E46" s="562" t="e">
        <f t="shared" ref="E46:L46" si="154">+E44/(E39*E41)</f>
        <v>#DIV/0!</v>
      </c>
      <c r="F46" s="562" t="e">
        <f t="shared" si="154"/>
        <v>#DIV/0!</v>
      </c>
      <c r="G46" s="562" t="e">
        <f t="shared" si="154"/>
        <v>#DIV/0!</v>
      </c>
      <c r="H46" s="562" t="e">
        <f t="shared" si="154"/>
        <v>#DIV/0!</v>
      </c>
      <c r="I46" s="562" t="e">
        <f t="shared" si="154"/>
        <v>#DIV/0!</v>
      </c>
      <c r="J46" s="562" t="e">
        <f t="shared" si="154"/>
        <v>#DIV/0!</v>
      </c>
      <c r="K46" s="562" t="e">
        <f t="shared" si="154"/>
        <v>#DIV/0!</v>
      </c>
      <c r="L46" s="562" t="e">
        <f t="shared" si="154"/>
        <v>#DIV/0!</v>
      </c>
      <c r="M46" s="562" t="e">
        <f>+M44/(M39*M41)</f>
        <v>#DIV/0!</v>
      </c>
      <c r="N46" s="562" t="e">
        <f>+N44/(N39*N41)</f>
        <v>#DIV/0!</v>
      </c>
      <c r="O46" s="562" t="e">
        <f t="shared" ref="O46:S46" si="155">+O44/(O39*O41)</f>
        <v>#DIV/0!</v>
      </c>
      <c r="P46" s="562" t="e">
        <f t="shared" si="155"/>
        <v>#DIV/0!</v>
      </c>
      <c r="Q46" s="562" t="e">
        <f t="shared" si="155"/>
        <v>#DIV/0!</v>
      </c>
      <c r="R46" s="562" t="e">
        <f t="shared" si="155"/>
        <v>#DIV/0!</v>
      </c>
      <c r="S46" s="562" t="e">
        <f t="shared" si="155"/>
        <v>#DIV/0!</v>
      </c>
      <c r="T46" s="562">
        <f>+IFERROR(T44/(T39*T41), 0)</f>
        <v>0</v>
      </c>
      <c r="U46" s="562">
        <f t="shared" ref="U46:W46" si="156">+IFERROR(U44/(U39*U41), 0)</f>
        <v>-1.477232600401347</v>
      </c>
      <c r="V46" s="562">
        <f t="shared" si="156"/>
        <v>-2.0452506628999076</v>
      </c>
      <c r="W46" s="562">
        <f t="shared" si="156"/>
        <v>0</v>
      </c>
      <c r="X46" s="562">
        <f t="shared" ref="X46" si="157">+X44/(X39*X41)</f>
        <v>15.91522045598172</v>
      </c>
      <c r="Y46" s="562">
        <f t="shared" ref="Y46:Z46" si="158">+Y44/(Y39*Y41)</f>
        <v>10.111490417955137</v>
      </c>
      <c r="Z46" s="562">
        <f t="shared" si="158"/>
        <v>11.419696065866177</v>
      </c>
      <c r="AA46" s="562">
        <f>+AA44/(AA39*-AA41)</f>
        <v>13.295313851719531</v>
      </c>
      <c r="AB46" s="562">
        <f>+AB44/(AB39*AB41)</f>
        <v>11.6084669974361</v>
      </c>
      <c r="AC46" s="575">
        <f>+AC44/(AC39*AC41)</f>
        <v>-169.61403052375977</v>
      </c>
      <c r="AD46" s="563">
        <f t="shared" ref="AD46" si="159">+AD44/(AD39*AD41)</f>
        <v>-47.806594999895573</v>
      </c>
      <c r="AE46" s="187">
        <f t="shared" ref="AE46:BD46" si="160">+AE44/(AE39*AE41)</f>
        <v>21.216980986781618</v>
      </c>
      <c r="AF46" s="186">
        <f t="shared" si="160"/>
        <v>21.812783644528825</v>
      </c>
      <c r="AG46" s="186">
        <f t="shared" si="160"/>
        <v>12.499700365466111</v>
      </c>
      <c r="AH46" s="186">
        <f t="shared" si="160"/>
        <v>11.418844958962278</v>
      </c>
      <c r="AI46" s="186">
        <f t="shared" si="160"/>
        <v>32.820000780651014</v>
      </c>
      <c r="AJ46" s="186">
        <f t="shared" si="160"/>
        <v>18.958212358806993</v>
      </c>
      <c r="AK46" s="186">
        <f t="shared" si="160"/>
        <v>21.2053937094053</v>
      </c>
      <c r="AL46" s="186">
        <f t="shared" si="160"/>
        <v>17.529080864756455</v>
      </c>
      <c r="AM46" s="186">
        <f t="shared" si="160"/>
        <v>28.5861766188867</v>
      </c>
      <c r="AN46" s="186">
        <f t="shared" si="160"/>
        <v>15.423336741389548</v>
      </c>
      <c r="AO46" s="186">
        <f t="shared" si="160"/>
        <v>13.474052690275625</v>
      </c>
      <c r="AP46" s="186">
        <f t="shared" si="160"/>
        <v>9.9606919701409069</v>
      </c>
      <c r="AQ46" s="291">
        <f t="shared" si="160"/>
        <v>12.349665268528526</v>
      </c>
      <c r="AR46" s="186">
        <f t="shared" si="160"/>
        <v>36.563157505857802</v>
      </c>
      <c r="AS46" s="186">
        <f t="shared" si="160"/>
        <v>45.274536169655761</v>
      </c>
      <c r="AT46" s="186">
        <f t="shared" si="160"/>
        <v>57.283545186038566</v>
      </c>
      <c r="AU46" s="186">
        <f t="shared" si="160"/>
        <v>64.198173560232917</v>
      </c>
      <c r="AV46" s="186">
        <f t="shared" si="160"/>
        <v>59.444138659171244</v>
      </c>
      <c r="AW46" s="186">
        <f t="shared" si="160"/>
        <v>46.938918284657959</v>
      </c>
      <c r="AX46" s="186">
        <f t="shared" si="160"/>
        <v>51.495097008002425</v>
      </c>
      <c r="AY46" s="186">
        <f t="shared" si="160"/>
        <v>119.00486329030299</v>
      </c>
      <c r="AZ46" s="186">
        <f t="shared" si="160"/>
        <v>62.880975429933649</v>
      </c>
      <c r="BA46" s="186">
        <f t="shared" si="160"/>
        <v>58.853345212225364</v>
      </c>
      <c r="BB46" s="186">
        <f t="shared" si="160"/>
        <v>46.598288422428716</v>
      </c>
      <c r="BC46" s="291">
        <f t="shared" si="160"/>
        <v>57.158756052984607</v>
      </c>
      <c r="BD46" s="186">
        <f t="shared" si="160"/>
        <v>58.208666730170393</v>
      </c>
      <c r="BE46" s="186">
        <f t="shared" ref="BE46:BX46" si="161">+BE44/(BE39*BE41)</f>
        <v>54.699419327425872</v>
      </c>
      <c r="BF46" s="186">
        <f t="shared" si="161"/>
        <v>48.593426416085741</v>
      </c>
      <c r="BG46" s="186">
        <f t="shared" si="161"/>
        <v>57.807472671514226</v>
      </c>
      <c r="BH46" s="186">
        <f t="shared" si="161"/>
        <v>55.506494720764159</v>
      </c>
      <c r="BI46" s="186">
        <f t="shared" si="161"/>
        <v>56.859785313272596</v>
      </c>
      <c r="BJ46" s="186">
        <f t="shared" si="161"/>
        <v>67.337147935558278</v>
      </c>
      <c r="BK46" s="186">
        <f t="shared" si="161"/>
        <v>212.32222293625031</v>
      </c>
      <c r="BL46" s="186">
        <f t="shared" si="161"/>
        <v>103.54618685502302</v>
      </c>
      <c r="BM46" s="186">
        <f t="shared" si="161"/>
        <v>94.719062269360961</v>
      </c>
      <c r="BN46" s="186">
        <f t="shared" si="161"/>
        <v>83.592803435907285</v>
      </c>
      <c r="BO46" s="291">
        <f t="shared" si="161"/>
        <v>95.507837040856373</v>
      </c>
      <c r="BP46" s="186">
        <f t="shared" si="161"/>
        <v>94.492042651142171</v>
      </c>
      <c r="BQ46" s="186">
        <f t="shared" si="161"/>
        <v>91.277833517308252</v>
      </c>
      <c r="BR46" s="186">
        <f t="shared" si="161"/>
        <v>84.383761220954469</v>
      </c>
      <c r="BS46" s="186">
        <f t="shared" si="161"/>
        <v>90.748104390820345</v>
      </c>
      <c r="BT46" s="186">
        <f t="shared" si="161"/>
        <v>94.395529469989228</v>
      </c>
      <c r="BU46" s="186">
        <f t="shared" si="161"/>
        <v>69.229437134188686</v>
      </c>
      <c r="BV46" s="186">
        <f t="shared" si="161"/>
        <v>73.475069839901849</v>
      </c>
      <c r="BW46" s="186">
        <f t="shared" si="161"/>
        <v>197.21890747216545</v>
      </c>
      <c r="BX46" s="186">
        <f t="shared" si="161"/>
        <v>93.845893396560513</v>
      </c>
      <c r="BY46" s="186">
        <f t="shared" ref="BY46:CY46" si="162">+BY44/(BY39*BY41)</f>
        <v>87.87177117988314</v>
      </c>
      <c r="BZ46" s="186">
        <f t="shared" si="162"/>
        <v>72.389691327361277</v>
      </c>
      <c r="CA46" s="291">
        <f t="shared" si="162"/>
        <v>82.93285768467085</v>
      </c>
      <c r="CB46" s="186">
        <f t="shared" si="162"/>
        <v>90.579490510076468</v>
      </c>
      <c r="CC46" s="186">
        <f t="shared" si="162"/>
        <v>82.237680903030935</v>
      </c>
      <c r="CD46" s="186">
        <f t="shared" si="162"/>
        <v>72.680358653079352</v>
      </c>
      <c r="CE46" s="186">
        <f t="shared" si="162"/>
        <v>84.32299927332933</v>
      </c>
      <c r="CF46" s="186">
        <f t="shared" si="162"/>
        <v>87.157134412400012</v>
      </c>
      <c r="CG46" s="186">
        <f t="shared" si="162"/>
        <v>69.479698445973355</v>
      </c>
      <c r="CH46" s="186">
        <f t="shared" si="162"/>
        <v>77.63433492427508</v>
      </c>
      <c r="CI46" s="186">
        <f t="shared" si="162"/>
        <v>186.10920562919293</v>
      </c>
      <c r="CJ46" s="186">
        <f t="shared" si="162"/>
        <v>88.406587253671873</v>
      </c>
      <c r="CK46" s="186">
        <f t="shared" si="162"/>
        <v>84.647524892860702</v>
      </c>
      <c r="CL46" s="186">
        <f t="shared" si="162"/>
        <v>66.545686453237877</v>
      </c>
      <c r="CM46" s="291">
        <f t="shared" si="162"/>
        <v>79.069528571930476</v>
      </c>
      <c r="CN46" s="186">
        <f t="shared" si="162"/>
        <v>85.024180497041286</v>
      </c>
      <c r="CO46" s="186">
        <f t="shared" si="162"/>
        <v>77.799187292043271</v>
      </c>
      <c r="CP46" s="186">
        <f t="shared" si="162"/>
        <v>64.786724737844764</v>
      </c>
      <c r="CQ46" s="186">
        <f t="shared" si="162"/>
        <v>82.026641950885917</v>
      </c>
      <c r="CR46" s="186">
        <f t="shared" si="162"/>
        <v>82.871978785724849</v>
      </c>
      <c r="CS46" s="186">
        <f t="shared" si="162"/>
        <v>70.909689234479501</v>
      </c>
      <c r="CT46" s="186">
        <f t="shared" si="162"/>
        <v>83.180365211132255</v>
      </c>
      <c r="CU46" s="186">
        <f t="shared" si="162"/>
        <v>175.26923208023706</v>
      </c>
      <c r="CV46" s="186">
        <f t="shared" si="162"/>
        <v>89.724462878917606</v>
      </c>
      <c r="CW46" s="186">
        <f t="shared" si="162"/>
        <v>81.664523490474991</v>
      </c>
      <c r="CX46" s="186">
        <f t="shared" si="162"/>
        <v>62.409176044173861</v>
      </c>
      <c r="CY46" s="187">
        <f t="shared" si="162"/>
        <v>78.150154294440952</v>
      </c>
    </row>
    <row r="47" spans="1:103" s="3" customFormat="1" ht="15" thickBot="1" x14ac:dyDescent="0.35">
      <c r="A47" s="140"/>
      <c r="B47" s="140"/>
      <c r="C47" s="561" t="s">
        <v>54</v>
      </c>
      <c r="D47" s="142"/>
      <c r="E47" s="142" t="e">
        <f t="shared" ref="E47:AJ47" si="163">+E32/8</f>
        <v>#DIV/0!</v>
      </c>
      <c r="F47" s="142" t="e">
        <f t="shared" si="163"/>
        <v>#DIV/0!</v>
      </c>
      <c r="G47" s="142" t="e">
        <f t="shared" si="163"/>
        <v>#DIV/0!</v>
      </c>
      <c r="H47" s="142" t="e">
        <f t="shared" si="163"/>
        <v>#DIV/0!</v>
      </c>
      <c r="I47" s="142" t="e">
        <f t="shared" si="163"/>
        <v>#DIV/0!</v>
      </c>
      <c r="J47" s="142" t="e">
        <f t="shared" si="163"/>
        <v>#DIV/0!</v>
      </c>
      <c r="K47" s="142" t="e">
        <f t="shared" si="163"/>
        <v>#DIV/0!</v>
      </c>
      <c r="L47" s="142" t="e">
        <f t="shared" si="163"/>
        <v>#DIV/0!</v>
      </c>
      <c r="M47" s="142" t="e">
        <f t="shared" si="163"/>
        <v>#DIV/0!</v>
      </c>
      <c r="N47" s="142" t="e">
        <f t="shared" si="163"/>
        <v>#DIV/0!</v>
      </c>
      <c r="O47" s="142" t="e">
        <f t="shared" si="163"/>
        <v>#DIV/0!</v>
      </c>
      <c r="P47" s="142" t="e">
        <f t="shared" si="163"/>
        <v>#DIV/0!</v>
      </c>
      <c r="Q47" s="142" t="e">
        <f t="shared" si="163"/>
        <v>#DIV/0!</v>
      </c>
      <c r="R47" s="142" t="e">
        <f t="shared" si="163"/>
        <v>#DIV/0!</v>
      </c>
      <c r="S47" s="142" t="e">
        <f t="shared" si="163"/>
        <v>#DIV/0!</v>
      </c>
      <c r="T47" s="142">
        <f t="shared" si="163"/>
        <v>2.2727272727272728E-2</v>
      </c>
      <c r="U47" s="142">
        <f t="shared" si="163"/>
        <v>1.1904761904761904E-2</v>
      </c>
      <c r="V47" s="142">
        <f t="shared" si="163"/>
        <v>1.1904761904761904E-2</v>
      </c>
      <c r="W47" s="142" t="e">
        <f t="shared" si="163"/>
        <v>#DIV/0!</v>
      </c>
      <c r="X47" s="142">
        <f t="shared" si="163"/>
        <v>8.152173913043478E-3</v>
      </c>
      <c r="Y47" s="142">
        <f t="shared" si="163"/>
        <v>5.263157894736842E-3</v>
      </c>
      <c r="Z47" s="142">
        <f t="shared" si="163"/>
        <v>3.9335664335664339E-3</v>
      </c>
      <c r="AA47" s="142">
        <f t="shared" si="163"/>
        <v>1.1363636363636364E-2</v>
      </c>
      <c r="AB47" s="142">
        <f t="shared" si="163"/>
        <v>1.0416666666666666E-2</v>
      </c>
      <c r="AC47" s="195">
        <f t="shared" si="163"/>
        <v>6.987577639751553E-3</v>
      </c>
      <c r="AD47" s="142">
        <f t="shared" si="163"/>
        <v>6.2500000000000003E-3</v>
      </c>
      <c r="AE47" s="143">
        <f t="shared" si="163"/>
        <v>6.2500000000000003E-3</v>
      </c>
      <c r="AF47" s="142">
        <f t="shared" si="163"/>
        <v>6.2500000000000003E-3</v>
      </c>
      <c r="AG47" s="142">
        <f t="shared" si="163"/>
        <v>6.2500000000000003E-3</v>
      </c>
      <c r="AH47" s="142">
        <f t="shared" si="163"/>
        <v>6.2500000000000003E-3</v>
      </c>
      <c r="AI47" s="142">
        <f t="shared" si="163"/>
        <v>6.2500000000000003E-3</v>
      </c>
      <c r="AJ47" s="142">
        <f t="shared" si="163"/>
        <v>6.2500000000000003E-3</v>
      </c>
      <c r="AK47" s="142">
        <f t="shared" ref="AK47:BP47" si="164">+AK32/8</f>
        <v>6.2500000000000003E-3</v>
      </c>
      <c r="AL47" s="142">
        <f t="shared" si="164"/>
        <v>6.2500000000000003E-3</v>
      </c>
      <c r="AM47" s="142">
        <f t="shared" si="164"/>
        <v>6.2500000000000003E-3</v>
      </c>
      <c r="AN47" s="142">
        <f t="shared" si="164"/>
        <v>6.2500000000000003E-3</v>
      </c>
      <c r="AO47" s="142">
        <f t="shared" si="164"/>
        <v>6.2500000000000003E-3</v>
      </c>
      <c r="AP47" s="142">
        <f t="shared" si="164"/>
        <v>6.2500000000000003E-3</v>
      </c>
      <c r="AQ47" s="195">
        <f t="shared" si="164"/>
        <v>6.2500000000000003E-3</v>
      </c>
      <c r="AR47" s="142">
        <f t="shared" si="164"/>
        <v>6.2500000000000003E-3</v>
      </c>
      <c r="AS47" s="142">
        <f t="shared" si="164"/>
        <v>6.2500000000000003E-3</v>
      </c>
      <c r="AT47" s="142">
        <f t="shared" si="164"/>
        <v>6.2500000000000003E-3</v>
      </c>
      <c r="AU47" s="142">
        <f t="shared" si="164"/>
        <v>6.2500000000000003E-3</v>
      </c>
      <c r="AV47" s="142">
        <f t="shared" si="164"/>
        <v>6.2500000000000003E-3</v>
      </c>
      <c r="AW47" s="142">
        <f t="shared" si="164"/>
        <v>6.2500000000000003E-3</v>
      </c>
      <c r="AX47" s="142">
        <f t="shared" si="164"/>
        <v>6.2500000000000003E-3</v>
      </c>
      <c r="AY47" s="142">
        <f t="shared" si="164"/>
        <v>6.2500000000000003E-3</v>
      </c>
      <c r="AZ47" s="142">
        <f t="shared" si="164"/>
        <v>6.2500000000000003E-3</v>
      </c>
      <c r="BA47" s="142">
        <f t="shared" si="164"/>
        <v>6.2500000000000003E-3</v>
      </c>
      <c r="BB47" s="142">
        <f t="shared" si="164"/>
        <v>6.2500000000000003E-3</v>
      </c>
      <c r="BC47" s="195">
        <f t="shared" si="164"/>
        <v>6.2500000000000003E-3</v>
      </c>
      <c r="BD47" s="142">
        <f t="shared" si="164"/>
        <v>6.2500000000000003E-3</v>
      </c>
      <c r="BE47" s="142">
        <f t="shared" si="164"/>
        <v>6.2500000000000003E-3</v>
      </c>
      <c r="BF47" s="142">
        <f t="shared" si="164"/>
        <v>6.2500000000000003E-3</v>
      </c>
      <c r="BG47" s="142">
        <f t="shared" si="164"/>
        <v>6.2500000000000003E-3</v>
      </c>
      <c r="BH47" s="142">
        <f t="shared" si="164"/>
        <v>6.2500000000000003E-3</v>
      </c>
      <c r="BI47" s="142">
        <f t="shared" si="164"/>
        <v>6.2500000000000003E-3</v>
      </c>
      <c r="BJ47" s="142">
        <f t="shared" si="164"/>
        <v>6.2500000000000003E-3</v>
      </c>
      <c r="BK47" s="142">
        <f t="shared" si="164"/>
        <v>6.2500000000000003E-3</v>
      </c>
      <c r="BL47" s="142">
        <f t="shared" si="164"/>
        <v>6.2500000000000003E-3</v>
      </c>
      <c r="BM47" s="142">
        <f t="shared" si="164"/>
        <v>6.2500000000000003E-3</v>
      </c>
      <c r="BN47" s="142">
        <f t="shared" si="164"/>
        <v>6.2500000000000003E-3</v>
      </c>
      <c r="BO47" s="195">
        <f t="shared" si="164"/>
        <v>6.2500000000000003E-3</v>
      </c>
      <c r="BP47" s="142">
        <f t="shared" si="164"/>
        <v>6.2500000000000003E-3</v>
      </c>
      <c r="BQ47" s="142">
        <f t="shared" ref="BQ47:CY47" si="165">+BQ32/8</f>
        <v>6.2500000000000003E-3</v>
      </c>
      <c r="BR47" s="142">
        <f t="shared" si="165"/>
        <v>6.2500000000000003E-3</v>
      </c>
      <c r="BS47" s="142">
        <f t="shared" si="165"/>
        <v>6.2500000000000003E-3</v>
      </c>
      <c r="BT47" s="142">
        <f t="shared" si="165"/>
        <v>6.2500000000000003E-3</v>
      </c>
      <c r="BU47" s="142">
        <f t="shared" si="165"/>
        <v>6.2500000000000003E-3</v>
      </c>
      <c r="BV47" s="142">
        <f t="shared" si="165"/>
        <v>6.2500000000000003E-3</v>
      </c>
      <c r="BW47" s="142">
        <f t="shared" si="165"/>
        <v>6.2500000000000003E-3</v>
      </c>
      <c r="BX47" s="142">
        <f t="shared" si="165"/>
        <v>6.2500000000000003E-3</v>
      </c>
      <c r="BY47" s="142">
        <f t="shared" si="165"/>
        <v>6.2500000000000003E-3</v>
      </c>
      <c r="BZ47" s="142">
        <f t="shared" si="165"/>
        <v>6.2500000000000003E-3</v>
      </c>
      <c r="CA47" s="195">
        <f t="shared" si="165"/>
        <v>6.2500000000000003E-3</v>
      </c>
      <c r="CB47" s="142">
        <f t="shared" si="165"/>
        <v>6.2500000000000003E-3</v>
      </c>
      <c r="CC47" s="142">
        <f t="shared" si="165"/>
        <v>6.2500000000000003E-3</v>
      </c>
      <c r="CD47" s="142">
        <f t="shared" si="165"/>
        <v>6.2500000000000003E-3</v>
      </c>
      <c r="CE47" s="142">
        <f t="shared" si="165"/>
        <v>6.2500000000000003E-3</v>
      </c>
      <c r="CF47" s="142">
        <f t="shared" si="165"/>
        <v>6.2500000000000003E-3</v>
      </c>
      <c r="CG47" s="142">
        <f t="shared" si="165"/>
        <v>6.2500000000000003E-3</v>
      </c>
      <c r="CH47" s="142">
        <f t="shared" si="165"/>
        <v>6.2500000000000003E-3</v>
      </c>
      <c r="CI47" s="142">
        <f t="shared" si="165"/>
        <v>6.2500000000000003E-3</v>
      </c>
      <c r="CJ47" s="142">
        <f t="shared" si="165"/>
        <v>6.2500000000000003E-3</v>
      </c>
      <c r="CK47" s="142">
        <f t="shared" si="165"/>
        <v>6.2500000000000003E-3</v>
      </c>
      <c r="CL47" s="142">
        <f t="shared" si="165"/>
        <v>6.2500000000000003E-3</v>
      </c>
      <c r="CM47" s="195">
        <f t="shared" si="165"/>
        <v>6.2500000000000003E-3</v>
      </c>
      <c r="CN47" s="142">
        <f t="shared" si="165"/>
        <v>6.2500000000000003E-3</v>
      </c>
      <c r="CO47" s="142">
        <f t="shared" si="165"/>
        <v>6.2500000000000003E-3</v>
      </c>
      <c r="CP47" s="142">
        <f t="shared" si="165"/>
        <v>6.2500000000000003E-3</v>
      </c>
      <c r="CQ47" s="142">
        <f t="shared" si="165"/>
        <v>6.2500000000000003E-3</v>
      </c>
      <c r="CR47" s="142">
        <f t="shared" si="165"/>
        <v>6.2500000000000003E-3</v>
      </c>
      <c r="CS47" s="142">
        <f t="shared" si="165"/>
        <v>6.2500000000000003E-3</v>
      </c>
      <c r="CT47" s="142">
        <f t="shared" si="165"/>
        <v>6.2500000000000003E-3</v>
      </c>
      <c r="CU47" s="142">
        <f t="shared" si="165"/>
        <v>6.2500000000000003E-3</v>
      </c>
      <c r="CV47" s="142">
        <f t="shared" si="165"/>
        <v>6.2500000000000003E-3</v>
      </c>
      <c r="CW47" s="142">
        <f t="shared" si="165"/>
        <v>6.2500000000000003E-3</v>
      </c>
      <c r="CX47" s="142">
        <f t="shared" si="165"/>
        <v>6.2500000000000003E-3</v>
      </c>
      <c r="CY47" s="143">
        <f t="shared" si="165"/>
        <v>6.2500000000000003E-3</v>
      </c>
    </row>
    <row r="48" spans="1:103" x14ac:dyDescent="0.3">
      <c r="B48" s="1"/>
      <c r="C48" s="1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194"/>
      <c r="AD48" s="58"/>
      <c r="AE48" s="194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194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194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194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194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194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</row>
    <row r="49" spans="1:111" hidden="1" x14ac:dyDescent="0.3">
      <c r="B49" s="1"/>
      <c r="C49" s="1"/>
      <c r="E49">
        <v>2029</v>
      </c>
      <c r="F49">
        <v>2030</v>
      </c>
      <c r="G49" s="58"/>
      <c r="I49">
        <v>2022</v>
      </c>
      <c r="J49">
        <v>2023</v>
      </c>
      <c r="K49">
        <v>2024</v>
      </c>
      <c r="L49">
        <v>2025</v>
      </c>
      <c r="M49">
        <v>2026</v>
      </c>
      <c r="N49">
        <v>2027</v>
      </c>
      <c r="O49">
        <v>2028</v>
      </c>
      <c r="P49">
        <v>2028</v>
      </c>
      <c r="Q49">
        <v>2028</v>
      </c>
      <c r="R49">
        <v>2029</v>
      </c>
      <c r="S49">
        <v>2029</v>
      </c>
      <c r="T49">
        <v>2029</v>
      </c>
      <c r="U49" s="58"/>
      <c r="V49" s="58"/>
      <c r="W49" s="58"/>
      <c r="X49" s="58"/>
      <c r="Y49" s="58"/>
      <c r="Z49" s="58"/>
      <c r="AA49" s="58"/>
      <c r="AB49" s="58"/>
      <c r="AC49" s="194"/>
      <c r="AD49" s="58"/>
      <c r="AE49" s="194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194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194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194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194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194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</row>
    <row r="50" spans="1:111" hidden="1" x14ac:dyDescent="0.3">
      <c r="B50" s="1"/>
      <c r="C50" s="1"/>
      <c r="E50">
        <f t="shared" ref="E50:F50" si="166">ROUNDUP(AVERAGE(E51:E53), 0)</f>
        <v>3</v>
      </c>
      <c r="F50">
        <f t="shared" si="166"/>
        <v>6</v>
      </c>
      <c r="G50" s="58"/>
      <c r="H50" t="s">
        <v>194</v>
      </c>
      <c r="I50" t="e">
        <f>ROUNDUP(AVERAGE(I51:I53), 0)</f>
        <v>#REF!</v>
      </c>
      <c r="J50" t="e">
        <f t="shared" ref="J50:O50" si="167">ROUNDUP(AVERAGE(J51:J53), 0)</f>
        <v>#REF!</v>
      </c>
      <c r="K50" t="e">
        <f t="shared" si="167"/>
        <v>#REF!</v>
      </c>
      <c r="L50" t="e">
        <f t="shared" si="167"/>
        <v>#REF!</v>
      </c>
      <c r="M50" t="e">
        <f t="shared" si="167"/>
        <v>#REF!</v>
      </c>
      <c r="N50" t="e">
        <f t="shared" si="167"/>
        <v>#REF!</v>
      </c>
      <c r="O50" t="e">
        <f t="shared" si="167"/>
        <v>#REF!</v>
      </c>
      <c r="P50" t="e">
        <f t="shared" ref="P50:Q50" si="168">ROUNDUP(AVERAGE(P51:P53), 0)</f>
        <v>#REF!</v>
      </c>
      <c r="Q50" t="e">
        <f t="shared" si="168"/>
        <v>#REF!</v>
      </c>
      <c r="R50" t="e">
        <f t="shared" ref="R50:S50" si="169">ROUNDUP(AVERAGE(R51:R53), 0)</f>
        <v>#REF!</v>
      </c>
      <c r="S50" t="e">
        <f t="shared" si="169"/>
        <v>#REF!</v>
      </c>
      <c r="T50" t="e">
        <f t="shared" ref="T50" si="170">ROUNDUP(AVERAGE(T51:T53), 0)</f>
        <v>#REF!</v>
      </c>
      <c r="U50" s="58"/>
      <c r="V50" s="58"/>
      <c r="W50" s="58"/>
      <c r="X50" s="58"/>
      <c r="Y50" s="58"/>
      <c r="Z50" s="58"/>
      <c r="AA50" s="58"/>
      <c r="AB50" s="58"/>
      <c r="AC50" s="194"/>
      <c r="AD50" s="58"/>
      <c r="AE50" s="194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194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194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194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194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194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</row>
    <row r="51" spans="1:111" hidden="1" x14ac:dyDescent="0.3">
      <c r="B51" s="1"/>
      <c r="C51" s="1"/>
      <c r="D51" s="215"/>
      <c r="E51" s="215">
        <f t="shared" ref="E51:F51" si="171">+D51+5</f>
        <v>5</v>
      </c>
      <c r="F51" s="215">
        <f t="shared" si="171"/>
        <v>10</v>
      </c>
      <c r="G51" s="58"/>
      <c r="H51" t="s">
        <v>191</v>
      </c>
      <c r="I51" s="176" t="e">
        <f>AVERAGEIFS($D$32:$CY$32,#REF!,#REF!, $D$1:$DB$1, I49)</f>
        <v>#REF!</v>
      </c>
      <c r="J51" s="176" t="e">
        <f>AVERAGEIFS($D$32:$CY$32,#REF!,#REF!, $D$1:$DB$1, J49)</f>
        <v>#REF!</v>
      </c>
      <c r="K51" s="176" t="e">
        <f>AVERAGEIFS($D$32:$CY$32,#REF!,#REF!, $D$1:$DB$1, K49)</f>
        <v>#REF!</v>
      </c>
      <c r="L51" s="176" t="e">
        <f>AVERAGEIFS($D$32:$CY$32,#REF!,#REF!, $D$1:$DB$1, L49)</f>
        <v>#REF!</v>
      </c>
      <c r="M51" s="176" t="e">
        <f>AVERAGEIFS($D$32:$CY$32,#REF!,#REF!, $D$1:$DB$1, M49)</f>
        <v>#REF!</v>
      </c>
      <c r="N51" s="176" t="e">
        <f>AVERAGEIFS($D$32:$CY$32,#REF!,#REF!, $D$1:$DB$1, N49)</f>
        <v>#REF!</v>
      </c>
      <c r="O51" s="176" t="e">
        <f>AVERAGEIFS($D$32:$CY$32,#REF!,#REF!, $D$1:$DB$1, O49)</f>
        <v>#REF!</v>
      </c>
      <c r="P51" s="176" t="e">
        <f>AVERAGEIFS($D$32:$CY$32,#REF!,#REF!, $D$1:$DB$1, P49)</f>
        <v>#REF!</v>
      </c>
      <c r="Q51" s="176" t="e">
        <f>AVERAGEIFS($D$32:$CY$32,#REF!,#REF!, $D$1:$DB$1, Q49)</f>
        <v>#REF!</v>
      </c>
      <c r="R51" s="176" t="e">
        <f>AVERAGEIFS($D$32:$CY$32,#REF!,#REF!, $D$1:$DB$1, R49)</f>
        <v>#REF!</v>
      </c>
      <c r="S51" s="176" t="e">
        <f>AVERAGEIFS($D$32:$CY$32,#REF!,#REF!, $D$1:$DB$1, S49)</f>
        <v>#REF!</v>
      </c>
      <c r="T51" s="176" t="e">
        <f>AVERAGEIFS($D$32:$CY$32,#REF!,#REF!, $D$1:$DB$1, T49)</f>
        <v>#REF!</v>
      </c>
      <c r="U51" s="58"/>
      <c r="V51" s="58"/>
      <c r="W51" s="58"/>
      <c r="X51" s="58"/>
      <c r="Y51" s="58"/>
      <c r="Z51" s="58"/>
      <c r="AA51" s="58"/>
      <c r="AB51" s="58"/>
      <c r="AC51" s="194"/>
      <c r="AD51" s="58"/>
      <c r="AE51" s="194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194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194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194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194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194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</row>
    <row r="52" spans="1:111" hidden="1" x14ac:dyDescent="0.3">
      <c r="B52" s="1"/>
      <c r="C52" s="1"/>
      <c r="D52" s="215"/>
      <c r="E52" s="215">
        <f t="shared" ref="E52:F52" si="172">+D52+3</f>
        <v>3</v>
      </c>
      <c r="F52" s="215">
        <f t="shared" si="172"/>
        <v>6</v>
      </c>
      <c r="G52" s="58"/>
      <c r="H52" t="s">
        <v>193</v>
      </c>
      <c r="I52" s="176" t="e">
        <f>+AVERAGEIFS($D$32:$CY$32,#REF!,#REF!, $D$1:$DB$1, I49)</f>
        <v>#REF!</v>
      </c>
      <c r="J52" s="176" t="e">
        <f>+AVERAGEIFS($D$32:$CY$32,#REF!,#REF!, $D$1:$DB$1, J49)</f>
        <v>#REF!</v>
      </c>
      <c r="K52" s="176" t="e">
        <f>+AVERAGEIFS($D$32:$CY$32,#REF!,#REF!, $D$1:$DB$1, K49)</f>
        <v>#REF!</v>
      </c>
      <c r="L52" s="176" t="e">
        <f>+AVERAGEIFS($D$32:$CY$32,#REF!,#REF!, $D$1:$DB$1, L49)</f>
        <v>#REF!</v>
      </c>
      <c r="M52" s="176" t="e">
        <f>+AVERAGEIFS($D$32:$CY$32,#REF!,#REF!, $D$1:$DB$1, M49)</f>
        <v>#REF!</v>
      </c>
      <c r="N52" s="176" t="e">
        <f>+AVERAGEIFS($D$32:$CY$32,#REF!,#REF!, $D$1:$DB$1, N49)</f>
        <v>#REF!</v>
      </c>
      <c r="O52" s="176" t="e">
        <f>+AVERAGEIFS($D$32:$CY$32,#REF!,#REF!, $D$1:$DB$1, O49)</f>
        <v>#REF!</v>
      </c>
      <c r="P52" s="176" t="e">
        <f>+AVERAGEIFS($D$32:$CY$32,#REF!,#REF!, $D$1:$DB$1, P49)</f>
        <v>#REF!</v>
      </c>
      <c r="Q52" s="176" t="e">
        <f>+AVERAGEIFS($D$32:$CY$32,#REF!,#REF!, $D$1:$DB$1, Q49)</f>
        <v>#REF!</v>
      </c>
      <c r="R52" s="176" t="e">
        <f>+AVERAGEIFS($D$32:$CY$32,#REF!,#REF!, $D$1:$DB$1, R49)</f>
        <v>#REF!</v>
      </c>
      <c r="S52" s="176" t="e">
        <f>+AVERAGEIFS($D$32:$CY$32,#REF!,#REF!, $D$1:$DB$1, S49)</f>
        <v>#REF!</v>
      </c>
      <c r="T52" s="176" t="e">
        <f>+AVERAGEIFS($D$32:$CY$32,#REF!,#REF!, $D$1:$DB$1, T49)</f>
        <v>#REF!</v>
      </c>
      <c r="U52" s="58"/>
      <c r="V52" s="58"/>
      <c r="W52" s="58"/>
      <c r="X52" s="58"/>
      <c r="Y52" s="58"/>
      <c r="Z52" s="58"/>
      <c r="AA52" s="58"/>
      <c r="AB52" s="58"/>
      <c r="AC52" s="194"/>
      <c r="AD52" s="58"/>
      <c r="AE52" s="194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194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194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194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194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194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</row>
    <row r="53" spans="1:111" hidden="1" x14ac:dyDescent="0.3">
      <c r="B53" s="1"/>
      <c r="C53" s="1"/>
      <c r="D53" s="215"/>
      <c r="E53" s="215">
        <f t="shared" ref="E53:F53" si="173">+D53+1</f>
        <v>1</v>
      </c>
      <c r="F53" s="215">
        <f t="shared" si="173"/>
        <v>2</v>
      </c>
      <c r="G53" s="58"/>
      <c r="H53" t="s">
        <v>192</v>
      </c>
      <c r="I53" s="176" t="e">
        <f>AVERAGEIFS($D$32:$CY$32,#REF!,#REF!, $D$1:$DB$1, I49)</f>
        <v>#REF!</v>
      </c>
      <c r="J53" s="176" t="e">
        <f>AVERAGEIFS($D$32:$CY$32,#REF!,#REF!, $D$1:$DB$1, J49)</f>
        <v>#REF!</v>
      </c>
      <c r="K53" s="176" t="e">
        <f>AVERAGEIFS($D$32:$CY$32,#REF!,#REF!, $D$1:$DB$1, K49)</f>
        <v>#REF!</v>
      </c>
      <c r="L53" s="176" t="e">
        <f>AVERAGEIFS($D$32:$CY$32,#REF!,#REF!, $D$1:$DB$1, L49)</f>
        <v>#REF!</v>
      </c>
      <c r="M53" s="176" t="e">
        <f>AVERAGEIFS($D$32:$CY$32,#REF!,#REF!, $D$1:$DB$1, M49)</f>
        <v>#REF!</v>
      </c>
      <c r="N53" s="176" t="e">
        <f>AVERAGEIFS($D$32:$CY$32,#REF!,#REF!, $D$1:$DB$1, N49)</f>
        <v>#REF!</v>
      </c>
      <c r="O53" s="176" t="e">
        <f>AVERAGEIFS($D$32:$CY$32,#REF!,#REF!, $D$1:$DB$1, O49)</f>
        <v>#REF!</v>
      </c>
      <c r="P53" s="176" t="e">
        <f>AVERAGEIFS($D$32:$CY$32,#REF!,#REF!, $D$1:$DB$1, P49)</f>
        <v>#REF!</v>
      </c>
      <c r="Q53" s="176" t="e">
        <f>AVERAGEIFS($D$32:$CY$32,#REF!,#REF!, $D$1:$DB$1, Q49)</f>
        <v>#REF!</v>
      </c>
      <c r="R53" s="176" t="e">
        <f>AVERAGEIFS($D$32:$CY$32,#REF!,#REF!, $D$1:$DB$1, R49)</f>
        <v>#REF!</v>
      </c>
      <c r="S53" s="176" t="e">
        <f>AVERAGEIFS($D$32:$CY$32,#REF!,#REF!, $D$1:$DB$1, S49)</f>
        <v>#REF!</v>
      </c>
      <c r="T53" s="176" t="e">
        <f>AVERAGEIFS($D$32:$CY$32,#REF!,#REF!, $D$1:$DB$1, T49)</f>
        <v>#REF!</v>
      </c>
      <c r="U53" s="58"/>
      <c r="V53" s="58"/>
      <c r="W53" s="58"/>
      <c r="X53" s="58"/>
      <c r="Y53" s="58"/>
      <c r="Z53" s="58"/>
      <c r="AA53" s="58"/>
      <c r="AB53" s="58"/>
      <c r="AC53" s="194"/>
      <c r="AD53" s="58"/>
      <c r="AE53" s="194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194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194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194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194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194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</row>
    <row r="54" spans="1:111" hidden="1" x14ac:dyDescent="0.3">
      <c r="B54" s="1"/>
      <c r="C54" s="1"/>
      <c r="D54" s="131"/>
      <c r="E54" s="131">
        <f t="shared" ref="E54:F54" si="174">E53/E50-1</f>
        <v>-0.66666666666666674</v>
      </c>
      <c r="F54" s="131">
        <f t="shared" si="174"/>
        <v>-0.66666666666666674</v>
      </c>
      <c r="G54" s="58"/>
      <c r="H54" t="s">
        <v>192</v>
      </c>
      <c r="I54" s="175" t="e">
        <f>I53/I50-1</f>
        <v>#REF!</v>
      </c>
      <c r="J54" s="175" t="e">
        <f t="shared" ref="J54:O54" si="175">J53/J50-1</f>
        <v>#REF!</v>
      </c>
      <c r="K54" s="175" t="e">
        <f t="shared" si="175"/>
        <v>#REF!</v>
      </c>
      <c r="L54" s="175" t="e">
        <f t="shared" si="175"/>
        <v>#REF!</v>
      </c>
      <c r="M54" s="175" t="e">
        <f t="shared" si="175"/>
        <v>#REF!</v>
      </c>
      <c r="N54" s="175" t="e">
        <f t="shared" si="175"/>
        <v>#REF!</v>
      </c>
      <c r="O54" s="216" t="e">
        <f t="shared" si="175"/>
        <v>#REF!</v>
      </c>
      <c r="P54" s="216" t="e">
        <f t="shared" ref="P54:Q54" si="176">P53/P50-1</f>
        <v>#REF!</v>
      </c>
      <c r="Q54" s="216" t="e">
        <f t="shared" si="176"/>
        <v>#REF!</v>
      </c>
      <c r="R54" s="216" t="e">
        <f t="shared" ref="R54:S54" si="177">R53/R50-1</f>
        <v>#REF!</v>
      </c>
      <c r="S54" s="216" t="e">
        <f t="shared" si="177"/>
        <v>#REF!</v>
      </c>
      <c r="T54" s="216" t="e">
        <f t="shared" ref="T54" si="178">T53/T50-1</f>
        <v>#REF!</v>
      </c>
      <c r="U54" s="58"/>
      <c r="V54" s="58"/>
      <c r="W54" s="58"/>
      <c r="X54" s="58"/>
      <c r="Y54" s="58"/>
      <c r="Z54" s="58"/>
      <c r="AA54" s="58"/>
      <c r="AB54" s="58"/>
      <c r="AC54" s="194"/>
      <c r="AD54" s="58"/>
      <c r="AE54" s="194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194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194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194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194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194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</row>
    <row r="55" spans="1:111" hidden="1" x14ac:dyDescent="0.3">
      <c r="B55" s="1"/>
      <c r="C55" s="1"/>
      <c r="D55" s="131"/>
      <c r="E55" s="131">
        <f t="shared" ref="E55:F55" si="179">E52/E50-1</f>
        <v>0</v>
      </c>
      <c r="F55" s="131">
        <f t="shared" si="179"/>
        <v>0</v>
      </c>
      <c r="G55" s="58"/>
      <c r="H55" t="s">
        <v>193</v>
      </c>
      <c r="I55" s="175" t="e">
        <f>I52/I50-1</f>
        <v>#REF!</v>
      </c>
      <c r="J55" s="175" t="e">
        <f t="shared" ref="J55:O55" si="180">J52/J50-1</f>
        <v>#REF!</v>
      </c>
      <c r="K55" s="175" t="e">
        <f t="shared" si="180"/>
        <v>#REF!</v>
      </c>
      <c r="L55" s="175" t="e">
        <f t="shared" si="180"/>
        <v>#REF!</v>
      </c>
      <c r="M55" s="175" t="e">
        <f t="shared" si="180"/>
        <v>#REF!</v>
      </c>
      <c r="N55" s="175" t="e">
        <f t="shared" si="180"/>
        <v>#REF!</v>
      </c>
      <c r="O55" s="216" t="e">
        <f t="shared" si="180"/>
        <v>#REF!</v>
      </c>
      <c r="P55" s="216" t="e">
        <f t="shared" ref="P55:Q55" si="181">P52/P50-1</f>
        <v>#REF!</v>
      </c>
      <c r="Q55" s="216" t="e">
        <f t="shared" si="181"/>
        <v>#REF!</v>
      </c>
      <c r="R55" s="216" t="e">
        <f t="shared" ref="R55:S55" si="182">R52/R50-1</f>
        <v>#REF!</v>
      </c>
      <c r="S55" s="216" t="e">
        <f t="shared" si="182"/>
        <v>#REF!</v>
      </c>
      <c r="T55" s="216" t="e">
        <f t="shared" ref="T55" si="183">T52/T50-1</f>
        <v>#REF!</v>
      </c>
      <c r="U55" s="58"/>
      <c r="V55" s="58"/>
      <c r="W55" s="58"/>
      <c r="X55" s="58"/>
      <c r="Y55" s="58"/>
      <c r="Z55" s="58"/>
      <c r="AA55" s="58"/>
      <c r="AB55" s="58"/>
      <c r="AC55" s="194"/>
      <c r="AD55" s="58"/>
      <c r="AE55" s="194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194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194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194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194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194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</row>
    <row r="56" spans="1:111" x14ac:dyDescent="0.3">
      <c r="B56" s="1"/>
      <c r="C56" s="1"/>
      <c r="D56" s="131"/>
      <c r="E56" s="131"/>
      <c r="F56" s="131"/>
      <c r="G56" s="58"/>
      <c r="I56" s="175"/>
      <c r="J56" s="175"/>
      <c r="K56" s="175"/>
      <c r="L56" s="175"/>
      <c r="M56" s="175"/>
      <c r="N56" s="175"/>
      <c r="O56" s="216"/>
      <c r="P56" s="216"/>
      <c r="Q56" s="216"/>
      <c r="R56" s="216"/>
      <c r="S56" s="216"/>
      <c r="T56" s="216"/>
      <c r="U56" s="58"/>
      <c r="V56" s="58"/>
      <c r="W56" s="58"/>
      <c r="X56" s="58"/>
      <c r="Y56" s="58"/>
      <c r="Z56" s="58"/>
      <c r="AA56" s="58"/>
      <c r="AB56" s="58"/>
      <c r="AC56" s="194"/>
      <c r="AD56" s="58"/>
      <c r="AE56" s="194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194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194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194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194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194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</row>
    <row r="57" spans="1:111" x14ac:dyDescent="0.3">
      <c r="B57" s="1"/>
      <c r="C57" s="1"/>
      <c r="D57" s="131"/>
      <c r="E57" s="131"/>
      <c r="F57" s="131"/>
      <c r="G57" s="58"/>
      <c r="I57" s="175"/>
      <c r="J57" s="175"/>
      <c r="K57" s="175"/>
      <c r="L57" s="175"/>
      <c r="M57" s="175"/>
      <c r="N57" s="175"/>
      <c r="O57" s="216"/>
      <c r="P57" s="216"/>
      <c r="Q57" s="216"/>
      <c r="R57" s="216"/>
      <c r="S57" s="216"/>
      <c r="T57" s="216"/>
      <c r="U57" s="58"/>
      <c r="V57" s="58"/>
      <c r="W57" s="58"/>
      <c r="X57" s="58"/>
      <c r="Y57" s="58"/>
      <c r="Z57" s="58"/>
      <c r="AA57" s="58"/>
      <c r="AB57" s="58"/>
      <c r="AC57" s="194"/>
      <c r="AD57" s="58"/>
      <c r="AE57" s="194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194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194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194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194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194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</row>
    <row r="58" spans="1:111" x14ac:dyDescent="0.3">
      <c r="B58" s="1" t="s">
        <v>353</v>
      </c>
      <c r="C58" s="1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92"/>
      <c r="AD58" s="635">
        <f>+'New Trainers Plan'!M4</f>
        <v>0</v>
      </c>
      <c r="AE58" s="446">
        <f>+'New Trainers Plan'!N4</f>
        <v>0</v>
      </c>
      <c r="AF58" s="445">
        <f>+'New Trainers Plan'!O4</f>
        <v>117.11357142857153</v>
      </c>
      <c r="AG58" s="445">
        <f>+'New Trainers Plan'!P4</f>
        <v>0</v>
      </c>
      <c r="AH58" s="445">
        <f>+'New Trainers Plan'!Q4</f>
        <v>0</v>
      </c>
      <c r="AI58" s="445">
        <f>+'New Trainers Plan'!R4</f>
        <v>108.0813257142858</v>
      </c>
      <c r="AJ58" s="445">
        <f>+'New Trainers Plan'!S4</f>
        <v>200.0887954285713</v>
      </c>
      <c r="AK58" s="445">
        <f>+'New Trainers Plan'!T4</f>
        <v>3887.4672192000003</v>
      </c>
      <c r="AL58" s="445">
        <f>+'New Trainers Plan'!U4</f>
        <v>4447.2079663542854</v>
      </c>
      <c r="AM58" s="445">
        <f>+'New Trainers Plan'!V4</f>
        <v>1117.4675358719996</v>
      </c>
      <c r="AN58" s="445">
        <f>+'New Trainers Plan'!W4</f>
        <v>485.56486788754285</v>
      </c>
      <c r="AO58" s="445">
        <f>+'New Trainers Plan'!X4</f>
        <v>563.14068985673191</v>
      </c>
      <c r="AP58" s="445">
        <f>+'New Trainers Plan'!Y4</f>
        <v>0</v>
      </c>
      <c r="AQ58" s="446">
        <f>+'New Trainers Plan'!Z4</f>
        <v>414.39437457899521</v>
      </c>
      <c r="AR58" s="445">
        <f>+'New Trainers Plan'!AA4</f>
        <v>597.96360687822573</v>
      </c>
      <c r="AS58" s="445">
        <f>+'New Trainers Plan'!AB4</f>
        <v>336.1437855699412</v>
      </c>
      <c r="AT58" s="445">
        <f>+'New Trainers Plan'!AC4</f>
        <v>0</v>
      </c>
      <c r="AU58" s="445">
        <f>+'New Trainers Plan'!AD4</f>
        <v>612.18893908569669</v>
      </c>
      <c r="AV58" s="445">
        <f>+'New Trainers Plan'!AE4</f>
        <v>540.67821056726279</v>
      </c>
      <c r="AW58" s="445">
        <f>+'New Trainers Plan'!AF4</f>
        <v>5688.72201807085</v>
      </c>
      <c r="AX58" s="445">
        <f>+'New Trainers Plan'!AG4</f>
        <v>6404.0892658808061</v>
      </c>
      <c r="AY58" s="445">
        <f>+'New Trainers Plan'!AH4</f>
        <v>1815.5119818740998</v>
      </c>
      <c r="AZ58" s="445">
        <f>+'New Trainers Plan'!AI4</f>
        <v>1017.1559559033038</v>
      </c>
      <c r="BA58" s="445">
        <f>+'New Trainers Plan'!AJ4</f>
        <v>1005.5735735419826</v>
      </c>
      <c r="BB58" s="445">
        <f>+'New Trainers Plan'!AK4</f>
        <v>3.2725880848052924</v>
      </c>
      <c r="BC58" s="446">
        <f>+'New Trainers Plan'!AL4</f>
        <v>1158.7607813148916</v>
      </c>
      <c r="BD58" s="445">
        <f>+'New Trainers Plan'!AM4</f>
        <v>1020.6085149812013</v>
      </c>
      <c r="BE58" s="445">
        <f>+'New Trainers Plan'!AN4</f>
        <v>889.54772284640103</v>
      </c>
      <c r="BF58" s="445">
        <f>+'New Trainers Plan'!AO4</f>
        <v>231.47816621729527</v>
      </c>
      <c r="BG58" s="445">
        <f>+'New Trainers Plan'!AP4</f>
        <v>1165.5608982471754</v>
      </c>
      <c r="BH58" s="445">
        <f>+'New Trainers Plan'!AQ4</f>
        <v>1137.3294235415638</v>
      </c>
      <c r="BI58" s="445">
        <f>+'New Trainers Plan'!AR4</f>
        <v>7646.1099233689847</v>
      </c>
      <c r="BJ58" s="445">
        <f>+'New Trainers Plan'!AS4</f>
        <v>8086.2659540213899</v>
      </c>
      <c r="BK58" s="445">
        <f>+'New Trainers Plan'!AT4</f>
        <v>2895.9276643700555</v>
      </c>
      <c r="BL58" s="445">
        <f>+'New Trainers Plan'!AU4</f>
        <v>1685.7357434477008</v>
      </c>
      <c r="BM58" s="445">
        <f>+'New Trainers Plan'!AV4</f>
        <v>1520.9277439745922</v>
      </c>
      <c r="BN58" s="445">
        <f>+'New Trainers Plan'!AW4</f>
        <v>483.51597550393183</v>
      </c>
      <c r="BO58" s="446">
        <f>+'New Trainers Plan'!AX4</f>
        <v>1927.8126533385537</v>
      </c>
      <c r="BP58" s="445">
        <f>+'New Trainers Plan'!AY4</f>
        <v>1675.6451926985117</v>
      </c>
      <c r="BQ58" s="445">
        <f>+'New Trainers Plan'!AZ4</f>
        <v>1652.1571156191071</v>
      </c>
      <c r="BR58" s="445">
        <f>+'New Trainers Plan'!BA4</f>
        <v>651.90742271736906</v>
      </c>
      <c r="BS58" s="445">
        <f>+'New Trainers Plan'!BB4</f>
        <v>1602.4995824979796</v>
      </c>
      <c r="BT58" s="445">
        <f>+'New Trainers Plan'!BC4</f>
        <v>2117.3247119236062</v>
      </c>
      <c r="BU58" s="445">
        <f>+'New Trainers Plan'!BD4</f>
        <v>10076.069834669201</v>
      </c>
      <c r="BV58" s="445">
        <f>+'New Trainers Plan'!BE4</f>
        <v>10069.130905310541</v>
      </c>
      <c r="BW58" s="445">
        <f>+'New Trainers Plan'!BF4</f>
        <v>4275.8659451905023</v>
      </c>
      <c r="BX58" s="445">
        <f>+'New Trainers Plan'!BG4</f>
        <v>2385.7971259117953</v>
      </c>
      <c r="BY58" s="445">
        <f>+'New Trainers Plan'!BH4</f>
        <v>2557.5210505731279</v>
      </c>
      <c r="BZ58" s="445">
        <f>+'New Trainers Plan'!BI4</f>
        <v>1011.0605291976206</v>
      </c>
      <c r="CA58" s="446">
        <f>+'New Trainers Plan'!BJ4</f>
        <v>2424.3287791969483</v>
      </c>
      <c r="CB58" s="445">
        <f>+'New Trainers Plan'!BK4</f>
        <v>2920.109626329423</v>
      </c>
      <c r="CC58" s="445">
        <f>+'New Trainers Plan'!BL4</f>
        <v>2325.9441528675247</v>
      </c>
      <c r="CD58" s="445">
        <f>+'New Trainers Plan'!BM4</f>
        <v>1146.7960045840116</v>
      </c>
      <c r="CE58" s="445">
        <f>+'New Trainers Plan'!BN4</f>
        <v>2569.2118897839246</v>
      </c>
      <c r="CF58" s="445">
        <f>+'New Trainers Plan'!BO4</f>
        <v>3079.8335275722934</v>
      </c>
      <c r="CG58" s="445">
        <f>+'New Trainers Plan'!BP4</f>
        <v>12427.387280322213</v>
      </c>
      <c r="CH58" s="445">
        <f>+'New Trainers Plan'!BQ4</f>
        <v>13834.557719059676</v>
      </c>
      <c r="CI58" s="445">
        <f>+'New Trainers Plan'!BR4</f>
        <v>5832.7337021035664</v>
      </c>
      <c r="CJ58" s="445">
        <f>+'New Trainers Plan'!BS4</f>
        <v>3167.8825262377127</v>
      </c>
      <c r="CK58" s="445">
        <f>+'New Trainers Plan'!BT4</f>
        <v>3846.7289431040217</v>
      </c>
      <c r="CL58" s="445">
        <f>+'New Trainers Plan'!BU4</f>
        <v>1672.002545756354</v>
      </c>
      <c r="CM58" s="446">
        <f>+'New Trainers Plan'!BV4</f>
        <v>3512.7825569507131</v>
      </c>
      <c r="CN58" s="445">
        <f>+'New Trainers Plan'!BW4</f>
        <v>4135.28425171047</v>
      </c>
      <c r="CO58" s="445">
        <f>+'New Trainers Plan'!BX4</f>
        <v>3308.5483052402446</v>
      </c>
      <c r="CP58" s="445">
        <f>+'New Trainers Plan'!BY4</f>
        <v>1633.6539912968401</v>
      </c>
      <c r="CQ58" s="445">
        <f>+'New Trainers Plan'!BZ4</f>
        <v>3923.2391288751378</v>
      </c>
      <c r="CR58" s="445">
        <f>+'New Trainers Plan'!CA4</f>
        <v>4313.7449990216764</v>
      </c>
      <c r="CS58" s="445">
        <f>+'New Trainers Plan'!CB4</f>
        <v>15314.958260359137</v>
      </c>
      <c r="CT58" s="445">
        <f>+'New Trainers Plan'!CC4</f>
        <v>18796.321199647802</v>
      </c>
      <c r="CU58" s="445">
        <f>+'New Trainers Plan'!CD4</f>
        <v>7366.4785674281566</v>
      </c>
      <c r="CV58" s="445">
        <f>+'New Trainers Plan'!CE4</f>
        <v>4743.5425334494521</v>
      </c>
      <c r="CW58" s="445">
        <f>+'New Trainers Plan'!CF4</f>
        <v>5246.2893791239267</v>
      </c>
      <c r="CX58" s="445">
        <f>+'New Trainers Plan'!CG4</f>
        <v>2368.4372719024595</v>
      </c>
      <c r="CY58" s="445">
        <f>+'New Trainers Plan'!CH4</f>
        <v>5109.1760818548473</v>
      </c>
    </row>
    <row r="59" spans="1:111" s="56" customFormat="1" x14ac:dyDescent="0.3">
      <c r="A59" s="3"/>
      <c r="B59" s="4" t="s">
        <v>352</v>
      </c>
      <c r="C59" s="4"/>
      <c r="AC59" s="193"/>
      <c r="AD59" s="56">
        <f>SUM(AD57:AD58)</f>
        <v>0</v>
      </c>
      <c r="AE59" s="56">
        <f t="shared" ref="AE59:CN59" si="184">SUM(AE57:AE58)</f>
        <v>0</v>
      </c>
      <c r="AF59" s="56">
        <f t="shared" si="184"/>
        <v>117.11357142857153</v>
      </c>
      <c r="AG59" s="56">
        <f t="shared" si="184"/>
        <v>0</v>
      </c>
      <c r="AH59" s="56">
        <f t="shared" si="184"/>
        <v>0</v>
      </c>
      <c r="AI59" s="193">
        <f t="shared" si="184"/>
        <v>108.0813257142858</v>
      </c>
      <c r="AJ59" s="56">
        <f t="shared" si="184"/>
        <v>200.0887954285713</v>
      </c>
      <c r="AK59" s="56">
        <f t="shared" si="184"/>
        <v>3887.4672192000003</v>
      </c>
      <c r="AL59" s="56">
        <f t="shared" si="184"/>
        <v>4447.2079663542854</v>
      </c>
      <c r="AM59" s="193">
        <f t="shared" si="184"/>
        <v>1117.4675358719996</v>
      </c>
      <c r="AN59" s="56">
        <f t="shared" si="184"/>
        <v>485.56486788754285</v>
      </c>
      <c r="AO59" s="56">
        <f t="shared" si="184"/>
        <v>563.14068985673191</v>
      </c>
      <c r="AP59" s="56">
        <f t="shared" si="184"/>
        <v>0</v>
      </c>
      <c r="AQ59" s="56">
        <f t="shared" si="184"/>
        <v>414.39437457899521</v>
      </c>
      <c r="AR59" s="56">
        <f t="shared" si="184"/>
        <v>597.96360687822573</v>
      </c>
      <c r="AS59" s="56">
        <f t="shared" si="184"/>
        <v>336.1437855699412</v>
      </c>
      <c r="AT59" s="56">
        <f t="shared" si="184"/>
        <v>0</v>
      </c>
      <c r="AU59" s="56">
        <f t="shared" si="184"/>
        <v>612.18893908569669</v>
      </c>
      <c r="AV59" s="56">
        <f t="shared" si="184"/>
        <v>540.67821056726279</v>
      </c>
      <c r="AW59" s="56">
        <f t="shared" si="184"/>
        <v>5688.72201807085</v>
      </c>
      <c r="AX59" s="56">
        <f t="shared" si="184"/>
        <v>6404.0892658808061</v>
      </c>
      <c r="AY59" s="193">
        <f t="shared" si="184"/>
        <v>1815.5119818740998</v>
      </c>
      <c r="AZ59" s="56">
        <f t="shared" si="184"/>
        <v>1017.1559559033038</v>
      </c>
      <c r="BA59" s="56">
        <f t="shared" si="184"/>
        <v>1005.5735735419826</v>
      </c>
      <c r="BB59" s="56">
        <f t="shared" si="184"/>
        <v>3.2725880848052924</v>
      </c>
      <c r="BC59" s="56">
        <f t="shared" si="184"/>
        <v>1158.7607813148916</v>
      </c>
      <c r="BD59" s="56">
        <f t="shared" si="184"/>
        <v>1020.6085149812013</v>
      </c>
      <c r="BE59" s="56">
        <f t="shared" si="184"/>
        <v>889.54772284640103</v>
      </c>
      <c r="BF59" s="56">
        <f t="shared" si="184"/>
        <v>231.47816621729527</v>
      </c>
      <c r="BG59" s="56">
        <f t="shared" si="184"/>
        <v>1165.5608982471754</v>
      </c>
      <c r="BH59" s="56">
        <f t="shared" si="184"/>
        <v>1137.3294235415638</v>
      </c>
      <c r="BI59" s="56">
        <f t="shared" si="184"/>
        <v>7646.1099233689847</v>
      </c>
      <c r="BJ59" s="56">
        <f t="shared" si="184"/>
        <v>8086.2659540213899</v>
      </c>
      <c r="BK59" s="193">
        <f t="shared" si="184"/>
        <v>2895.9276643700555</v>
      </c>
      <c r="BL59" s="56">
        <f t="shared" si="184"/>
        <v>1685.7357434477008</v>
      </c>
      <c r="BM59" s="56">
        <f t="shared" si="184"/>
        <v>1520.9277439745922</v>
      </c>
      <c r="BN59" s="56">
        <f t="shared" si="184"/>
        <v>483.51597550393183</v>
      </c>
      <c r="BO59" s="56">
        <f t="shared" si="184"/>
        <v>1927.8126533385537</v>
      </c>
      <c r="BP59" s="56">
        <f t="shared" si="184"/>
        <v>1675.6451926985117</v>
      </c>
      <c r="BQ59" s="56">
        <f t="shared" si="184"/>
        <v>1652.1571156191071</v>
      </c>
      <c r="BR59" s="56">
        <f t="shared" si="184"/>
        <v>651.90742271736906</v>
      </c>
      <c r="BS59" s="56">
        <f t="shared" si="184"/>
        <v>1602.4995824979796</v>
      </c>
      <c r="BT59" s="56">
        <f t="shared" si="184"/>
        <v>2117.3247119236062</v>
      </c>
      <c r="BU59" s="56">
        <f t="shared" si="184"/>
        <v>10076.069834669201</v>
      </c>
      <c r="BV59" s="56">
        <f t="shared" si="184"/>
        <v>10069.130905310541</v>
      </c>
      <c r="BW59" s="193">
        <f t="shared" si="184"/>
        <v>4275.8659451905023</v>
      </c>
      <c r="BX59" s="56">
        <f t="shared" si="184"/>
        <v>2385.7971259117953</v>
      </c>
      <c r="BY59" s="56">
        <f t="shared" si="184"/>
        <v>2557.5210505731279</v>
      </c>
      <c r="BZ59" s="56">
        <f t="shared" si="184"/>
        <v>1011.0605291976206</v>
      </c>
      <c r="CA59" s="56">
        <f t="shared" si="184"/>
        <v>2424.3287791969483</v>
      </c>
      <c r="CB59" s="56">
        <f t="shared" si="184"/>
        <v>2920.109626329423</v>
      </c>
      <c r="CC59" s="56">
        <f t="shared" si="184"/>
        <v>2325.9441528675247</v>
      </c>
      <c r="CD59" s="56">
        <f t="shared" si="184"/>
        <v>1146.7960045840116</v>
      </c>
      <c r="CE59" s="56">
        <f t="shared" si="184"/>
        <v>2569.2118897839246</v>
      </c>
      <c r="CF59" s="56">
        <f t="shared" si="184"/>
        <v>3079.8335275722934</v>
      </c>
      <c r="CG59" s="56">
        <f t="shared" si="184"/>
        <v>12427.387280322213</v>
      </c>
      <c r="CH59" s="56">
        <f t="shared" si="184"/>
        <v>13834.557719059676</v>
      </c>
      <c r="CI59" s="193">
        <f t="shared" si="184"/>
        <v>5832.7337021035664</v>
      </c>
      <c r="CJ59" s="56">
        <f t="shared" si="184"/>
        <v>3167.8825262377127</v>
      </c>
      <c r="CK59" s="56">
        <f t="shared" si="184"/>
        <v>3846.7289431040217</v>
      </c>
      <c r="CL59" s="56">
        <f t="shared" si="184"/>
        <v>1672.002545756354</v>
      </c>
      <c r="CM59" s="56">
        <f t="shared" si="184"/>
        <v>3512.7825569507131</v>
      </c>
      <c r="CN59" s="56">
        <f t="shared" si="184"/>
        <v>4135.28425171047</v>
      </c>
      <c r="CO59" s="56">
        <f t="shared" ref="CO59:DG59" si="185">SUM(CO57:CO58)</f>
        <v>3308.5483052402446</v>
      </c>
      <c r="CP59" s="56">
        <f t="shared" si="185"/>
        <v>1633.6539912968401</v>
      </c>
      <c r="CQ59" s="56">
        <f t="shared" si="185"/>
        <v>3923.2391288751378</v>
      </c>
      <c r="CR59" s="56">
        <f t="shared" si="185"/>
        <v>4313.7449990216764</v>
      </c>
      <c r="CS59" s="56">
        <f t="shared" si="185"/>
        <v>15314.958260359137</v>
      </c>
      <c r="CT59" s="56">
        <f t="shared" si="185"/>
        <v>18796.321199647802</v>
      </c>
      <c r="CU59" s="193">
        <f t="shared" si="185"/>
        <v>7366.4785674281566</v>
      </c>
      <c r="CV59" s="56">
        <f t="shared" si="185"/>
        <v>4743.5425334494521</v>
      </c>
      <c r="CW59" s="56">
        <f t="shared" si="185"/>
        <v>5246.2893791239267</v>
      </c>
      <c r="CX59" s="56">
        <f t="shared" si="185"/>
        <v>2368.4372719024595</v>
      </c>
      <c r="CY59" s="56">
        <f t="shared" si="185"/>
        <v>5109.1760818548473</v>
      </c>
      <c r="CZ59" s="56">
        <f t="shared" si="185"/>
        <v>0</v>
      </c>
      <c r="DA59" s="56">
        <f t="shared" si="185"/>
        <v>0</v>
      </c>
      <c r="DB59" s="56">
        <f t="shared" si="185"/>
        <v>0</v>
      </c>
      <c r="DC59" s="56">
        <f t="shared" si="185"/>
        <v>0</v>
      </c>
      <c r="DD59" s="56">
        <f t="shared" si="185"/>
        <v>0</v>
      </c>
      <c r="DE59" s="56">
        <f t="shared" si="185"/>
        <v>0</v>
      </c>
      <c r="DF59" s="56">
        <f t="shared" si="185"/>
        <v>0</v>
      </c>
      <c r="DG59" s="56">
        <f t="shared" si="185"/>
        <v>0</v>
      </c>
    </row>
    <row r="60" spans="1:111" ht="1.95" customHeight="1" x14ac:dyDescent="0.3">
      <c r="B60" s="1"/>
      <c r="C60" s="1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194"/>
      <c r="AD60" s="58"/>
      <c r="AE60" s="194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194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194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194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194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194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</row>
    <row r="61" spans="1:111" s="56" customFormat="1" x14ac:dyDescent="0.3">
      <c r="A61" s="3"/>
      <c r="B61" s="4" t="s">
        <v>3</v>
      </c>
      <c r="C61" s="4"/>
      <c r="E61" s="56">
        <f t="shared" ref="E61:S61" si="186">E12</f>
        <v>0</v>
      </c>
      <c r="F61" s="56">
        <f t="shared" si="186"/>
        <v>0</v>
      </c>
      <c r="G61" s="56">
        <f t="shared" si="186"/>
        <v>0</v>
      </c>
      <c r="H61" s="56">
        <f t="shared" si="186"/>
        <v>0</v>
      </c>
      <c r="I61" s="56">
        <f t="shared" si="186"/>
        <v>0</v>
      </c>
      <c r="J61" s="56">
        <f t="shared" si="186"/>
        <v>0</v>
      </c>
      <c r="K61" s="56">
        <f t="shared" si="186"/>
        <v>0</v>
      </c>
      <c r="L61" s="56">
        <f t="shared" si="186"/>
        <v>0</v>
      </c>
      <c r="M61" s="56">
        <f t="shared" si="186"/>
        <v>0</v>
      </c>
      <c r="N61" s="56">
        <f t="shared" si="186"/>
        <v>0</v>
      </c>
      <c r="O61" s="56">
        <f t="shared" si="186"/>
        <v>0</v>
      </c>
      <c r="P61" s="56">
        <f t="shared" si="186"/>
        <v>0</v>
      </c>
      <c r="Q61" s="56">
        <f t="shared" si="186"/>
        <v>0</v>
      </c>
      <c r="R61" s="56">
        <f t="shared" si="186"/>
        <v>0</v>
      </c>
      <c r="S61" s="56">
        <f t="shared" si="186"/>
        <v>0</v>
      </c>
      <c r="T61" s="56">
        <f t="shared" ref="T61:AY61" si="187">T12-T59</f>
        <v>0</v>
      </c>
      <c r="U61" s="56">
        <f t="shared" si="187"/>
        <v>370</v>
      </c>
      <c r="V61" s="56">
        <f t="shared" si="187"/>
        <v>510</v>
      </c>
      <c r="W61" s="56">
        <f t="shared" si="187"/>
        <v>0</v>
      </c>
      <c r="X61" s="56">
        <f t="shared" si="187"/>
        <v>1650</v>
      </c>
      <c r="Y61" s="56">
        <f t="shared" si="187"/>
        <v>3945</v>
      </c>
      <c r="Z61" s="56">
        <f t="shared" si="187"/>
        <v>4742.9400000000005</v>
      </c>
      <c r="AA61" s="56">
        <f t="shared" si="187"/>
        <v>720</v>
      </c>
      <c r="AB61" s="56">
        <f t="shared" si="187"/>
        <v>1705</v>
      </c>
      <c r="AC61" s="193">
        <f t="shared" si="187"/>
        <v>810</v>
      </c>
      <c r="AD61" s="56">
        <f t="shared" si="187"/>
        <v>2360</v>
      </c>
      <c r="AE61" s="193">
        <f t="shared" si="187"/>
        <v>5180</v>
      </c>
      <c r="AF61" s="56">
        <f t="shared" si="187"/>
        <v>5862.386428571428</v>
      </c>
      <c r="AG61" s="56">
        <f t="shared" si="187"/>
        <v>6424.2</v>
      </c>
      <c r="AH61" s="56">
        <f t="shared" si="187"/>
        <v>5123.5199999999995</v>
      </c>
      <c r="AI61" s="56">
        <f t="shared" si="187"/>
        <v>6780.0306742857138</v>
      </c>
      <c r="AJ61" s="56">
        <f t="shared" si="187"/>
        <v>7011.778404571427</v>
      </c>
      <c r="AK61" s="56">
        <f t="shared" si="187"/>
        <v>19908.653100799998</v>
      </c>
      <c r="AL61" s="56">
        <f t="shared" si="187"/>
        <v>20532.464225645712</v>
      </c>
      <c r="AM61" s="56">
        <f t="shared" si="187"/>
        <v>7096.3357793279993</v>
      </c>
      <c r="AN61" s="56">
        <f t="shared" si="187"/>
        <v>7994.2171212324547</v>
      </c>
      <c r="AO61" s="56">
        <f t="shared" si="187"/>
        <v>8013.7285036152671</v>
      </c>
      <c r="AP61" s="56">
        <f t="shared" si="187"/>
        <v>6737.6215160831989</v>
      </c>
      <c r="AQ61" s="193">
        <f t="shared" si="187"/>
        <v>8317.1785350709251</v>
      </c>
      <c r="AR61" s="56">
        <f t="shared" si="187"/>
        <v>8397.4801389117256</v>
      </c>
      <c r="AS61" s="56">
        <f t="shared" si="187"/>
        <v>8580.1224619040295</v>
      </c>
      <c r="AT61" s="56">
        <f t="shared" si="187"/>
        <v>6896.2597484843809</v>
      </c>
      <c r="AU61" s="56">
        <f t="shared" si="187"/>
        <v>8477.0669100049308</v>
      </c>
      <c r="AV61" s="56">
        <f t="shared" si="187"/>
        <v>8691.8752988871129</v>
      </c>
      <c r="AW61" s="56">
        <f t="shared" si="187"/>
        <v>24567.310087601778</v>
      </c>
      <c r="AX61" s="56">
        <f t="shared" si="187"/>
        <v>25335.529997522768</v>
      </c>
      <c r="AY61" s="56">
        <f t="shared" si="187"/>
        <v>8612.2595761680423</v>
      </c>
      <c r="AZ61" s="56">
        <f t="shared" ref="AZ61:CE61" si="188">AZ12-AZ59</f>
        <v>9703.5069789219833</v>
      </c>
      <c r="BA61" s="56">
        <f t="shared" si="188"/>
        <v>9820.8241873531897</v>
      </c>
      <c r="BB61" s="56">
        <f t="shared" si="188"/>
        <v>8476.5660684522991</v>
      </c>
      <c r="BC61" s="193">
        <f t="shared" si="188"/>
        <v>9843.1424126073707</v>
      </c>
      <c r="BD61" s="56">
        <f t="shared" si="188"/>
        <v>10259.533401372157</v>
      </c>
      <c r="BE61" s="56">
        <f t="shared" si="188"/>
        <v>10487.537426965615</v>
      </c>
      <c r="BF61" s="56">
        <f t="shared" si="188"/>
        <v>8693.7729236699142</v>
      </c>
      <c r="BG61" s="56">
        <f t="shared" si="188"/>
        <v>10378.589755685151</v>
      </c>
      <c r="BH61" s="56">
        <f t="shared" si="188"/>
        <v>10683.160968817832</v>
      </c>
      <c r="BI61" s="56">
        <f t="shared" si="188"/>
        <v>30810.184312046655</v>
      </c>
      <c r="BJ61" s="56">
        <f t="shared" si="188"/>
        <v>32152.510587227993</v>
      </c>
      <c r="BK61" s="56">
        <f t="shared" si="188"/>
        <v>10321.838260379571</v>
      </c>
      <c r="BL61" s="56">
        <f t="shared" si="188"/>
        <v>11851.423811402074</v>
      </c>
      <c r="BM61" s="56">
        <f t="shared" si="188"/>
        <v>12117.867988935272</v>
      </c>
      <c r="BN61" s="56">
        <f t="shared" si="188"/>
        <v>10176.261464241987</v>
      </c>
      <c r="BO61" s="193">
        <f t="shared" si="188"/>
        <v>12082.053810508995</v>
      </c>
      <c r="BP61" s="56">
        <f t="shared" si="188"/>
        <v>12569.274685610015</v>
      </c>
      <c r="BQ61" s="56">
        <f t="shared" si="188"/>
        <v>12636.294811366006</v>
      </c>
      <c r="BR61" s="56">
        <f t="shared" si="188"/>
        <v>10497.663733473697</v>
      </c>
      <c r="BS61" s="56">
        <f t="shared" si="188"/>
        <v>13001.243111216658</v>
      </c>
      <c r="BT61" s="56">
        <f t="shared" si="188"/>
        <v>12708.920904305174</v>
      </c>
      <c r="BU61" s="56">
        <f t="shared" si="188"/>
        <v>38483.677535068069</v>
      </c>
      <c r="BV61" s="56">
        <f t="shared" si="188"/>
        <v>40739.717516531811</v>
      </c>
      <c r="BW61" s="56">
        <f t="shared" si="188"/>
        <v>12285.443107914909</v>
      </c>
      <c r="BX61" s="56">
        <f t="shared" si="188"/>
        <v>14734.98830595145</v>
      </c>
      <c r="BY61" s="56">
        <f t="shared" si="188"/>
        <v>14786.450208544813</v>
      </c>
      <c r="BZ61" s="56">
        <f t="shared" si="188"/>
        <v>12426.822226273141</v>
      </c>
      <c r="CA61" s="193">
        <f t="shared" si="188"/>
        <v>15139.900874085506</v>
      </c>
      <c r="CB61" s="56">
        <f t="shared" si="188"/>
        <v>15029.928165640045</v>
      </c>
      <c r="CC61" s="56">
        <f t="shared" si="188"/>
        <v>15750.578522314156</v>
      </c>
      <c r="CD61" s="56">
        <f t="shared" si="188"/>
        <v>12990.617600524994</v>
      </c>
      <c r="CE61" s="56">
        <f t="shared" si="188"/>
        <v>15739.736273281476</v>
      </c>
      <c r="CF61" s="56">
        <f t="shared" ref="CF61:CY61" si="189">CF12-CF59</f>
        <v>15564.535370266945</v>
      </c>
      <c r="CG61" s="56">
        <f t="shared" si="189"/>
        <v>48735.734058381327</v>
      </c>
      <c r="CH61" s="56">
        <f t="shared" si="189"/>
        <v>50304.315084162445</v>
      </c>
      <c r="CI61" s="56">
        <f t="shared" si="189"/>
        <v>15055.089979829703</v>
      </c>
      <c r="CJ61" s="56">
        <f t="shared" si="189"/>
        <v>18378.811682922245</v>
      </c>
      <c r="CK61" s="56">
        <f t="shared" si="189"/>
        <v>17955.287582391946</v>
      </c>
      <c r="CL61" s="56">
        <f t="shared" si="189"/>
        <v>15225.707369541225</v>
      </c>
      <c r="CM61" s="193">
        <f t="shared" si="189"/>
        <v>18752.343392227827</v>
      </c>
      <c r="CN61" s="56">
        <f t="shared" si="189"/>
        <v>18667.791317796655</v>
      </c>
      <c r="CO61" s="56">
        <f t="shared" si="189"/>
        <v>19489.797036464028</v>
      </c>
      <c r="CP61" s="56">
        <f t="shared" si="189"/>
        <v>16099.353213725717</v>
      </c>
      <c r="CQ61" s="56">
        <f t="shared" si="189"/>
        <v>19205.565194138391</v>
      </c>
      <c r="CR61" s="56">
        <f t="shared" si="189"/>
        <v>19270.037594786438</v>
      </c>
      <c r="CS61" s="56">
        <f t="shared" si="189"/>
        <v>62106.811295925727</v>
      </c>
      <c r="CT61" s="56">
        <f t="shared" si="189"/>
        <v>62385.740534123106</v>
      </c>
      <c r="CU61" s="56">
        <f t="shared" si="189"/>
        <v>19050.258472834394</v>
      </c>
      <c r="CV61" s="56">
        <f t="shared" si="189"/>
        <v>22592.999690708079</v>
      </c>
      <c r="CW61" s="56">
        <f t="shared" si="189"/>
        <v>22292.135955370592</v>
      </c>
      <c r="CX61" s="56">
        <f t="shared" si="189"/>
        <v>19116.11792879425</v>
      </c>
      <c r="CY61" s="56">
        <f t="shared" si="189"/>
        <v>22983.057038563176</v>
      </c>
    </row>
    <row r="62" spans="1:111" s="56" customFormat="1" x14ac:dyDescent="0.3">
      <c r="A62"/>
      <c r="B62" s="1" t="s">
        <v>308</v>
      </c>
      <c r="C62" s="1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194"/>
      <c r="AD62" s="58"/>
      <c r="AE62" s="194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194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194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194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194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194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</row>
    <row r="63" spans="1:111" s="56" customFormat="1" x14ac:dyDescent="0.3">
      <c r="A63"/>
      <c r="B63" s="1"/>
      <c r="C63" s="1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194"/>
      <c r="AD63" s="58"/>
      <c r="AE63" s="194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194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194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194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194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194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</row>
    <row r="64" spans="1:111" s="56" customFormat="1" x14ac:dyDescent="0.3">
      <c r="A64"/>
      <c r="B64" s="1" t="s">
        <v>308</v>
      </c>
      <c r="C64" s="1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192">
        <v>14</v>
      </c>
      <c r="AD64" s="479">
        <v>25</v>
      </c>
      <c r="AE64" s="192">
        <v>500</v>
      </c>
      <c r="AF64" s="113">
        <f>+AE64*1.2</f>
        <v>600</v>
      </c>
      <c r="AG64" s="113">
        <f t="shared" ref="AG64" si="190">+AF64</f>
        <v>600</v>
      </c>
      <c r="AH64" s="113">
        <f t="shared" ref="AH64" si="191">+AG64</f>
        <v>600</v>
      </c>
      <c r="AI64" s="113">
        <f t="shared" ref="AI64" si="192">+AH64</f>
        <v>600</v>
      </c>
      <c r="AJ64" s="113">
        <f t="shared" ref="AJ64" si="193">+AI64</f>
        <v>600</v>
      </c>
      <c r="AK64" s="113">
        <f t="shared" ref="AK64" si="194">+AJ64</f>
        <v>600</v>
      </c>
      <c r="AL64" s="113">
        <f t="shared" ref="AL64" si="195">+AK64</f>
        <v>600</v>
      </c>
      <c r="AM64" s="113">
        <f t="shared" ref="AM64" si="196">+AL64</f>
        <v>600</v>
      </c>
      <c r="AN64" s="113">
        <f t="shared" ref="AN64" si="197">+AM64</f>
        <v>600</v>
      </c>
      <c r="AO64" s="113">
        <f t="shared" ref="AO64" si="198">+AN64</f>
        <v>600</v>
      </c>
      <c r="AP64" s="113">
        <f t="shared" ref="AP64" si="199">+AO64</f>
        <v>600</v>
      </c>
      <c r="AQ64" s="192">
        <f t="shared" ref="AQ64" si="200">+AP64</f>
        <v>600</v>
      </c>
      <c r="AR64" s="479">
        <f>+AQ64*1.2</f>
        <v>720</v>
      </c>
      <c r="AS64" s="113">
        <f t="shared" ref="AS64" si="201">+AR64</f>
        <v>720</v>
      </c>
      <c r="AT64" s="113">
        <f t="shared" ref="AT64" si="202">+AS64</f>
        <v>720</v>
      </c>
      <c r="AU64" s="113">
        <f t="shared" ref="AU64" si="203">+AT64</f>
        <v>720</v>
      </c>
      <c r="AV64" s="113">
        <f t="shared" ref="AV64" si="204">+AU64</f>
        <v>720</v>
      </c>
      <c r="AW64" s="113">
        <f t="shared" ref="AW64" si="205">+AV64</f>
        <v>720</v>
      </c>
      <c r="AX64" s="113">
        <f t="shared" ref="AX64" si="206">+AW64</f>
        <v>720</v>
      </c>
      <c r="AY64" s="113">
        <f t="shared" ref="AY64" si="207">+AX64</f>
        <v>720</v>
      </c>
      <c r="AZ64" s="113">
        <f t="shared" ref="AZ64" si="208">+AY64</f>
        <v>720</v>
      </c>
      <c r="BA64" s="113">
        <f t="shared" ref="BA64" si="209">+AZ64</f>
        <v>720</v>
      </c>
      <c r="BB64" s="113">
        <f t="shared" ref="BB64" si="210">+BA64</f>
        <v>720</v>
      </c>
      <c r="BC64" s="192">
        <f t="shared" ref="BC64" si="211">+BB64</f>
        <v>720</v>
      </c>
      <c r="BD64" s="479">
        <f>+BC64*1.2</f>
        <v>864</v>
      </c>
      <c r="BE64" s="113">
        <f t="shared" ref="BE64" si="212">+BD64</f>
        <v>864</v>
      </c>
      <c r="BF64" s="113">
        <f t="shared" ref="BF64" si="213">+BE64</f>
        <v>864</v>
      </c>
      <c r="BG64" s="113">
        <f t="shared" ref="BG64" si="214">+BF64</f>
        <v>864</v>
      </c>
      <c r="BH64" s="113">
        <f t="shared" ref="BH64" si="215">+BG64</f>
        <v>864</v>
      </c>
      <c r="BI64" s="113">
        <f t="shared" ref="BI64" si="216">+BH64</f>
        <v>864</v>
      </c>
      <c r="BJ64" s="113">
        <f t="shared" ref="BJ64" si="217">+BI64</f>
        <v>864</v>
      </c>
      <c r="BK64" s="113">
        <f t="shared" ref="BK64" si="218">+BJ64</f>
        <v>864</v>
      </c>
      <c r="BL64" s="113">
        <f t="shared" ref="BL64" si="219">+BK64</f>
        <v>864</v>
      </c>
      <c r="BM64" s="113">
        <f t="shared" ref="BM64" si="220">+BL64</f>
        <v>864</v>
      </c>
      <c r="BN64" s="113">
        <f t="shared" ref="BN64" si="221">+BM64</f>
        <v>864</v>
      </c>
      <c r="BO64" s="192">
        <f t="shared" ref="BO64" si="222">+BN64</f>
        <v>864</v>
      </c>
      <c r="BP64" s="479">
        <f>+BO64*1.2</f>
        <v>1036.8</v>
      </c>
      <c r="BQ64" s="113">
        <f t="shared" ref="BQ64" si="223">+BP64</f>
        <v>1036.8</v>
      </c>
      <c r="BR64" s="113">
        <f t="shared" ref="BR64" si="224">+BQ64</f>
        <v>1036.8</v>
      </c>
      <c r="BS64" s="113">
        <f t="shared" ref="BS64" si="225">+BR64</f>
        <v>1036.8</v>
      </c>
      <c r="BT64" s="113">
        <f t="shared" ref="BT64" si="226">+BS64</f>
        <v>1036.8</v>
      </c>
      <c r="BU64" s="113">
        <f t="shared" ref="BU64" si="227">+BT64</f>
        <v>1036.8</v>
      </c>
      <c r="BV64" s="113">
        <f t="shared" ref="BV64" si="228">+BU64</f>
        <v>1036.8</v>
      </c>
      <c r="BW64" s="113">
        <f t="shared" ref="BW64" si="229">+BV64</f>
        <v>1036.8</v>
      </c>
      <c r="BX64" s="113">
        <f t="shared" ref="BX64" si="230">+BW64</f>
        <v>1036.8</v>
      </c>
      <c r="BY64" s="113">
        <f t="shared" ref="BY64" si="231">+BX64</f>
        <v>1036.8</v>
      </c>
      <c r="BZ64" s="113">
        <f t="shared" ref="BZ64" si="232">+BY64</f>
        <v>1036.8</v>
      </c>
      <c r="CA64" s="192">
        <f t="shared" ref="CA64" si="233">+BZ64</f>
        <v>1036.8</v>
      </c>
      <c r="CB64" s="479">
        <f>+CA64*1.2</f>
        <v>1244.1599999999999</v>
      </c>
      <c r="CC64" s="113">
        <f t="shared" ref="CC64" si="234">+CB64</f>
        <v>1244.1599999999999</v>
      </c>
      <c r="CD64" s="113">
        <f t="shared" ref="CD64" si="235">+CC64</f>
        <v>1244.1599999999999</v>
      </c>
      <c r="CE64" s="113">
        <f t="shared" ref="CE64" si="236">+CD64</f>
        <v>1244.1599999999999</v>
      </c>
      <c r="CF64" s="113">
        <f t="shared" ref="CF64" si="237">+CE64</f>
        <v>1244.1599999999999</v>
      </c>
      <c r="CG64" s="113">
        <f t="shared" ref="CG64" si="238">+CF64</f>
        <v>1244.1599999999999</v>
      </c>
      <c r="CH64" s="113">
        <f t="shared" ref="CH64" si="239">+CG64</f>
        <v>1244.1599999999999</v>
      </c>
      <c r="CI64" s="113">
        <f t="shared" ref="CI64" si="240">+CH64</f>
        <v>1244.1599999999999</v>
      </c>
      <c r="CJ64" s="113">
        <f t="shared" ref="CJ64" si="241">+CI64</f>
        <v>1244.1599999999999</v>
      </c>
      <c r="CK64" s="113">
        <f t="shared" ref="CK64" si="242">+CJ64</f>
        <v>1244.1599999999999</v>
      </c>
      <c r="CL64" s="113">
        <f t="shared" ref="CL64" si="243">+CK64</f>
        <v>1244.1599999999999</v>
      </c>
      <c r="CM64" s="192">
        <f t="shared" ref="CM64" si="244">+CL64</f>
        <v>1244.1599999999999</v>
      </c>
      <c r="CN64" s="479">
        <f>+CM64*1.2</f>
        <v>1492.9919999999997</v>
      </c>
      <c r="CO64" s="113">
        <f t="shared" ref="CO64" si="245">+CN64</f>
        <v>1492.9919999999997</v>
      </c>
      <c r="CP64" s="113">
        <f t="shared" ref="CP64" si="246">+CO64</f>
        <v>1492.9919999999997</v>
      </c>
      <c r="CQ64" s="113">
        <f t="shared" ref="CQ64" si="247">+CP64</f>
        <v>1492.9919999999997</v>
      </c>
      <c r="CR64" s="113">
        <f t="shared" ref="CR64" si="248">+CQ64</f>
        <v>1492.9919999999997</v>
      </c>
      <c r="CS64" s="113">
        <f t="shared" ref="CS64" si="249">+CR64</f>
        <v>1492.9919999999997</v>
      </c>
      <c r="CT64" s="113">
        <f t="shared" ref="CT64" si="250">+CS64</f>
        <v>1492.9919999999997</v>
      </c>
      <c r="CU64" s="113">
        <f t="shared" ref="CU64" si="251">+CT64</f>
        <v>1492.9919999999997</v>
      </c>
      <c r="CV64" s="113">
        <f t="shared" ref="CV64" si="252">+CU64</f>
        <v>1492.9919999999997</v>
      </c>
      <c r="CW64" s="113">
        <f t="shared" ref="CW64" si="253">+CV64</f>
        <v>1492.9919999999997</v>
      </c>
      <c r="CX64" s="113">
        <f t="shared" ref="CX64" si="254">+CW64</f>
        <v>1492.9919999999997</v>
      </c>
      <c r="CY64" s="113">
        <f t="shared" ref="CY64" si="255">+CX64</f>
        <v>1492.9919999999997</v>
      </c>
    </row>
    <row r="65" spans="1:103" s="56" customFormat="1" x14ac:dyDescent="0.3">
      <c r="A65"/>
      <c r="B65" s="1" t="s">
        <v>4</v>
      </c>
      <c r="C65" s="1"/>
      <c r="D65" s="2"/>
      <c r="E65" s="2"/>
      <c r="F6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576"/>
      <c r="AD65"/>
      <c r="AE65" s="191"/>
      <c r="AF65"/>
      <c r="AG65"/>
      <c r="AH65"/>
      <c r="AI65"/>
      <c r="AJ65"/>
      <c r="AK65"/>
      <c r="AL65"/>
      <c r="AM65"/>
      <c r="AN65"/>
      <c r="AO65"/>
      <c r="AP65"/>
      <c r="AQ65" s="191"/>
      <c r="AR65"/>
      <c r="AS65"/>
      <c r="AT65"/>
      <c r="AU65"/>
      <c r="AV65"/>
      <c r="AW65"/>
      <c r="AX65"/>
      <c r="AY65"/>
      <c r="AZ65"/>
      <c r="BA65"/>
      <c r="BB65"/>
      <c r="BC65" s="191"/>
      <c r="BD65"/>
      <c r="BE65"/>
      <c r="BF65"/>
      <c r="BG65"/>
      <c r="BH65"/>
      <c r="BI65"/>
      <c r="BJ65"/>
      <c r="BK65"/>
      <c r="BL65"/>
      <c r="BM65"/>
      <c r="BN65"/>
      <c r="BO65" s="191"/>
      <c r="BP65"/>
      <c r="BQ65"/>
      <c r="BR65"/>
      <c r="BS65"/>
      <c r="BT65"/>
      <c r="BU65"/>
      <c r="BV65"/>
      <c r="BW65"/>
      <c r="BX65"/>
      <c r="BY65"/>
      <c r="BZ65"/>
      <c r="CA65" s="191"/>
      <c r="CB65"/>
      <c r="CC65"/>
      <c r="CD65"/>
      <c r="CE65"/>
      <c r="CF65"/>
      <c r="CG65"/>
      <c r="CH65"/>
      <c r="CI65"/>
      <c r="CJ65"/>
      <c r="CK65"/>
      <c r="CL65"/>
      <c r="CM65" s="191"/>
      <c r="CN65"/>
      <c r="CO65"/>
      <c r="CP65"/>
      <c r="CQ65"/>
      <c r="CR65"/>
      <c r="CS65"/>
      <c r="CT65"/>
      <c r="CU65"/>
      <c r="CV65"/>
      <c r="CW65"/>
      <c r="CX65"/>
      <c r="CY65"/>
    </row>
    <row r="66" spans="1:103" x14ac:dyDescent="0.3">
      <c r="B66" s="1" t="s">
        <v>293</v>
      </c>
      <c r="C66" s="1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92"/>
      <c r="AE66" s="192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92"/>
      <c r="AR66" s="115"/>
      <c r="AS66" s="115"/>
      <c r="AT66" s="115"/>
      <c r="AU66" s="115"/>
      <c r="AV66" s="115"/>
      <c r="AW66" s="115"/>
      <c r="AX66" s="115"/>
      <c r="AY66" s="115"/>
      <c r="AZ66" s="115"/>
      <c r="BA66" s="115"/>
      <c r="BB66" s="115"/>
      <c r="BC66" s="192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92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92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92"/>
      <c r="CN66" s="115"/>
      <c r="CO66" s="115"/>
      <c r="CP66" s="115"/>
      <c r="CQ66" s="115"/>
      <c r="CR66" s="115"/>
      <c r="CS66" s="115"/>
      <c r="CT66" s="115"/>
      <c r="CU66" s="115"/>
      <c r="CV66" s="115"/>
      <c r="CW66" s="115"/>
      <c r="CX66" s="115"/>
      <c r="CY66" s="115"/>
    </row>
    <row r="67" spans="1:103" s="58" customFormat="1" x14ac:dyDescent="0.3">
      <c r="A67"/>
      <c r="B67" s="1" t="s">
        <v>294</v>
      </c>
      <c r="C67" s="1"/>
      <c r="D67" s="2"/>
      <c r="E67" s="2"/>
      <c r="F67"/>
      <c r="G67" s="2"/>
      <c r="H67" s="2"/>
      <c r="I67" s="2"/>
      <c r="J67" s="2"/>
      <c r="K67" s="2"/>
      <c r="L67" s="2"/>
      <c r="M67" s="2"/>
      <c r="N67" s="2"/>
      <c r="O67" s="2"/>
      <c r="P67" s="2"/>
      <c r="Q67" s="11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576"/>
      <c r="AD67"/>
      <c r="AE67" s="191"/>
      <c r="AF67"/>
      <c r="AG67"/>
      <c r="AH67"/>
      <c r="AI67"/>
      <c r="AJ67"/>
      <c r="AK67"/>
      <c r="AL67"/>
      <c r="AM67"/>
      <c r="AN67"/>
      <c r="AO67"/>
      <c r="AP67"/>
      <c r="AQ67" s="191"/>
      <c r="AR67"/>
      <c r="AS67"/>
      <c r="AT67"/>
      <c r="AU67"/>
      <c r="AV67"/>
      <c r="AW67"/>
      <c r="AX67"/>
      <c r="AY67"/>
      <c r="AZ67"/>
      <c r="BA67"/>
      <c r="BB67"/>
      <c r="BC67" s="191"/>
      <c r="BD67"/>
      <c r="BE67"/>
      <c r="BF67"/>
      <c r="BG67"/>
      <c r="BH67"/>
      <c r="BI67"/>
      <c r="BJ67"/>
      <c r="BK67"/>
      <c r="BL67"/>
      <c r="BM67"/>
      <c r="BN67"/>
      <c r="BO67" s="191"/>
      <c r="BP67"/>
      <c r="BQ67"/>
      <c r="BR67"/>
      <c r="BS67"/>
      <c r="BT67"/>
      <c r="BU67"/>
      <c r="BV67"/>
      <c r="BW67"/>
      <c r="BX67"/>
      <c r="BY67"/>
      <c r="BZ67"/>
      <c r="CA67" s="191"/>
      <c r="CB67"/>
      <c r="CC67"/>
      <c r="CD67"/>
      <c r="CE67"/>
      <c r="CF67"/>
      <c r="CG67"/>
      <c r="CH67"/>
      <c r="CI67"/>
      <c r="CJ67"/>
      <c r="CK67"/>
      <c r="CL67"/>
      <c r="CM67" s="191"/>
      <c r="CN67"/>
      <c r="CO67"/>
      <c r="CP67"/>
      <c r="CQ67"/>
      <c r="CR67"/>
      <c r="CS67"/>
      <c r="CT67"/>
      <c r="CU67"/>
      <c r="CV67"/>
      <c r="CW67"/>
      <c r="CX67"/>
      <c r="CY67"/>
    </row>
    <row r="68" spans="1:103" x14ac:dyDescent="0.3">
      <c r="B68" s="1" t="s">
        <v>295</v>
      </c>
      <c r="C68" s="1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>
        <f>SUM(Q67)</f>
        <v>0</v>
      </c>
      <c r="R68" s="115">
        <f t="shared" ref="R68:S68" si="256">SUM(R67)</f>
        <v>0</v>
      </c>
      <c r="S68" s="115">
        <f t="shared" si="256"/>
        <v>0</v>
      </c>
      <c r="T68" s="115"/>
      <c r="U68" s="115"/>
      <c r="V68" s="115">
        <v>125</v>
      </c>
      <c r="W68" s="115">
        <v>125</v>
      </c>
      <c r="X68" s="115">
        <v>125</v>
      </c>
      <c r="Y68" s="115">
        <v>125</v>
      </c>
      <c r="Z68" s="115">
        <v>250</v>
      </c>
      <c r="AA68" s="115">
        <v>125</v>
      </c>
      <c r="AB68" s="115">
        <v>125</v>
      </c>
      <c r="AC68" s="192">
        <v>125</v>
      </c>
      <c r="AD68" s="408">
        <f t="shared" ref="AD68" si="257">+AVERAGE(AA68:AC68)</f>
        <v>125</v>
      </c>
      <c r="AE68" s="192">
        <f t="shared" ref="AE68:CI70" si="258">+AD68</f>
        <v>125</v>
      </c>
      <c r="AF68" s="115">
        <f t="shared" si="258"/>
        <v>125</v>
      </c>
      <c r="AG68" s="115">
        <f t="shared" si="258"/>
        <v>125</v>
      </c>
      <c r="AH68" s="115">
        <f t="shared" si="258"/>
        <v>125</v>
      </c>
      <c r="AI68" s="115">
        <f t="shared" si="258"/>
        <v>125</v>
      </c>
      <c r="AJ68" s="115">
        <f t="shared" si="258"/>
        <v>125</v>
      </c>
      <c r="AK68" s="115">
        <f t="shared" si="258"/>
        <v>125</v>
      </c>
      <c r="AL68" s="115">
        <f t="shared" si="258"/>
        <v>125</v>
      </c>
      <c r="AM68" s="115">
        <f t="shared" si="258"/>
        <v>125</v>
      </c>
      <c r="AN68" s="115">
        <f t="shared" si="258"/>
        <v>125</v>
      </c>
      <c r="AO68" s="115">
        <f t="shared" si="258"/>
        <v>125</v>
      </c>
      <c r="AP68" s="115">
        <f t="shared" si="258"/>
        <v>125</v>
      </c>
      <c r="AQ68" s="192">
        <f t="shared" si="258"/>
        <v>125</v>
      </c>
      <c r="AR68" s="115">
        <f t="shared" si="258"/>
        <v>125</v>
      </c>
      <c r="AS68" s="115">
        <f t="shared" si="258"/>
        <v>125</v>
      </c>
      <c r="AT68" s="115">
        <f t="shared" si="258"/>
        <v>125</v>
      </c>
      <c r="AU68" s="115">
        <f t="shared" si="258"/>
        <v>125</v>
      </c>
      <c r="AV68" s="115">
        <f t="shared" si="258"/>
        <v>125</v>
      </c>
      <c r="AW68" s="115">
        <f t="shared" si="258"/>
        <v>125</v>
      </c>
      <c r="AX68" s="115">
        <f t="shared" si="258"/>
        <v>125</v>
      </c>
      <c r="AY68" s="115">
        <f t="shared" si="258"/>
        <v>125</v>
      </c>
      <c r="AZ68" s="115">
        <f t="shared" si="258"/>
        <v>125</v>
      </c>
      <c r="BA68" s="115">
        <f t="shared" si="258"/>
        <v>125</v>
      </c>
      <c r="BB68" s="115">
        <f t="shared" si="258"/>
        <v>125</v>
      </c>
      <c r="BC68" s="192">
        <f t="shared" si="258"/>
        <v>125</v>
      </c>
      <c r="BD68" s="115">
        <f t="shared" si="258"/>
        <v>125</v>
      </c>
      <c r="BE68" s="115">
        <f t="shared" si="258"/>
        <v>125</v>
      </c>
      <c r="BF68" s="115">
        <f t="shared" si="258"/>
        <v>125</v>
      </c>
      <c r="BG68" s="115">
        <f t="shared" si="258"/>
        <v>125</v>
      </c>
      <c r="BH68" s="115">
        <f t="shared" si="258"/>
        <v>125</v>
      </c>
      <c r="BI68" s="115">
        <f t="shared" si="258"/>
        <v>125</v>
      </c>
      <c r="BJ68" s="115">
        <f t="shared" si="258"/>
        <v>125</v>
      </c>
      <c r="BK68" s="115">
        <f t="shared" si="258"/>
        <v>125</v>
      </c>
      <c r="BL68" s="115">
        <f t="shared" si="258"/>
        <v>125</v>
      </c>
      <c r="BM68" s="115">
        <f t="shared" si="258"/>
        <v>125</v>
      </c>
      <c r="BN68" s="115">
        <f t="shared" si="258"/>
        <v>125</v>
      </c>
      <c r="BO68" s="192">
        <f t="shared" si="258"/>
        <v>125</v>
      </c>
      <c r="BP68" s="115">
        <f t="shared" si="258"/>
        <v>125</v>
      </c>
      <c r="BQ68" s="115">
        <f t="shared" si="258"/>
        <v>125</v>
      </c>
      <c r="BR68" s="115">
        <f t="shared" si="258"/>
        <v>125</v>
      </c>
      <c r="BS68" s="115">
        <f t="shared" si="258"/>
        <v>125</v>
      </c>
      <c r="BT68" s="115">
        <f t="shared" si="258"/>
        <v>125</v>
      </c>
      <c r="BU68" s="115">
        <f t="shared" si="258"/>
        <v>125</v>
      </c>
      <c r="BV68" s="115">
        <f t="shared" si="258"/>
        <v>125</v>
      </c>
      <c r="BW68" s="115">
        <f t="shared" si="258"/>
        <v>125</v>
      </c>
      <c r="BX68" s="115">
        <f t="shared" si="258"/>
        <v>125</v>
      </c>
      <c r="BY68" s="115">
        <f t="shared" si="258"/>
        <v>125</v>
      </c>
      <c r="BZ68" s="115">
        <f t="shared" si="258"/>
        <v>125</v>
      </c>
      <c r="CA68" s="192">
        <f t="shared" si="258"/>
        <v>125</v>
      </c>
      <c r="CB68" s="115">
        <f t="shared" si="258"/>
        <v>125</v>
      </c>
      <c r="CC68" s="115">
        <f t="shared" si="258"/>
        <v>125</v>
      </c>
      <c r="CD68" s="115">
        <f t="shared" si="258"/>
        <v>125</v>
      </c>
      <c r="CE68" s="115">
        <f t="shared" si="258"/>
        <v>125</v>
      </c>
      <c r="CF68" s="115">
        <f t="shared" si="258"/>
        <v>125</v>
      </c>
      <c r="CG68" s="115">
        <f t="shared" si="258"/>
        <v>125</v>
      </c>
      <c r="CH68" s="115">
        <f t="shared" si="258"/>
        <v>125</v>
      </c>
      <c r="CI68" s="115">
        <f t="shared" si="258"/>
        <v>125</v>
      </c>
      <c r="CJ68" s="115">
        <f t="shared" ref="CJ68:CY70" si="259">+CI68</f>
        <v>125</v>
      </c>
      <c r="CK68" s="115">
        <f t="shared" si="259"/>
        <v>125</v>
      </c>
      <c r="CL68" s="115">
        <f t="shared" si="259"/>
        <v>125</v>
      </c>
      <c r="CM68" s="192">
        <f t="shared" si="259"/>
        <v>125</v>
      </c>
      <c r="CN68" s="115">
        <f t="shared" si="259"/>
        <v>125</v>
      </c>
      <c r="CO68" s="115">
        <f t="shared" si="259"/>
        <v>125</v>
      </c>
      <c r="CP68" s="115">
        <f t="shared" si="259"/>
        <v>125</v>
      </c>
      <c r="CQ68" s="115">
        <f t="shared" si="259"/>
        <v>125</v>
      </c>
      <c r="CR68" s="115">
        <f t="shared" si="259"/>
        <v>125</v>
      </c>
      <c r="CS68" s="115">
        <f t="shared" si="259"/>
        <v>125</v>
      </c>
      <c r="CT68" s="115">
        <f t="shared" si="259"/>
        <v>125</v>
      </c>
      <c r="CU68" s="115">
        <f t="shared" si="259"/>
        <v>125</v>
      </c>
      <c r="CV68" s="115">
        <f t="shared" si="259"/>
        <v>125</v>
      </c>
      <c r="CW68" s="115">
        <f t="shared" si="259"/>
        <v>125</v>
      </c>
      <c r="CX68" s="115">
        <f t="shared" si="259"/>
        <v>125</v>
      </c>
      <c r="CY68" s="115">
        <f t="shared" si="259"/>
        <v>125</v>
      </c>
    </row>
    <row r="69" spans="1:103" x14ac:dyDescent="0.3">
      <c r="B69" s="1" t="s">
        <v>296</v>
      </c>
      <c r="C69" s="1"/>
      <c r="D69" s="115"/>
      <c r="E69" s="115">
        <v>0</v>
      </c>
      <c r="F69" s="115">
        <v>0</v>
      </c>
      <c r="G69" s="115">
        <v>0</v>
      </c>
      <c r="H69" s="115">
        <v>0</v>
      </c>
      <c r="I69" s="115">
        <v>0</v>
      </c>
      <c r="J69" s="115">
        <v>0</v>
      </c>
      <c r="K69" s="115">
        <v>0</v>
      </c>
      <c r="L69" s="115">
        <v>0</v>
      </c>
      <c r="M69" s="115">
        <v>0</v>
      </c>
      <c r="N69" s="115">
        <v>0</v>
      </c>
      <c r="O69" s="115">
        <v>0</v>
      </c>
      <c r="P69" s="115">
        <v>0</v>
      </c>
      <c r="Q69" s="115">
        <v>0</v>
      </c>
      <c r="R69" s="115">
        <v>0</v>
      </c>
      <c r="S69" s="115">
        <v>0</v>
      </c>
      <c r="T69" s="115">
        <v>194.91</v>
      </c>
      <c r="U69" s="115">
        <v>181.38</v>
      </c>
      <c r="V69" s="115">
        <v>380.37</v>
      </c>
      <c r="W69" s="115">
        <v>276.05</v>
      </c>
      <c r="X69" s="115">
        <v>363.44</v>
      </c>
      <c r="Y69" s="115">
        <v>146.06</v>
      </c>
      <c r="Z69" s="115">
        <v>276.85000000000002</v>
      </c>
      <c r="AA69" s="115">
        <v>453.71</v>
      </c>
      <c r="AB69" s="115">
        <v>179.77</v>
      </c>
      <c r="AC69" s="192">
        <v>337.98</v>
      </c>
      <c r="AD69" s="408">
        <f>+AVERAGE(AA69:AC69)</f>
        <v>323.82</v>
      </c>
      <c r="AE69" s="192">
        <f t="shared" si="258"/>
        <v>323.82</v>
      </c>
      <c r="AF69" s="115">
        <f t="shared" si="258"/>
        <v>323.82</v>
      </c>
      <c r="AG69" s="115">
        <f t="shared" si="258"/>
        <v>323.82</v>
      </c>
      <c r="AH69" s="115">
        <f t="shared" si="258"/>
        <v>323.82</v>
      </c>
      <c r="AI69" s="115">
        <f t="shared" si="258"/>
        <v>323.82</v>
      </c>
      <c r="AJ69" s="115">
        <f t="shared" si="258"/>
        <v>323.82</v>
      </c>
      <c r="AK69" s="115">
        <f t="shared" si="258"/>
        <v>323.82</v>
      </c>
      <c r="AL69" s="115">
        <f t="shared" si="258"/>
        <v>323.82</v>
      </c>
      <c r="AM69" s="115">
        <f t="shared" si="258"/>
        <v>323.82</v>
      </c>
      <c r="AN69" s="115">
        <f t="shared" si="258"/>
        <v>323.82</v>
      </c>
      <c r="AO69" s="115">
        <f t="shared" si="258"/>
        <v>323.82</v>
      </c>
      <c r="AP69" s="115">
        <f t="shared" si="258"/>
        <v>323.82</v>
      </c>
      <c r="AQ69" s="192">
        <f t="shared" si="258"/>
        <v>323.82</v>
      </c>
      <c r="AR69" s="115">
        <f t="shared" si="258"/>
        <v>323.82</v>
      </c>
      <c r="AS69" s="115">
        <f t="shared" si="258"/>
        <v>323.82</v>
      </c>
      <c r="AT69" s="115">
        <f t="shared" si="258"/>
        <v>323.82</v>
      </c>
      <c r="AU69" s="115">
        <f t="shared" si="258"/>
        <v>323.82</v>
      </c>
      <c r="AV69" s="115">
        <f t="shared" si="258"/>
        <v>323.82</v>
      </c>
      <c r="AW69" s="115">
        <f t="shared" si="258"/>
        <v>323.82</v>
      </c>
      <c r="AX69" s="115">
        <f t="shared" si="258"/>
        <v>323.82</v>
      </c>
      <c r="AY69" s="115">
        <f t="shared" si="258"/>
        <v>323.82</v>
      </c>
      <c r="AZ69" s="115">
        <f t="shared" si="258"/>
        <v>323.82</v>
      </c>
      <c r="BA69" s="115">
        <f t="shared" si="258"/>
        <v>323.82</v>
      </c>
      <c r="BB69" s="115">
        <f t="shared" si="258"/>
        <v>323.82</v>
      </c>
      <c r="BC69" s="192">
        <f t="shared" si="258"/>
        <v>323.82</v>
      </c>
      <c r="BD69" s="115">
        <f t="shared" si="258"/>
        <v>323.82</v>
      </c>
      <c r="BE69" s="115">
        <f t="shared" si="258"/>
        <v>323.82</v>
      </c>
      <c r="BF69" s="115">
        <f t="shared" si="258"/>
        <v>323.82</v>
      </c>
      <c r="BG69" s="115">
        <f t="shared" si="258"/>
        <v>323.82</v>
      </c>
      <c r="BH69" s="115">
        <f t="shared" si="258"/>
        <v>323.82</v>
      </c>
      <c r="BI69" s="115">
        <f t="shared" si="258"/>
        <v>323.82</v>
      </c>
      <c r="BJ69" s="115">
        <f t="shared" si="258"/>
        <v>323.82</v>
      </c>
      <c r="BK69" s="115">
        <f t="shared" si="258"/>
        <v>323.82</v>
      </c>
      <c r="BL69" s="115">
        <f t="shared" si="258"/>
        <v>323.82</v>
      </c>
      <c r="BM69" s="115">
        <f t="shared" si="258"/>
        <v>323.82</v>
      </c>
      <c r="BN69" s="115">
        <f t="shared" si="258"/>
        <v>323.82</v>
      </c>
      <c r="BO69" s="192">
        <f t="shared" si="258"/>
        <v>323.82</v>
      </c>
      <c r="BP69" s="115">
        <f t="shared" si="258"/>
        <v>323.82</v>
      </c>
      <c r="BQ69" s="115">
        <f t="shared" si="258"/>
        <v>323.82</v>
      </c>
      <c r="BR69" s="115">
        <f t="shared" si="258"/>
        <v>323.82</v>
      </c>
      <c r="BS69" s="115">
        <f t="shared" si="258"/>
        <v>323.82</v>
      </c>
      <c r="BT69" s="115">
        <f t="shared" si="258"/>
        <v>323.82</v>
      </c>
      <c r="BU69" s="115">
        <f t="shared" si="258"/>
        <v>323.82</v>
      </c>
      <c r="BV69" s="115">
        <f t="shared" si="258"/>
        <v>323.82</v>
      </c>
      <c r="BW69" s="115">
        <f t="shared" si="258"/>
        <v>323.82</v>
      </c>
      <c r="BX69" s="115">
        <f t="shared" si="258"/>
        <v>323.82</v>
      </c>
      <c r="BY69" s="115">
        <f t="shared" si="258"/>
        <v>323.82</v>
      </c>
      <c r="BZ69" s="115">
        <f t="shared" si="258"/>
        <v>323.82</v>
      </c>
      <c r="CA69" s="192">
        <f t="shared" si="258"/>
        <v>323.82</v>
      </c>
      <c r="CB69" s="115">
        <f t="shared" si="258"/>
        <v>323.82</v>
      </c>
      <c r="CC69" s="115">
        <f t="shared" si="258"/>
        <v>323.82</v>
      </c>
      <c r="CD69" s="115">
        <f t="shared" si="258"/>
        <v>323.82</v>
      </c>
      <c r="CE69" s="115">
        <f t="shared" si="258"/>
        <v>323.82</v>
      </c>
      <c r="CF69" s="115">
        <f t="shared" si="258"/>
        <v>323.82</v>
      </c>
      <c r="CG69" s="115">
        <f t="shared" si="258"/>
        <v>323.82</v>
      </c>
      <c r="CH69" s="115">
        <f t="shared" si="258"/>
        <v>323.82</v>
      </c>
      <c r="CI69" s="115">
        <f t="shared" si="258"/>
        <v>323.82</v>
      </c>
      <c r="CJ69" s="115">
        <f t="shared" si="259"/>
        <v>323.82</v>
      </c>
      <c r="CK69" s="115">
        <f t="shared" si="259"/>
        <v>323.82</v>
      </c>
      <c r="CL69" s="115">
        <f t="shared" si="259"/>
        <v>323.82</v>
      </c>
      <c r="CM69" s="192">
        <f t="shared" si="259"/>
        <v>323.82</v>
      </c>
      <c r="CN69" s="115">
        <f t="shared" si="259"/>
        <v>323.82</v>
      </c>
      <c r="CO69" s="115">
        <f t="shared" si="259"/>
        <v>323.82</v>
      </c>
      <c r="CP69" s="115">
        <f t="shared" si="259"/>
        <v>323.82</v>
      </c>
      <c r="CQ69" s="115">
        <f t="shared" si="259"/>
        <v>323.82</v>
      </c>
      <c r="CR69" s="115">
        <f t="shared" si="259"/>
        <v>323.82</v>
      </c>
      <c r="CS69" s="115">
        <f t="shared" si="259"/>
        <v>323.82</v>
      </c>
      <c r="CT69" s="115">
        <f t="shared" si="259"/>
        <v>323.82</v>
      </c>
      <c r="CU69" s="115">
        <f t="shared" si="259"/>
        <v>323.82</v>
      </c>
      <c r="CV69" s="115">
        <f t="shared" si="259"/>
        <v>323.82</v>
      </c>
      <c r="CW69" s="115">
        <f t="shared" si="259"/>
        <v>323.82</v>
      </c>
      <c r="CX69" s="115">
        <f t="shared" si="259"/>
        <v>323.82</v>
      </c>
      <c r="CY69" s="115">
        <f t="shared" si="259"/>
        <v>323.82</v>
      </c>
    </row>
    <row r="70" spans="1:103" s="5" customFormat="1" x14ac:dyDescent="0.3">
      <c r="A70"/>
      <c r="B70" s="1" t="s">
        <v>297</v>
      </c>
      <c r="C70" s="1"/>
      <c r="D70" s="115"/>
      <c r="E70" s="115">
        <v>0</v>
      </c>
      <c r="F70" s="115">
        <v>0</v>
      </c>
      <c r="G70" s="115">
        <v>0</v>
      </c>
      <c r="H70" s="115">
        <v>0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0</v>
      </c>
      <c r="P70" s="115">
        <v>0</v>
      </c>
      <c r="Q70" s="115"/>
      <c r="R70" s="115"/>
      <c r="S70" s="115"/>
      <c r="T70" s="115"/>
      <c r="U70" s="115"/>
      <c r="V70" s="115">
        <v>240.81</v>
      </c>
      <c r="W70" s="115"/>
      <c r="X70" s="115"/>
      <c r="Y70" s="115"/>
      <c r="Z70" s="115">
        <v>32</v>
      </c>
      <c r="AA70" s="115"/>
      <c r="AB70" s="115"/>
      <c r="AC70" s="192"/>
      <c r="AD70" s="479">
        <f>+AC70+2000</f>
        <v>2000</v>
      </c>
      <c r="AE70" s="192">
        <f>+AD70-2000</f>
        <v>0</v>
      </c>
      <c r="AF70" s="115">
        <f t="shared" si="258"/>
        <v>0</v>
      </c>
      <c r="AG70" s="115">
        <f t="shared" si="258"/>
        <v>0</v>
      </c>
      <c r="AH70" s="115">
        <f t="shared" si="258"/>
        <v>0</v>
      </c>
      <c r="AI70" s="519">
        <f>+AH70+2000</f>
        <v>2000</v>
      </c>
      <c r="AJ70" s="115">
        <f>+AI70-2000</f>
        <v>0</v>
      </c>
      <c r="AK70" s="115">
        <f t="shared" si="258"/>
        <v>0</v>
      </c>
      <c r="AL70" s="115">
        <f t="shared" si="258"/>
        <v>0</v>
      </c>
      <c r="AM70" s="115">
        <f t="shared" si="258"/>
        <v>0</v>
      </c>
      <c r="AN70" s="115">
        <f t="shared" si="258"/>
        <v>0</v>
      </c>
      <c r="AO70" s="115">
        <f t="shared" si="258"/>
        <v>0</v>
      </c>
      <c r="AP70" s="115">
        <f t="shared" si="258"/>
        <v>0</v>
      </c>
      <c r="AQ70" s="192">
        <f t="shared" si="258"/>
        <v>0</v>
      </c>
      <c r="AR70" s="115">
        <f t="shared" si="258"/>
        <v>0</v>
      </c>
      <c r="AS70" s="115">
        <f t="shared" si="258"/>
        <v>0</v>
      </c>
      <c r="AT70" s="115">
        <f t="shared" si="258"/>
        <v>0</v>
      </c>
      <c r="AU70" s="115">
        <f t="shared" si="258"/>
        <v>0</v>
      </c>
      <c r="AV70" s="115">
        <f t="shared" si="258"/>
        <v>0</v>
      </c>
      <c r="AW70" s="115">
        <f t="shared" si="258"/>
        <v>0</v>
      </c>
      <c r="AX70" s="115">
        <f t="shared" si="258"/>
        <v>0</v>
      </c>
      <c r="AY70" s="115">
        <f t="shared" si="258"/>
        <v>0</v>
      </c>
      <c r="AZ70" s="115">
        <f t="shared" si="258"/>
        <v>0</v>
      </c>
      <c r="BA70" s="115">
        <f t="shared" si="258"/>
        <v>0</v>
      </c>
      <c r="BB70" s="115">
        <f t="shared" si="258"/>
        <v>0</v>
      </c>
      <c r="BC70" s="192">
        <f t="shared" si="258"/>
        <v>0</v>
      </c>
      <c r="BD70" s="115">
        <f t="shared" si="258"/>
        <v>0</v>
      </c>
      <c r="BE70" s="115">
        <f t="shared" si="258"/>
        <v>0</v>
      </c>
      <c r="BF70" s="115">
        <f t="shared" si="258"/>
        <v>0</v>
      </c>
      <c r="BG70" s="115">
        <f t="shared" si="258"/>
        <v>0</v>
      </c>
      <c r="BH70" s="115">
        <f t="shared" si="258"/>
        <v>0</v>
      </c>
      <c r="BI70" s="115">
        <f t="shared" si="258"/>
        <v>0</v>
      </c>
      <c r="BJ70" s="115">
        <f t="shared" si="258"/>
        <v>0</v>
      </c>
      <c r="BK70" s="115">
        <f t="shared" si="258"/>
        <v>0</v>
      </c>
      <c r="BL70" s="115">
        <f t="shared" si="258"/>
        <v>0</v>
      </c>
      <c r="BM70" s="115">
        <f t="shared" si="258"/>
        <v>0</v>
      </c>
      <c r="BN70" s="115">
        <f t="shared" si="258"/>
        <v>0</v>
      </c>
      <c r="BO70" s="192">
        <f t="shared" si="258"/>
        <v>0</v>
      </c>
      <c r="BP70" s="115">
        <f t="shared" si="258"/>
        <v>0</v>
      </c>
      <c r="BQ70" s="115">
        <f t="shared" si="258"/>
        <v>0</v>
      </c>
      <c r="BR70" s="115">
        <f t="shared" si="258"/>
        <v>0</v>
      </c>
      <c r="BS70" s="115">
        <f t="shared" si="258"/>
        <v>0</v>
      </c>
      <c r="BT70" s="115">
        <f t="shared" si="258"/>
        <v>0</v>
      </c>
      <c r="BU70" s="115">
        <f t="shared" si="258"/>
        <v>0</v>
      </c>
      <c r="BV70" s="115">
        <f t="shared" si="258"/>
        <v>0</v>
      </c>
      <c r="BW70" s="115">
        <f t="shared" si="258"/>
        <v>0</v>
      </c>
      <c r="BX70" s="115">
        <f t="shared" si="258"/>
        <v>0</v>
      </c>
      <c r="BY70" s="115">
        <f t="shared" si="258"/>
        <v>0</v>
      </c>
      <c r="BZ70" s="115">
        <f t="shared" si="258"/>
        <v>0</v>
      </c>
      <c r="CA70" s="192">
        <f t="shared" si="258"/>
        <v>0</v>
      </c>
      <c r="CB70" s="115">
        <f t="shared" si="258"/>
        <v>0</v>
      </c>
      <c r="CC70" s="115">
        <f t="shared" si="258"/>
        <v>0</v>
      </c>
      <c r="CD70" s="115">
        <f t="shared" si="258"/>
        <v>0</v>
      </c>
      <c r="CE70" s="115">
        <f t="shared" si="258"/>
        <v>0</v>
      </c>
      <c r="CF70" s="115">
        <f t="shared" si="258"/>
        <v>0</v>
      </c>
      <c r="CG70" s="115">
        <f t="shared" si="258"/>
        <v>0</v>
      </c>
      <c r="CH70" s="115">
        <f t="shared" si="258"/>
        <v>0</v>
      </c>
      <c r="CI70" s="115">
        <f t="shared" si="258"/>
        <v>0</v>
      </c>
      <c r="CJ70" s="115">
        <f t="shared" si="259"/>
        <v>0</v>
      </c>
      <c r="CK70" s="115">
        <f t="shared" si="259"/>
        <v>0</v>
      </c>
      <c r="CL70" s="115">
        <f t="shared" si="259"/>
        <v>0</v>
      </c>
      <c r="CM70" s="192">
        <f t="shared" si="259"/>
        <v>0</v>
      </c>
      <c r="CN70" s="115">
        <f t="shared" si="259"/>
        <v>0</v>
      </c>
      <c r="CO70" s="115">
        <f t="shared" si="259"/>
        <v>0</v>
      </c>
      <c r="CP70" s="115">
        <f t="shared" si="259"/>
        <v>0</v>
      </c>
      <c r="CQ70" s="115">
        <f t="shared" si="259"/>
        <v>0</v>
      </c>
      <c r="CR70" s="115">
        <f t="shared" si="259"/>
        <v>0</v>
      </c>
      <c r="CS70" s="115">
        <f t="shared" si="259"/>
        <v>0</v>
      </c>
      <c r="CT70" s="115">
        <f t="shared" si="259"/>
        <v>0</v>
      </c>
      <c r="CU70" s="115">
        <f t="shared" si="259"/>
        <v>0</v>
      </c>
      <c r="CV70" s="115">
        <f t="shared" si="259"/>
        <v>0</v>
      </c>
      <c r="CW70" s="115">
        <f t="shared" si="259"/>
        <v>0</v>
      </c>
      <c r="CX70" s="115">
        <f t="shared" si="259"/>
        <v>0</v>
      </c>
      <c r="CY70" s="115">
        <f t="shared" si="259"/>
        <v>0</v>
      </c>
    </row>
    <row r="71" spans="1:103" s="3" customFormat="1" x14ac:dyDescent="0.3">
      <c r="B71" s="4" t="s">
        <v>298</v>
      </c>
      <c r="C71" s="4"/>
      <c r="D71" s="56"/>
      <c r="E71" s="56">
        <v>0</v>
      </c>
      <c r="F71" s="56">
        <v>0</v>
      </c>
      <c r="G71" s="56">
        <v>0</v>
      </c>
      <c r="H71" s="56">
        <v>0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/>
      <c r="R71" s="56"/>
      <c r="S71" s="56"/>
      <c r="T71" s="56">
        <f t="shared" ref="T71:U71" si="260">SUM(T68:T70)</f>
        <v>194.91</v>
      </c>
      <c r="U71" s="56">
        <f t="shared" si="260"/>
        <v>181.38</v>
      </c>
      <c r="V71" s="56">
        <f>SUM(V68:V70)</f>
        <v>746.18000000000006</v>
      </c>
      <c r="W71" s="56">
        <f t="shared" ref="W71:CH71" si="261">SUM(W68:W70)</f>
        <v>401.05</v>
      </c>
      <c r="X71" s="56">
        <f t="shared" si="261"/>
        <v>488.44</v>
      </c>
      <c r="Y71" s="56">
        <f t="shared" ref="Y71:Z71" si="262">SUM(Y68:Y70)</f>
        <v>271.06</v>
      </c>
      <c r="Z71" s="56">
        <f t="shared" si="262"/>
        <v>558.85</v>
      </c>
      <c r="AA71" s="56">
        <f t="shared" ref="AA71:AB71" si="263">SUM(AA68:AA70)</f>
        <v>578.71</v>
      </c>
      <c r="AB71" s="56">
        <f t="shared" si="263"/>
        <v>304.77</v>
      </c>
      <c r="AC71" s="193">
        <f t="shared" ref="AC71" si="264">SUM(AC68:AC70)</f>
        <v>462.98</v>
      </c>
      <c r="AD71" s="56">
        <f t="shared" ref="AD71" si="265">SUM(AD68:AD70)</f>
        <v>2448.8200000000002</v>
      </c>
      <c r="AE71" s="193">
        <f t="shared" si="261"/>
        <v>448.82</v>
      </c>
      <c r="AF71" s="56">
        <f t="shared" si="261"/>
        <v>448.82</v>
      </c>
      <c r="AG71" s="56">
        <f t="shared" si="261"/>
        <v>448.82</v>
      </c>
      <c r="AH71" s="56">
        <f t="shared" si="261"/>
        <v>448.82</v>
      </c>
      <c r="AI71" s="56">
        <f t="shared" si="261"/>
        <v>2448.8200000000002</v>
      </c>
      <c r="AJ71" s="56">
        <f t="shared" si="261"/>
        <v>448.82</v>
      </c>
      <c r="AK71" s="56">
        <f t="shared" si="261"/>
        <v>448.82</v>
      </c>
      <c r="AL71" s="56">
        <f t="shared" si="261"/>
        <v>448.82</v>
      </c>
      <c r="AM71" s="56">
        <f t="shared" si="261"/>
        <v>448.82</v>
      </c>
      <c r="AN71" s="56">
        <f t="shared" si="261"/>
        <v>448.82</v>
      </c>
      <c r="AO71" s="56">
        <f t="shared" si="261"/>
        <v>448.82</v>
      </c>
      <c r="AP71" s="56">
        <f t="shared" si="261"/>
        <v>448.82</v>
      </c>
      <c r="AQ71" s="193">
        <f t="shared" si="261"/>
        <v>448.82</v>
      </c>
      <c r="AR71" s="56">
        <f t="shared" si="261"/>
        <v>448.82</v>
      </c>
      <c r="AS71" s="56">
        <f t="shared" si="261"/>
        <v>448.82</v>
      </c>
      <c r="AT71" s="56">
        <f t="shared" si="261"/>
        <v>448.82</v>
      </c>
      <c r="AU71" s="56">
        <f t="shared" si="261"/>
        <v>448.82</v>
      </c>
      <c r="AV71" s="56">
        <f t="shared" si="261"/>
        <v>448.82</v>
      </c>
      <c r="AW71" s="56">
        <f t="shared" si="261"/>
        <v>448.82</v>
      </c>
      <c r="AX71" s="56">
        <f t="shared" si="261"/>
        <v>448.82</v>
      </c>
      <c r="AY71" s="56">
        <f t="shared" si="261"/>
        <v>448.82</v>
      </c>
      <c r="AZ71" s="56">
        <f t="shared" si="261"/>
        <v>448.82</v>
      </c>
      <c r="BA71" s="56">
        <f t="shared" si="261"/>
        <v>448.82</v>
      </c>
      <c r="BB71" s="56">
        <f t="shared" si="261"/>
        <v>448.82</v>
      </c>
      <c r="BC71" s="193">
        <f t="shared" si="261"/>
        <v>448.82</v>
      </c>
      <c r="BD71" s="56">
        <f t="shared" si="261"/>
        <v>448.82</v>
      </c>
      <c r="BE71" s="56">
        <f t="shared" si="261"/>
        <v>448.82</v>
      </c>
      <c r="BF71" s="56">
        <f t="shared" si="261"/>
        <v>448.82</v>
      </c>
      <c r="BG71" s="56">
        <f t="shared" si="261"/>
        <v>448.82</v>
      </c>
      <c r="BH71" s="56">
        <f t="shared" si="261"/>
        <v>448.82</v>
      </c>
      <c r="BI71" s="56">
        <f t="shared" si="261"/>
        <v>448.82</v>
      </c>
      <c r="BJ71" s="56">
        <f t="shared" si="261"/>
        <v>448.82</v>
      </c>
      <c r="BK71" s="56">
        <f t="shared" si="261"/>
        <v>448.82</v>
      </c>
      <c r="BL71" s="56">
        <f t="shared" si="261"/>
        <v>448.82</v>
      </c>
      <c r="BM71" s="56">
        <f t="shared" si="261"/>
        <v>448.82</v>
      </c>
      <c r="BN71" s="56">
        <f t="shared" si="261"/>
        <v>448.82</v>
      </c>
      <c r="BO71" s="193">
        <f t="shared" si="261"/>
        <v>448.82</v>
      </c>
      <c r="BP71" s="56">
        <f t="shared" si="261"/>
        <v>448.82</v>
      </c>
      <c r="BQ71" s="56">
        <f t="shared" si="261"/>
        <v>448.82</v>
      </c>
      <c r="BR71" s="56">
        <f t="shared" si="261"/>
        <v>448.82</v>
      </c>
      <c r="BS71" s="56">
        <f t="shared" si="261"/>
        <v>448.82</v>
      </c>
      <c r="BT71" s="56">
        <f t="shared" si="261"/>
        <v>448.82</v>
      </c>
      <c r="BU71" s="56">
        <f t="shared" si="261"/>
        <v>448.82</v>
      </c>
      <c r="BV71" s="56">
        <f t="shared" si="261"/>
        <v>448.82</v>
      </c>
      <c r="BW71" s="56">
        <f t="shared" si="261"/>
        <v>448.82</v>
      </c>
      <c r="BX71" s="56">
        <f t="shared" si="261"/>
        <v>448.82</v>
      </c>
      <c r="BY71" s="56">
        <f t="shared" si="261"/>
        <v>448.82</v>
      </c>
      <c r="BZ71" s="56">
        <f t="shared" si="261"/>
        <v>448.82</v>
      </c>
      <c r="CA71" s="193">
        <f t="shared" si="261"/>
        <v>448.82</v>
      </c>
      <c r="CB71" s="56">
        <f t="shared" si="261"/>
        <v>448.82</v>
      </c>
      <c r="CC71" s="56">
        <f t="shared" si="261"/>
        <v>448.82</v>
      </c>
      <c r="CD71" s="56">
        <f t="shared" si="261"/>
        <v>448.82</v>
      </c>
      <c r="CE71" s="56">
        <f t="shared" si="261"/>
        <v>448.82</v>
      </c>
      <c r="CF71" s="56">
        <f t="shared" si="261"/>
        <v>448.82</v>
      </c>
      <c r="CG71" s="56">
        <f t="shared" si="261"/>
        <v>448.82</v>
      </c>
      <c r="CH71" s="56">
        <f t="shared" si="261"/>
        <v>448.82</v>
      </c>
      <c r="CI71" s="56">
        <f t="shared" ref="CI71:CY71" si="266">SUM(CI68:CI70)</f>
        <v>448.82</v>
      </c>
      <c r="CJ71" s="56">
        <f t="shared" si="266"/>
        <v>448.82</v>
      </c>
      <c r="CK71" s="56">
        <f t="shared" si="266"/>
        <v>448.82</v>
      </c>
      <c r="CL71" s="56">
        <f t="shared" si="266"/>
        <v>448.82</v>
      </c>
      <c r="CM71" s="193">
        <f t="shared" si="266"/>
        <v>448.82</v>
      </c>
      <c r="CN71" s="56">
        <f t="shared" si="266"/>
        <v>448.82</v>
      </c>
      <c r="CO71" s="56">
        <f t="shared" si="266"/>
        <v>448.82</v>
      </c>
      <c r="CP71" s="56">
        <f t="shared" si="266"/>
        <v>448.82</v>
      </c>
      <c r="CQ71" s="56">
        <f t="shared" si="266"/>
        <v>448.82</v>
      </c>
      <c r="CR71" s="56">
        <f t="shared" si="266"/>
        <v>448.82</v>
      </c>
      <c r="CS71" s="56">
        <f t="shared" si="266"/>
        <v>448.82</v>
      </c>
      <c r="CT71" s="56">
        <f t="shared" si="266"/>
        <v>448.82</v>
      </c>
      <c r="CU71" s="56">
        <f t="shared" si="266"/>
        <v>448.82</v>
      </c>
      <c r="CV71" s="56">
        <f t="shared" si="266"/>
        <v>448.82</v>
      </c>
      <c r="CW71" s="56">
        <f t="shared" si="266"/>
        <v>448.82</v>
      </c>
      <c r="CX71" s="56">
        <f t="shared" si="266"/>
        <v>448.82</v>
      </c>
      <c r="CY71" s="56">
        <f t="shared" si="266"/>
        <v>448.82</v>
      </c>
    </row>
    <row r="72" spans="1:103" s="58" customFormat="1" x14ac:dyDescent="0.3">
      <c r="A72"/>
      <c r="B72" s="477" t="s">
        <v>309</v>
      </c>
      <c r="C72" s="1"/>
      <c r="D72" s="2"/>
      <c r="E72" s="2"/>
      <c r="F7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115">
        <v>30</v>
      </c>
      <c r="Y72" s="115"/>
      <c r="Z72" s="115">
        <v>30</v>
      </c>
      <c r="AA72" s="115"/>
      <c r="AB72" s="115">
        <v>199</v>
      </c>
      <c r="AC72" s="192"/>
      <c r="AD72" s="408">
        <v>30</v>
      </c>
      <c r="AE72" s="192">
        <f t="shared" ref="AE72" si="267">+AD72</f>
        <v>30</v>
      </c>
      <c r="AF72" s="113">
        <f t="shared" ref="AF72" si="268">+AE72</f>
        <v>30</v>
      </c>
      <c r="AG72" s="113">
        <f t="shared" ref="AG72" si="269">+AF72</f>
        <v>30</v>
      </c>
      <c r="AH72" s="113">
        <f t="shared" ref="AH72" si="270">+AG72</f>
        <v>30</v>
      </c>
      <c r="AI72" s="113">
        <f t="shared" ref="AI72" si="271">+AH72</f>
        <v>30</v>
      </c>
      <c r="AJ72" s="113">
        <f t="shared" ref="AJ72" si="272">+AI72</f>
        <v>30</v>
      </c>
      <c r="AK72" s="113">
        <f t="shared" ref="AK72" si="273">+AJ72</f>
        <v>30</v>
      </c>
      <c r="AL72" s="113">
        <f t="shared" ref="AL72" si="274">+AK72</f>
        <v>30</v>
      </c>
      <c r="AM72" s="113">
        <f t="shared" ref="AM72" si="275">+AL72</f>
        <v>30</v>
      </c>
      <c r="AN72" s="113">
        <f t="shared" ref="AN72" si="276">+AM72</f>
        <v>30</v>
      </c>
      <c r="AO72" s="113">
        <f t="shared" ref="AO72" si="277">+AN72</f>
        <v>30</v>
      </c>
      <c r="AP72" s="113">
        <f t="shared" ref="AP72" si="278">+AO72</f>
        <v>30</v>
      </c>
      <c r="AQ72" s="192">
        <f t="shared" ref="AQ72" si="279">+AP72</f>
        <v>30</v>
      </c>
      <c r="AR72" s="113">
        <f t="shared" ref="AR72" si="280">+AQ72</f>
        <v>30</v>
      </c>
      <c r="AS72" s="113">
        <f t="shared" ref="AS72" si="281">+AR72</f>
        <v>30</v>
      </c>
      <c r="AT72" s="113">
        <f t="shared" ref="AT72" si="282">+AS72</f>
        <v>30</v>
      </c>
      <c r="AU72" s="113">
        <f t="shared" ref="AU72" si="283">+AT72</f>
        <v>30</v>
      </c>
      <c r="AV72" s="113">
        <f t="shared" ref="AV72" si="284">+AU72</f>
        <v>30</v>
      </c>
      <c r="AW72" s="113">
        <f t="shared" ref="AW72" si="285">+AV72</f>
        <v>30</v>
      </c>
      <c r="AX72" s="113">
        <f t="shared" ref="AX72" si="286">+AW72</f>
        <v>30</v>
      </c>
      <c r="AY72" s="113">
        <f t="shared" ref="AY72" si="287">+AX72</f>
        <v>30</v>
      </c>
      <c r="AZ72" s="113">
        <f t="shared" ref="AZ72" si="288">+AY72</f>
        <v>30</v>
      </c>
      <c r="BA72" s="113">
        <f t="shared" ref="BA72" si="289">+AZ72</f>
        <v>30</v>
      </c>
      <c r="BB72" s="113">
        <f t="shared" ref="BB72" si="290">+BA72</f>
        <v>30</v>
      </c>
      <c r="BC72" s="192">
        <f t="shared" ref="BC72" si="291">+BB72</f>
        <v>30</v>
      </c>
      <c r="BD72" s="113">
        <f t="shared" ref="BD72" si="292">+BC72</f>
        <v>30</v>
      </c>
      <c r="BE72" s="113">
        <f t="shared" ref="BE72" si="293">+BD72</f>
        <v>30</v>
      </c>
      <c r="BF72" s="113">
        <f t="shared" ref="BF72" si="294">+BE72</f>
        <v>30</v>
      </c>
      <c r="BG72" s="113">
        <f t="shared" ref="BG72" si="295">+BF72</f>
        <v>30</v>
      </c>
      <c r="BH72" s="113">
        <f t="shared" ref="BH72" si="296">+BG72</f>
        <v>30</v>
      </c>
      <c r="BI72" s="113">
        <f t="shared" ref="BI72" si="297">+BH72</f>
        <v>30</v>
      </c>
      <c r="BJ72" s="113">
        <f t="shared" ref="BJ72" si="298">+BI72</f>
        <v>30</v>
      </c>
      <c r="BK72" s="113">
        <f t="shared" ref="BK72" si="299">+BJ72</f>
        <v>30</v>
      </c>
      <c r="BL72" s="113">
        <f t="shared" ref="BL72" si="300">+BK72</f>
        <v>30</v>
      </c>
      <c r="BM72" s="113">
        <f t="shared" ref="BM72" si="301">+BL72</f>
        <v>30</v>
      </c>
      <c r="BN72" s="113">
        <f t="shared" ref="BN72" si="302">+BM72</f>
        <v>30</v>
      </c>
      <c r="BO72" s="192">
        <f t="shared" ref="BO72" si="303">+BN72</f>
        <v>30</v>
      </c>
      <c r="BP72" s="113">
        <f t="shared" ref="BP72" si="304">+BO72</f>
        <v>30</v>
      </c>
      <c r="BQ72" s="113">
        <f t="shared" ref="BQ72" si="305">+BP72</f>
        <v>30</v>
      </c>
      <c r="BR72" s="113">
        <f t="shared" ref="BR72" si="306">+BQ72</f>
        <v>30</v>
      </c>
      <c r="BS72" s="113">
        <f t="shared" ref="BS72" si="307">+BR72</f>
        <v>30</v>
      </c>
      <c r="BT72" s="113">
        <f t="shared" ref="BT72" si="308">+BS72</f>
        <v>30</v>
      </c>
      <c r="BU72" s="113">
        <f t="shared" ref="BU72" si="309">+BT72</f>
        <v>30</v>
      </c>
      <c r="BV72" s="113">
        <f t="shared" ref="BV72" si="310">+BU72</f>
        <v>30</v>
      </c>
      <c r="BW72" s="113">
        <f t="shared" ref="BW72" si="311">+BV72</f>
        <v>30</v>
      </c>
      <c r="BX72" s="113">
        <f t="shared" ref="BX72" si="312">+BW72</f>
        <v>30</v>
      </c>
      <c r="BY72" s="113">
        <f t="shared" ref="BY72" si="313">+BX72</f>
        <v>30</v>
      </c>
      <c r="BZ72" s="113">
        <f t="shared" ref="BZ72" si="314">+BY72</f>
        <v>30</v>
      </c>
      <c r="CA72" s="192">
        <f t="shared" ref="CA72" si="315">+BZ72</f>
        <v>30</v>
      </c>
      <c r="CB72" s="113">
        <f t="shared" ref="CB72" si="316">+CA72</f>
        <v>30</v>
      </c>
      <c r="CC72" s="113">
        <f t="shared" ref="CC72" si="317">+CB72</f>
        <v>30</v>
      </c>
      <c r="CD72" s="113">
        <f t="shared" ref="CD72" si="318">+CC72</f>
        <v>30</v>
      </c>
      <c r="CE72" s="113">
        <f t="shared" ref="CE72" si="319">+CD72</f>
        <v>30</v>
      </c>
      <c r="CF72" s="113">
        <f t="shared" ref="CF72" si="320">+CE72</f>
        <v>30</v>
      </c>
      <c r="CG72" s="113">
        <f t="shared" ref="CG72" si="321">+CF72</f>
        <v>30</v>
      </c>
      <c r="CH72" s="113">
        <f t="shared" ref="CH72" si="322">+CG72</f>
        <v>30</v>
      </c>
      <c r="CI72" s="113">
        <f t="shared" ref="CI72" si="323">+CH72</f>
        <v>30</v>
      </c>
      <c r="CJ72" s="113">
        <f t="shared" ref="CJ72" si="324">+CI72</f>
        <v>30</v>
      </c>
      <c r="CK72" s="113">
        <f t="shared" ref="CK72" si="325">+CJ72</f>
        <v>30</v>
      </c>
      <c r="CL72" s="113">
        <f t="shared" ref="CL72" si="326">+CK72</f>
        <v>30</v>
      </c>
      <c r="CM72" s="192">
        <f t="shared" ref="CM72" si="327">+CL72</f>
        <v>30</v>
      </c>
      <c r="CN72" s="113">
        <f t="shared" ref="CN72" si="328">+CM72</f>
        <v>30</v>
      </c>
      <c r="CO72" s="113">
        <f t="shared" ref="CO72" si="329">+CN72</f>
        <v>30</v>
      </c>
      <c r="CP72" s="113">
        <f t="shared" ref="CP72" si="330">+CO72</f>
        <v>30</v>
      </c>
      <c r="CQ72" s="113">
        <f t="shared" ref="CQ72" si="331">+CP72</f>
        <v>30</v>
      </c>
      <c r="CR72" s="113">
        <f t="shared" ref="CR72" si="332">+CQ72</f>
        <v>30</v>
      </c>
      <c r="CS72" s="113">
        <f t="shared" ref="CS72" si="333">+CR72</f>
        <v>30</v>
      </c>
      <c r="CT72" s="113">
        <f t="shared" ref="CT72" si="334">+CS72</f>
        <v>30</v>
      </c>
      <c r="CU72" s="113">
        <f t="shared" ref="CU72" si="335">+CT72</f>
        <v>30</v>
      </c>
      <c r="CV72" s="113">
        <f t="shared" ref="CV72" si="336">+CU72</f>
        <v>30</v>
      </c>
      <c r="CW72" s="113">
        <f t="shared" ref="CW72" si="337">+CV72</f>
        <v>30</v>
      </c>
      <c r="CX72" s="113">
        <f t="shared" ref="CX72" si="338">+CW72</f>
        <v>30</v>
      </c>
      <c r="CY72" s="113">
        <f t="shared" ref="CY72" si="339">+CX72</f>
        <v>30</v>
      </c>
    </row>
    <row r="73" spans="1:103" s="30" customFormat="1" x14ac:dyDescent="0.3">
      <c r="A73"/>
      <c r="B73" s="477" t="s">
        <v>299</v>
      </c>
      <c r="C73" s="1"/>
      <c r="D73" s="115"/>
      <c r="E73" s="115">
        <v>0</v>
      </c>
      <c r="F73" s="115">
        <v>0</v>
      </c>
      <c r="G73" s="115">
        <v>0</v>
      </c>
      <c r="H73" s="115">
        <v>0</v>
      </c>
      <c r="I73" s="115">
        <v>0</v>
      </c>
      <c r="J73" s="115">
        <v>0</v>
      </c>
      <c r="K73" s="115">
        <v>0</v>
      </c>
      <c r="L73" s="115">
        <v>0</v>
      </c>
      <c r="M73" s="115">
        <v>0</v>
      </c>
      <c r="N73" s="115">
        <v>0</v>
      </c>
      <c r="O73" s="115">
        <v>0</v>
      </c>
      <c r="P73" s="115"/>
      <c r="Q73" s="115"/>
      <c r="R73" s="115">
        <v>0</v>
      </c>
      <c r="S73" s="115">
        <v>0</v>
      </c>
      <c r="T73" s="115"/>
      <c r="U73" s="115"/>
      <c r="V73" s="115">
        <v>74</v>
      </c>
      <c r="W73" s="115">
        <v>60</v>
      </c>
      <c r="X73" s="115">
        <v>50</v>
      </c>
      <c r="Y73" s="115">
        <v>50</v>
      </c>
      <c r="Z73" s="115">
        <v>50</v>
      </c>
      <c r="AA73" s="115">
        <v>50</v>
      </c>
      <c r="AB73" s="115">
        <v>50</v>
      </c>
      <c r="AC73" s="192">
        <v>50</v>
      </c>
      <c r="AD73" s="408">
        <f>+AVERAGE(AA73:AC73)</f>
        <v>50</v>
      </c>
      <c r="AE73" s="192">
        <f t="shared" ref="AE73:CI73" si="340">+AD73</f>
        <v>50</v>
      </c>
      <c r="AF73" s="115">
        <f t="shared" si="340"/>
        <v>50</v>
      </c>
      <c r="AG73" s="115">
        <f t="shared" si="340"/>
        <v>50</v>
      </c>
      <c r="AH73" s="115">
        <f t="shared" si="340"/>
        <v>50</v>
      </c>
      <c r="AI73" s="115">
        <f t="shared" si="340"/>
        <v>50</v>
      </c>
      <c r="AJ73" s="115">
        <f t="shared" si="340"/>
        <v>50</v>
      </c>
      <c r="AK73" s="115">
        <f t="shared" si="340"/>
        <v>50</v>
      </c>
      <c r="AL73" s="115">
        <f t="shared" si="340"/>
        <v>50</v>
      </c>
      <c r="AM73" s="115">
        <f t="shared" si="340"/>
        <v>50</v>
      </c>
      <c r="AN73" s="115">
        <f t="shared" si="340"/>
        <v>50</v>
      </c>
      <c r="AO73" s="115">
        <f t="shared" si="340"/>
        <v>50</v>
      </c>
      <c r="AP73" s="115">
        <f t="shared" si="340"/>
        <v>50</v>
      </c>
      <c r="AQ73" s="192">
        <f t="shared" si="340"/>
        <v>50</v>
      </c>
      <c r="AR73" s="115">
        <f t="shared" si="340"/>
        <v>50</v>
      </c>
      <c r="AS73" s="115">
        <f t="shared" si="340"/>
        <v>50</v>
      </c>
      <c r="AT73" s="115">
        <f t="shared" si="340"/>
        <v>50</v>
      </c>
      <c r="AU73" s="115">
        <f t="shared" si="340"/>
        <v>50</v>
      </c>
      <c r="AV73" s="115">
        <f t="shared" si="340"/>
        <v>50</v>
      </c>
      <c r="AW73" s="115">
        <f t="shared" si="340"/>
        <v>50</v>
      </c>
      <c r="AX73" s="115">
        <f t="shared" si="340"/>
        <v>50</v>
      </c>
      <c r="AY73" s="115">
        <f t="shared" si="340"/>
        <v>50</v>
      </c>
      <c r="AZ73" s="115">
        <f t="shared" si="340"/>
        <v>50</v>
      </c>
      <c r="BA73" s="115">
        <f t="shared" si="340"/>
        <v>50</v>
      </c>
      <c r="BB73" s="115">
        <f t="shared" si="340"/>
        <v>50</v>
      </c>
      <c r="BC73" s="192">
        <f t="shared" si="340"/>
        <v>50</v>
      </c>
      <c r="BD73" s="115">
        <f t="shared" si="340"/>
        <v>50</v>
      </c>
      <c r="BE73" s="115">
        <f t="shared" si="340"/>
        <v>50</v>
      </c>
      <c r="BF73" s="115">
        <f t="shared" si="340"/>
        <v>50</v>
      </c>
      <c r="BG73" s="115">
        <f t="shared" si="340"/>
        <v>50</v>
      </c>
      <c r="BH73" s="115">
        <f t="shared" si="340"/>
        <v>50</v>
      </c>
      <c r="BI73" s="115">
        <f t="shared" si="340"/>
        <v>50</v>
      </c>
      <c r="BJ73" s="115">
        <f t="shared" si="340"/>
        <v>50</v>
      </c>
      <c r="BK73" s="115">
        <f t="shared" si="340"/>
        <v>50</v>
      </c>
      <c r="BL73" s="115">
        <f t="shared" si="340"/>
        <v>50</v>
      </c>
      <c r="BM73" s="115">
        <f t="shared" si="340"/>
        <v>50</v>
      </c>
      <c r="BN73" s="115">
        <f t="shared" si="340"/>
        <v>50</v>
      </c>
      <c r="BO73" s="192">
        <f t="shared" si="340"/>
        <v>50</v>
      </c>
      <c r="BP73" s="115">
        <f t="shared" si="340"/>
        <v>50</v>
      </c>
      <c r="BQ73" s="115">
        <f t="shared" si="340"/>
        <v>50</v>
      </c>
      <c r="BR73" s="115">
        <f t="shared" si="340"/>
        <v>50</v>
      </c>
      <c r="BS73" s="115">
        <f t="shared" si="340"/>
        <v>50</v>
      </c>
      <c r="BT73" s="115">
        <f t="shared" si="340"/>
        <v>50</v>
      </c>
      <c r="BU73" s="115">
        <f t="shared" si="340"/>
        <v>50</v>
      </c>
      <c r="BV73" s="115">
        <f t="shared" si="340"/>
        <v>50</v>
      </c>
      <c r="BW73" s="115">
        <f t="shared" si="340"/>
        <v>50</v>
      </c>
      <c r="BX73" s="115">
        <f t="shared" si="340"/>
        <v>50</v>
      </c>
      <c r="BY73" s="115">
        <f t="shared" si="340"/>
        <v>50</v>
      </c>
      <c r="BZ73" s="115">
        <f t="shared" si="340"/>
        <v>50</v>
      </c>
      <c r="CA73" s="192">
        <f t="shared" si="340"/>
        <v>50</v>
      </c>
      <c r="CB73" s="115">
        <f t="shared" si="340"/>
        <v>50</v>
      </c>
      <c r="CC73" s="115">
        <f t="shared" si="340"/>
        <v>50</v>
      </c>
      <c r="CD73" s="115">
        <f t="shared" si="340"/>
        <v>50</v>
      </c>
      <c r="CE73" s="115">
        <f t="shared" si="340"/>
        <v>50</v>
      </c>
      <c r="CF73" s="115">
        <f t="shared" si="340"/>
        <v>50</v>
      </c>
      <c r="CG73" s="115">
        <f t="shared" si="340"/>
        <v>50</v>
      </c>
      <c r="CH73" s="115">
        <f t="shared" si="340"/>
        <v>50</v>
      </c>
      <c r="CI73" s="115">
        <f t="shared" si="340"/>
        <v>50</v>
      </c>
      <c r="CJ73" s="115">
        <f t="shared" ref="CJ73:CY73" si="341">+CI73</f>
        <v>50</v>
      </c>
      <c r="CK73" s="115">
        <f t="shared" si="341"/>
        <v>50</v>
      </c>
      <c r="CL73" s="115">
        <f t="shared" si="341"/>
        <v>50</v>
      </c>
      <c r="CM73" s="192">
        <f t="shared" si="341"/>
        <v>50</v>
      </c>
      <c r="CN73" s="115">
        <f t="shared" si="341"/>
        <v>50</v>
      </c>
      <c r="CO73" s="115">
        <f t="shared" si="341"/>
        <v>50</v>
      </c>
      <c r="CP73" s="115">
        <f t="shared" si="341"/>
        <v>50</v>
      </c>
      <c r="CQ73" s="115">
        <f t="shared" si="341"/>
        <v>50</v>
      </c>
      <c r="CR73" s="115">
        <f t="shared" si="341"/>
        <v>50</v>
      </c>
      <c r="CS73" s="115">
        <f t="shared" si="341"/>
        <v>50</v>
      </c>
      <c r="CT73" s="115">
        <f t="shared" si="341"/>
        <v>50</v>
      </c>
      <c r="CU73" s="115">
        <f t="shared" si="341"/>
        <v>50</v>
      </c>
      <c r="CV73" s="115">
        <f t="shared" si="341"/>
        <v>50</v>
      </c>
      <c r="CW73" s="115">
        <f t="shared" si="341"/>
        <v>50</v>
      </c>
      <c r="CX73" s="115">
        <f t="shared" si="341"/>
        <v>50</v>
      </c>
      <c r="CY73" s="115">
        <f t="shared" si="341"/>
        <v>50</v>
      </c>
    </row>
    <row r="74" spans="1:103" s="30" customFormat="1" x14ac:dyDescent="0.3">
      <c r="A74"/>
      <c r="B74" s="477" t="s">
        <v>300</v>
      </c>
      <c r="C74" s="1"/>
      <c r="D74" s="115"/>
      <c r="E74" s="115">
        <v>0</v>
      </c>
      <c r="F74" s="115">
        <v>0</v>
      </c>
      <c r="G74" s="115">
        <v>0</v>
      </c>
      <c r="H74" s="115">
        <v>0</v>
      </c>
      <c r="I74" s="115">
        <v>0</v>
      </c>
      <c r="J74" s="115">
        <v>0</v>
      </c>
      <c r="K74" s="115">
        <v>0</v>
      </c>
      <c r="L74" s="115">
        <v>0</v>
      </c>
      <c r="M74" s="115">
        <v>0</v>
      </c>
      <c r="N74" s="115">
        <v>0</v>
      </c>
      <c r="O74" s="115">
        <v>0</v>
      </c>
      <c r="P74" s="115">
        <v>0</v>
      </c>
      <c r="Q74" s="115">
        <v>0</v>
      </c>
      <c r="R74" s="115">
        <v>0</v>
      </c>
      <c r="S74" s="115">
        <v>0</v>
      </c>
      <c r="T74" s="115"/>
      <c r="U74" s="115">
        <v>15</v>
      </c>
      <c r="V74" s="115">
        <v>15</v>
      </c>
      <c r="W74" s="115">
        <v>15</v>
      </c>
      <c r="X74" s="115">
        <v>32.42</v>
      </c>
      <c r="Y74" s="115">
        <v>50.56</v>
      </c>
      <c r="Z74" s="115">
        <v>90.71</v>
      </c>
      <c r="AA74" s="115">
        <v>50.55</v>
      </c>
      <c r="AB74" s="115">
        <v>59.66</v>
      </c>
      <c r="AC74" s="192">
        <v>68.63</v>
      </c>
      <c r="AD74" s="408">
        <f t="shared" ref="AD74:BI74" si="342">+AD86*AD10</f>
        <v>94.997043400438343</v>
      </c>
      <c r="AE74" s="192">
        <f t="shared" si="342"/>
        <v>208.51045966706383</v>
      </c>
      <c r="AF74" s="115">
        <f t="shared" si="342"/>
        <v>240.69272076818689</v>
      </c>
      <c r="AG74" s="115">
        <f t="shared" si="342"/>
        <v>258.59322297165085</v>
      </c>
      <c r="AH74" s="115">
        <f t="shared" si="342"/>
        <v>206.23697110297195</v>
      </c>
      <c r="AI74" s="115">
        <f t="shared" si="342"/>
        <v>277.26706551316954</v>
      </c>
      <c r="AJ74" s="115">
        <f t="shared" si="342"/>
        <v>290.29917855788034</v>
      </c>
      <c r="AK74" s="115">
        <f t="shared" si="342"/>
        <v>957.86486220385279</v>
      </c>
      <c r="AL74" s="115">
        <f t="shared" si="342"/>
        <v>1005.5063573526045</v>
      </c>
      <c r="AM74" s="115">
        <f t="shared" si="342"/>
        <v>330.6300974647113</v>
      </c>
      <c r="AN74" s="115">
        <f t="shared" si="342"/>
        <v>341.33653290113892</v>
      </c>
      <c r="AO74" s="115">
        <f t="shared" si="342"/>
        <v>345.24458263226359</v>
      </c>
      <c r="AP74" s="115">
        <f t="shared" si="342"/>
        <v>271.20937439791646</v>
      </c>
      <c r="AQ74" s="192">
        <f t="shared" si="342"/>
        <v>351.47186892038354</v>
      </c>
      <c r="AR74" s="115">
        <f t="shared" si="342"/>
        <v>362.09345759534307</v>
      </c>
      <c r="AS74" s="115">
        <f t="shared" si="342"/>
        <v>358.90632698353738</v>
      </c>
      <c r="AT74" s="115">
        <f t="shared" si="342"/>
        <v>277.59503670655369</v>
      </c>
      <c r="AU74" s="115">
        <f t="shared" si="342"/>
        <v>365.86967473464</v>
      </c>
      <c r="AV74" s="115">
        <f t="shared" si="342"/>
        <v>371.63783323496045</v>
      </c>
      <c r="AW74" s="115">
        <f t="shared" si="342"/>
        <v>1217.8955911303553</v>
      </c>
      <c r="AX74" s="115">
        <f t="shared" si="342"/>
        <v>1277.6144019826008</v>
      </c>
      <c r="AY74" s="115">
        <f t="shared" si="342"/>
        <v>419.7489268089771</v>
      </c>
      <c r="AZ74" s="115">
        <f t="shared" si="342"/>
        <v>431.53867885638493</v>
      </c>
      <c r="BA74" s="115">
        <f t="shared" si="342"/>
        <v>435.79482117040982</v>
      </c>
      <c r="BB74" s="115">
        <f t="shared" si="342"/>
        <v>341.33881393380085</v>
      </c>
      <c r="BC74" s="192">
        <f t="shared" si="342"/>
        <v>442.85943864426036</v>
      </c>
      <c r="BD74" s="115">
        <f t="shared" si="342"/>
        <v>454.05937762327272</v>
      </c>
      <c r="BE74" s="115">
        <f t="shared" si="342"/>
        <v>457.96163209626042</v>
      </c>
      <c r="BF74" s="115">
        <f t="shared" si="342"/>
        <v>359.26799370585803</v>
      </c>
      <c r="BG74" s="115">
        <f t="shared" si="342"/>
        <v>464.68651724271518</v>
      </c>
      <c r="BH74" s="115">
        <f t="shared" si="342"/>
        <v>475.81001644806355</v>
      </c>
      <c r="BI74" s="115">
        <f t="shared" si="342"/>
        <v>1547.9806154668672</v>
      </c>
      <c r="BJ74" s="115">
        <f t="shared" ref="BJ74:CO74" si="343">+BJ86*BJ10</f>
        <v>1619.7308480803424</v>
      </c>
      <c r="BK74" s="115">
        <f t="shared" si="343"/>
        <v>532.05452678401502</v>
      </c>
      <c r="BL74" s="115">
        <f t="shared" si="343"/>
        <v>544.91107362318758</v>
      </c>
      <c r="BM74" s="115">
        <f t="shared" si="343"/>
        <v>549.00223312243713</v>
      </c>
      <c r="BN74" s="115">
        <f t="shared" si="343"/>
        <v>429.08785596718496</v>
      </c>
      <c r="BO74" s="192">
        <f t="shared" si="343"/>
        <v>563.9389375001997</v>
      </c>
      <c r="BP74" s="115">
        <f t="shared" si="343"/>
        <v>573.40053894722121</v>
      </c>
      <c r="BQ74" s="115">
        <f t="shared" si="343"/>
        <v>575.15283382749226</v>
      </c>
      <c r="BR74" s="115">
        <f t="shared" si="343"/>
        <v>448.80351483938909</v>
      </c>
      <c r="BS74" s="115">
        <f t="shared" si="343"/>
        <v>587.84422817103552</v>
      </c>
      <c r="BT74" s="115">
        <f t="shared" si="343"/>
        <v>596.80063486035772</v>
      </c>
      <c r="BU74" s="115">
        <f t="shared" si="343"/>
        <v>1954.6747577954463</v>
      </c>
      <c r="BV74" s="115">
        <f t="shared" si="343"/>
        <v>2045.2077875661234</v>
      </c>
      <c r="BW74" s="115">
        <f t="shared" si="343"/>
        <v>666.64211647708782</v>
      </c>
      <c r="BX74" s="115">
        <f t="shared" si="343"/>
        <v>689.16271047470559</v>
      </c>
      <c r="BY74" s="115">
        <f t="shared" si="343"/>
        <v>698.14660611795864</v>
      </c>
      <c r="BZ74" s="115">
        <f t="shared" si="343"/>
        <v>540.91488615739752</v>
      </c>
      <c r="CA74" s="192">
        <f t="shared" si="343"/>
        <v>707.01266384243195</v>
      </c>
      <c r="CB74" s="115">
        <f t="shared" si="343"/>
        <v>722.54259286577633</v>
      </c>
      <c r="CC74" s="115">
        <f t="shared" si="343"/>
        <v>727.63398690815336</v>
      </c>
      <c r="CD74" s="115">
        <f t="shared" si="343"/>
        <v>569.07309059935926</v>
      </c>
      <c r="CE74" s="115">
        <f t="shared" si="343"/>
        <v>736.98980646741518</v>
      </c>
      <c r="CF74" s="115">
        <f t="shared" si="343"/>
        <v>750.4914921024648</v>
      </c>
      <c r="CG74" s="115">
        <f t="shared" si="343"/>
        <v>2461.9981747114816</v>
      </c>
      <c r="CH74" s="115">
        <f t="shared" si="343"/>
        <v>2581.7810522639347</v>
      </c>
      <c r="CI74" s="115">
        <f t="shared" si="343"/>
        <v>840.79724273445709</v>
      </c>
      <c r="CJ74" s="115">
        <f t="shared" si="343"/>
        <v>867.31874784895854</v>
      </c>
      <c r="CK74" s="115">
        <f t="shared" si="343"/>
        <v>877.59623308881976</v>
      </c>
      <c r="CL74" s="115">
        <f t="shared" si="343"/>
        <v>680.18325516590744</v>
      </c>
      <c r="CM74" s="192">
        <f t="shared" si="343"/>
        <v>896.23776953827962</v>
      </c>
      <c r="CN74" s="115">
        <f t="shared" si="343"/>
        <v>917.89184726268797</v>
      </c>
      <c r="CO74" s="115">
        <f t="shared" si="343"/>
        <v>917.70144147629753</v>
      </c>
      <c r="CP74" s="115">
        <f t="shared" ref="CP74:CY74" si="344">+CP86*CP10</f>
        <v>713.80646401517527</v>
      </c>
      <c r="CQ74" s="115">
        <f t="shared" si="344"/>
        <v>931.00340172608571</v>
      </c>
      <c r="CR74" s="115">
        <f t="shared" si="344"/>
        <v>949.31763500444572</v>
      </c>
      <c r="CS74" s="115">
        <f t="shared" si="344"/>
        <v>3116.4572892699703</v>
      </c>
      <c r="CT74" s="115">
        <f t="shared" si="344"/>
        <v>3267.8202719746187</v>
      </c>
      <c r="CU74" s="115">
        <f t="shared" si="344"/>
        <v>1063.3525064033004</v>
      </c>
      <c r="CV74" s="115">
        <f t="shared" si="344"/>
        <v>1100.3774102060204</v>
      </c>
      <c r="CW74" s="115">
        <f t="shared" si="344"/>
        <v>1108.5038079155536</v>
      </c>
      <c r="CX74" s="115">
        <f t="shared" si="344"/>
        <v>864.81746730495706</v>
      </c>
      <c r="CY74" s="115">
        <f t="shared" si="344"/>
        <v>1130.7962241337214</v>
      </c>
    </row>
    <row r="75" spans="1:103" x14ac:dyDescent="0.3">
      <c r="B75" s="477" t="s">
        <v>301</v>
      </c>
      <c r="C75" s="1"/>
      <c r="D75" s="115"/>
      <c r="E75" s="115">
        <v>0</v>
      </c>
      <c r="F75" s="115">
        <v>0</v>
      </c>
      <c r="G75" s="115">
        <v>0</v>
      </c>
      <c r="H75" s="115">
        <v>0</v>
      </c>
      <c r="I75" s="115">
        <v>0</v>
      </c>
      <c r="J75" s="115">
        <v>0</v>
      </c>
      <c r="K75" s="115">
        <v>0</v>
      </c>
      <c r="L75" s="115">
        <v>0</v>
      </c>
      <c r="M75" s="115">
        <v>0</v>
      </c>
      <c r="N75" s="115">
        <v>0</v>
      </c>
      <c r="O75" s="115">
        <v>0</v>
      </c>
      <c r="P75" s="115">
        <v>0</v>
      </c>
      <c r="Q75" s="115"/>
      <c r="R75" s="115">
        <v>0</v>
      </c>
      <c r="S75" s="115">
        <v>0</v>
      </c>
      <c r="T75" s="115"/>
      <c r="U75" s="115"/>
      <c r="V75" s="115"/>
      <c r="W75" s="115">
        <v>300</v>
      </c>
      <c r="X75" s="115">
        <v>75</v>
      </c>
      <c r="Y75" s="115">
        <v>75</v>
      </c>
      <c r="Z75" s="115">
        <v>75</v>
      </c>
      <c r="AA75" s="115">
        <v>75</v>
      </c>
      <c r="AB75" s="115">
        <v>75</v>
      </c>
      <c r="AC75" s="192">
        <v>75</v>
      </c>
      <c r="AD75" s="408">
        <v>75</v>
      </c>
      <c r="AE75" s="192">
        <f t="shared" ref="AE75:BJ75" si="345">+IF(AE3&lt;&gt;AD3, 225, 75)</f>
        <v>75</v>
      </c>
      <c r="AF75" s="115">
        <f t="shared" si="345"/>
        <v>225</v>
      </c>
      <c r="AG75" s="115">
        <f t="shared" si="345"/>
        <v>75</v>
      </c>
      <c r="AH75" s="115">
        <f t="shared" si="345"/>
        <v>75</v>
      </c>
      <c r="AI75" s="115">
        <f t="shared" si="345"/>
        <v>225</v>
      </c>
      <c r="AJ75" s="115">
        <f t="shared" si="345"/>
        <v>75</v>
      </c>
      <c r="AK75" s="115">
        <f t="shared" si="345"/>
        <v>75</v>
      </c>
      <c r="AL75" s="115">
        <f t="shared" si="345"/>
        <v>225</v>
      </c>
      <c r="AM75" s="115">
        <f t="shared" si="345"/>
        <v>75</v>
      </c>
      <c r="AN75" s="115">
        <f t="shared" si="345"/>
        <v>75</v>
      </c>
      <c r="AO75" s="115">
        <f t="shared" si="345"/>
        <v>225</v>
      </c>
      <c r="AP75" s="115">
        <f t="shared" si="345"/>
        <v>75</v>
      </c>
      <c r="AQ75" s="192">
        <f t="shared" si="345"/>
        <v>75</v>
      </c>
      <c r="AR75" s="115">
        <f t="shared" si="345"/>
        <v>225</v>
      </c>
      <c r="AS75" s="115">
        <f t="shared" si="345"/>
        <v>75</v>
      </c>
      <c r="AT75" s="115">
        <f t="shared" si="345"/>
        <v>75</v>
      </c>
      <c r="AU75" s="115">
        <f t="shared" si="345"/>
        <v>225</v>
      </c>
      <c r="AV75" s="115">
        <f t="shared" si="345"/>
        <v>75</v>
      </c>
      <c r="AW75" s="115">
        <f t="shared" si="345"/>
        <v>75</v>
      </c>
      <c r="AX75" s="115">
        <f t="shared" si="345"/>
        <v>225</v>
      </c>
      <c r="AY75" s="115">
        <f t="shared" si="345"/>
        <v>75</v>
      </c>
      <c r="AZ75" s="115">
        <f t="shared" si="345"/>
        <v>75</v>
      </c>
      <c r="BA75" s="115">
        <f t="shared" si="345"/>
        <v>225</v>
      </c>
      <c r="BB75" s="115">
        <f t="shared" si="345"/>
        <v>75</v>
      </c>
      <c r="BC75" s="192">
        <f t="shared" si="345"/>
        <v>75</v>
      </c>
      <c r="BD75" s="115">
        <f t="shared" si="345"/>
        <v>225</v>
      </c>
      <c r="BE75" s="115">
        <f t="shared" si="345"/>
        <v>75</v>
      </c>
      <c r="BF75" s="115">
        <f t="shared" si="345"/>
        <v>75</v>
      </c>
      <c r="BG75" s="115">
        <f t="shared" si="345"/>
        <v>225</v>
      </c>
      <c r="BH75" s="115">
        <f t="shared" si="345"/>
        <v>75</v>
      </c>
      <c r="BI75" s="115">
        <f t="shared" si="345"/>
        <v>75</v>
      </c>
      <c r="BJ75" s="115">
        <f t="shared" si="345"/>
        <v>225</v>
      </c>
      <c r="BK75" s="115">
        <f t="shared" ref="BK75:CP75" si="346">+IF(BK3&lt;&gt;BJ3, 225, 75)</f>
        <v>75</v>
      </c>
      <c r="BL75" s="115">
        <f t="shared" si="346"/>
        <v>75</v>
      </c>
      <c r="BM75" s="115">
        <f t="shared" si="346"/>
        <v>225</v>
      </c>
      <c r="BN75" s="115">
        <f t="shared" si="346"/>
        <v>75</v>
      </c>
      <c r="BO75" s="192">
        <f t="shared" si="346"/>
        <v>75</v>
      </c>
      <c r="BP75" s="115">
        <f t="shared" si="346"/>
        <v>225</v>
      </c>
      <c r="BQ75" s="115">
        <f t="shared" si="346"/>
        <v>75</v>
      </c>
      <c r="BR75" s="115">
        <f t="shared" si="346"/>
        <v>75</v>
      </c>
      <c r="BS75" s="115">
        <f t="shared" si="346"/>
        <v>225</v>
      </c>
      <c r="BT75" s="115">
        <f t="shared" si="346"/>
        <v>75</v>
      </c>
      <c r="BU75" s="115">
        <f t="shared" si="346"/>
        <v>75</v>
      </c>
      <c r="BV75" s="115">
        <f t="shared" si="346"/>
        <v>225</v>
      </c>
      <c r="BW75" s="115">
        <f t="shared" si="346"/>
        <v>75</v>
      </c>
      <c r="BX75" s="115">
        <f t="shared" si="346"/>
        <v>75</v>
      </c>
      <c r="BY75" s="115">
        <f t="shared" si="346"/>
        <v>225</v>
      </c>
      <c r="BZ75" s="115">
        <f t="shared" si="346"/>
        <v>75</v>
      </c>
      <c r="CA75" s="192">
        <f t="shared" si="346"/>
        <v>75</v>
      </c>
      <c r="CB75" s="115">
        <f t="shared" si="346"/>
        <v>225</v>
      </c>
      <c r="CC75" s="115">
        <f t="shared" si="346"/>
        <v>75</v>
      </c>
      <c r="CD75" s="115">
        <f t="shared" si="346"/>
        <v>75</v>
      </c>
      <c r="CE75" s="115">
        <f t="shared" si="346"/>
        <v>225</v>
      </c>
      <c r="CF75" s="115">
        <f t="shared" si="346"/>
        <v>75</v>
      </c>
      <c r="CG75" s="115">
        <f t="shared" si="346"/>
        <v>75</v>
      </c>
      <c r="CH75" s="115">
        <f t="shared" si="346"/>
        <v>225</v>
      </c>
      <c r="CI75" s="115">
        <f t="shared" si="346"/>
        <v>75</v>
      </c>
      <c r="CJ75" s="115">
        <f t="shared" si="346"/>
        <v>75</v>
      </c>
      <c r="CK75" s="115">
        <f t="shared" si="346"/>
        <v>225</v>
      </c>
      <c r="CL75" s="115">
        <f t="shared" si="346"/>
        <v>75</v>
      </c>
      <c r="CM75" s="192">
        <f t="shared" si="346"/>
        <v>75</v>
      </c>
      <c r="CN75" s="115">
        <f t="shared" si="346"/>
        <v>225</v>
      </c>
      <c r="CO75" s="115">
        <f t="shared" si="346"/>
        <v>75</v>
      </c>
      <c r="CP75" s="115">
        <f t="shared" si="346"/>
        <v>75</v>
      </c>
      <c r="CQ75" s="115">
        <f t="shared" ref="CQ75:CY75" si="347">+IF(CQ3&lt;&gt;CP3, 225, 75)</f>
        <v>225</v>
      </c>
      <c r="CR75" s="115">
        <f t="shared" si="347"/>
        <v>75</v>
      </c>
      <c r="CS75" s="115">
        <f t="shared" si="347"/>
        <v>75</v>
      </c>
      <c r="CT75" s="115">
        <f t="shared" si="347"/>
        <v>225</v>
      </c>
      <c r="CU75" s="115">
        <f t="shared" si="347"/>
        <v>75</v>
      </c>
      <c r="CV75" s="115">
        <f t="shared" si="347"/>
        <v>75</v>
      </c>
      <c r="CW75" s="115">
        <f t="shared" si="347"/>
        <v>225</v>
      </c>
      <c r="CX75" s="115">
        <f t="shared" si="347"/>
        <v>75</v>
      </c>
      <c r="CY75" s="115">
        <f t="shared" si="347"/>
        <v>75</v>
      </c>
    </row>
    <row r="76" spans="1:103" x14ac:dyDescent="0.3">
      <c r="B76" s="477" t="s">
        <v>302</v>
      </c>
      <c r="C76" s="1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>
        <v>26.23</v>
      </c>
      <c r="U76" s="115">
        <v>97.68</v>
      </c>
      <c r="V76" s="115">
        <v>197.94</v>
      </c>
      <c r="W76" s="115">
        <v>288.16000000000003</v>
      </c>
      <c r="X76" s="115">
        <v>357.01</v>
      </c>
      <c r="Y76" s="115">
        <v>60.06</v>
      </c>
      <c r="Z76" s="115">
        <v>356.03</v>
      </c>
      <c r="AA76" s="115">
        <v>146.82</v>
      </c>
      <c r="AB76" s="115">
        <v>254.71</v>
      </c>
      <c r="AC76" s="192">
        <v>177.83</v>
      </c>
      <c r="AD76" s="408">
        <f>+AVERAGE(X76:AC76)</f>
        <v>225.40999999999997</v>
      </c>
      <c r="AE76" s="192">
        <f t="shared" ref="AE76:CH77" si="348">+AD76</f>
        <v>225.40999999999997</v>
      </c>
      <c r="AF76" s="115">
        <f t="shared" si="348"/>
        <v>225.40999999999997</v>
      </c>
      <c r="AG76" s="115">
        <f t="shared" si="348"/>
        <v>225.40999999999997</v>
      </c>
      <c r="AH76" s="115">
        <f t="shared" si="348"/>
        <v>225.40999999999997</v>
      </c>
      <c r="AI76" s="115">
        <f t="shared" si="348"/>
        <v>225.40999999999997</v>
      </c>
      <c r="AJ76" s="115">
        <f t="shared" si="348"/>
        <v>225.40999999999997</v>
      </c>
      <c r="AK76" s="115">
        <f t="shared" si="348"/>
        <v>225.40999999999997</v>
      </c>
      <c r="AL76" s="115">
        <f t="shared" si="348"/>
        <v>225.40999999999997</v>
      </c>
      <c r="AM76" s="115">
        <f t="shared" si="348"/>
        <v>225.40999999999997</v>
      </c>
      <c r="AN76" s="115">
        <f t="shared" si="348"/>
        <v>225.40999999999997</v>
      </c>
      <c r="AO76" s="115">
        <f t="shared" si="348"/>
        <v>225.40999999999997</v>
      </c>
      <c r="AP76" s="115">
        <f t="shared" si="348"/>
        <v>225.40999999999997</v>
      </c>
      <c r="AQ76" s="192">
        <f t="shared" si="348"/>
        <v>225.40999999999997</v>
      </c>
      <c r="AR76" s="115">
        <f t="shared" si="348"/>
        <v>225.40999999999997</v>
      </c>
      <c r="AS76" s="115">
        <f t="shared" si="348"/>
        <v>225.40999999999997</v>
      </c>
      <c r="AT76" s="115">
        <f t="shared" si="348"/>
        <v>225.40999999999997</v>
      </c>
      <c r="AU76" s="115">
        <f t="shared" si="348"/>
        <v>225.40999999999997</v>
      </c>
      <c r="AV76" s="115">
        <f t="shared" si="348"/>
        <v>225.40999999999997</v>
      </c>
      <c r="AW76" s="115">
        <f t="shared" si="348"/>
        <v>225.40999999999997</v>
      </c>
      <c r="AX76" s="115">
        <f t="shared" si="348"/>
        <v>225.40999999999997</v>
      </c>
      <c r="AY76" s="115">
        <f t="shared" si="348"/>
        <v>225.40999999999997</v>
      </c>
      <c r="AZ76" s="115">
        <f t="shared" si="348"/>
        <v>225.40999999999997</v>
      </c>
      <c r="BA76" s="115">
        <f t="shared" si="348"/>
        <v>225.40999999999997</v>
      </c>
      <c r="BB76" s="115">
        <f t="shared" si="348"/>
        <v>225.40999999999997</v>
      </c>
      <c r="BC76" s="192">
        <f t="shared" si="348"/>
        <v>225.40999999999997</v>
      </c>
      <c r="BD76" s="115">
        <f t="shared" si="348"/>
        <v>225.40999999999997</v>
      </c>
      <c r="BE76" s="115">
        <f t="shared" si="348"/>
        <v>225.40999999999997</v>
      </c>
      <c r="BF76" s="115">
        <f t="shared" si="348"/>
        <v>225.40999999999997</v>
      </c>
      <c r="BG76" s="115">
        <f t="shared" si="348"/>
        <v>225.40999999999997</v>
      </c>
      <c r="BH76" s="115">
        <f t="shared" si="348"/>
        <v>225.40999999999997</v>
      </c>
      <c r="BI76" s="115">
        <f t="shared" si="348"/>
        <v>225.40999999999997</v>
      </c>
      <c r="BJ76" s="115">
        <f t="shared" si="348"/>
        <v>225.40999999999997</v>
      </c>
      <c r="BK76" s="115">
        <f t="shared" si="348"/>
        <v>225.40999999999997</v>
      </c>
      <c r="BL76" s="115">
        <f t="shared" si="348"/>
        <v>225.40999999999997</v>
      </c>
      <c r="BM76" s="115">
        <f t="shared" si="348"/>
        <v>225.40999999999997</v>
      </c>
      <c r="BN76" s="115">
        <f t="shared" si="348"/>
        <v>225.40999999999997</v>
      </c>
      <c r="BO76" s="192">
        <f t="shared" si="348"/>
        <v>225.40999999999997</v>
      </c>
      <c r="BP76" s="115">
        <f t="shared" si="348"/>
        <v>225.40999999999997</v>
      </c>
      <c r="BQ76" s="115">
        <f t="shared" si="348"/>
        <v>225.40999999999997</v>
      </c>
      <c r="BR76" s="115">
        <f t="shared" si="348"/>
        <v>225.40999999999997</v>
      </c>
      <c r="BS76" s="115">
        <f t="shared" si="348"/>
        <v>225.40999999999997</v>
      </c>
      <c r="BT76" s="115">
        <f t="shared" si="348"/>
        <v>225.40999999999997</v>
      </c>
      <c r="BU76" s="115">
        <f t="shared" si="348"/>
        <v>225.40999999999997</v>
      </c>
      <c r="BV76" s="115">
        <f t="shared" si="348"/>
        <v>225.40999999999997</v>
      </c>
      <c r="BW76" s="115">
        <f t="shared" si="348"/>
        <v>225.40999999999997</v>
      </c>
      <c r="BX76" s="115">
        <f t="shared" si="348"/>
        <v>225.40999999999997</v>
      </c>
      <c r="BY76" s="115">
        <f t="shared" si="348"/>
        <v>225.40999999999997</v>
      </c>
      <c r="BZ76" s="115">
        <f t="shared" si="348"/>
        <v>225.40999999999997</v>
      </c>
      <c r="CA76" s="192">
        <f t="shared" si="348"/>
        <v>225.40999999999997</v>
      </c>
      <c r="CB76" s="115">
        <f t="shared" si="348"/>
        <v>225.40999999999997</v>
      </c>
      <c r="CC76" s="115">
        <f t="shared" si="348"/>
        <v>225.40999999999997</v>
      </c>
      <c r="CD76" s="115">
        <f t="shared" si="348"/>
        <v>225.40999999999997</v>
      </c>
      <c r="CE76" s="115">
        <f t="shared" si="348"/>
        <v>225.40999999999997</v>
      </c>
      <c r="CF76" s="115">
        <f t="shared" si="348"/>
        <v>225.40999999999997</v>
      </c>
      <c r="CG76" s="115">
        <f t="shared" si="348"/>
        <v>225.40999999999997</v>
      </c>
      <c r="CH76" s="115">
        <f t="shared" si="348"/>
        <v>225.40999999999997</v>
      </c>
      <c r="CI76" s="115">
        <f t="shared" ref="CI76:CY77" si="349">+CH76</f>
        <v>225.40999999999997</v>
      </c>
      <c r="CJ76" s="115">
        <f t="shared" si="349"/>
        <v>225.40999999999997</v>
      </c>
      <c r="CK76" s="115">
        <f t="shared" si="349"/>
        <v>225.40999999999997</v>
      </c>
      <c r="CL76" s="115">
        <f t="shared" si="349"/>
        <v>225.40999999999997</v>
      </c>
      <c r="CM76" s="192">
        <f t="shared" si="349"/>
        <v>225.40999999999997</v>
      </c>
      <c r="CN76" s="115">
        <f t="shared" si="349"/>
        <v>225.40999999999997</v>
      </c>
      <c r="CO76" s="115">
        <f t="shared" si="349"/>
        <v>225.40999999999997</v>
      </c>
      <c r="CP76" s="115">
        <f t="shared" si="349"/>
        <v>225.40999999999997</v>
      </c>
      <c r="CQ76" s="115">
        <f t="shared" si="349"/>
        <v>225.40999999999997</v>
      </c>
      <c r="CR76" s="115">
        <f t="shared" si="349"/>
        <v>225.40999999999997</v>
      </c>
      <c r="CS76" s="115">
        <f t="shared" si="349"/>
        <v>225.40999999999997</v>
      </c>
      <c r="CT76" s="115">
        <f t="shared" si="349"/>
        <v>225.40999999999997</v>
      </c>
      <c r="CU76" s="115">
        <f t="shared" si="349"/>
        <v>225.40999999999997</v>
      </c>
      <c r="CV76" s="115">
        <f t="shared" si="349"/>
        <v>225.40999999999997</v>
      </c>
      <c r="CW76" s="115">
        <f t="shared" si="349"/>
        <v>225.40999999999997</v>
      </c>
      <c r="CX76" s="115">
        <f t="shared" si="349"/>
        <v>225.40999999999997</v>
      </c>
      <c r="CY76" s="115">
        <f t="shared" si="349"/>
        <v>225.40999999999997</v>
      </c>
    </row>
    <row r="77" spans="1:103" x14ac:dyDescent="0.3">
      <c r="B77" s="477" t="s">
        <v>303</v>
      </c>
      <c r="C77" s="1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>
        <v>177.96</v>
      </c>
      <c r="W77" s="115"/>
      <c r="X77" s="115"/>
      <c r="Y77" s="115">
        <v>78.39</v>
      </c>
      <c r="Z77" s="115">
        <v>196.09</v>
      </c>
      <c r="AA77" s="115">
        <v>40.61</v>
      </c>
      <c r="AB77" s="115"/>
      <c r="AC77" s="192"/>
      <c r="AD77" s="408">
        <f>+AVERAGE(X77:AC77)</f>
        <v>105.03000000000002</v>
      </c>
      <c r="AE77" s="192">
        <f t="shared" si="348"/>
        <v>105.03000000000002</v>
      </c>
      <c r="AF77" s="115">
        <f t="shared" si="348"/>
        <v>105.03000000000002</v>
      </c>
      <c r="AG77" s="115">
        <f t="shared" si="348"/>
        <v>105.03000000000002</v>
      </c>
      <c r="AH77" s="115">
        <f t="shared" si="348"/>
        <v>105.03000000000002</v>
      </c>
      <c r="AI77" s="115">
        <f t="shared" si="348"/>
        <v>105.03000000000002</v>
      </c>
      <c r="AJ77" s="115">
        <f t="shared" si="348"/>
        <v>105.03000000000002</v>
      </c>
      <c r="AK77" s="115">
        <f t="shared" si="348"/>
        <v>105.03000000000002</v>
      </c>
      <c r="AL77" s="115">
        <f t="shared" si="348"/>
        <v>105.03000000000002</v>
      </c>
      <c r="AM77" s="115">
        <f t="shared" si="348"/>
        <v>105.03000000000002</v>
      </c>
      <c r="AN77" s="115">
        <f t="shared" si="348"/>
        <v>105.03000000000002</v>
      </c>
      <c r="AO77" s="115">
        <f t="shared" si="348"/>
        <v>105.03000000000002</v>
      </c>
      <c r="AP77" s="115">
        <f t="shared" si="348"/>
        <v>105.03000000000002</v>
      </c>
      <c r="AQ77" s="192">
        <f t="shared" si="348"/>
        <v>105.03000000000002</v>
      </c>
      <c r="AR77" s="115">
        <f t="shared" si="348"/>
        <v>105.03000000000002</v>
      </c>
      <c r="AS77" s="115">
        <f t="shared" si="348"/>
        <v>105.03000000000002</v>
      </c>
      <c r="AT77" s="115">
        <f t="shared" si="348"/>
        <v>105.03000000000002</v>
      </c>
      <c r="AU77" s="115">
        <f t="shared" si="348"/>
        <v>105.03000000000002</v>
      </c>
      <c r="AV77" s="115">
        <f t="shared" si="348"/>
        <v>105.03000000000002</v>
      </c>
      <c r="AW77" s="115">
        <f t="shared" si="348"/>
        <v>105.03000000000002</v>
      </c>
      <c r="AX77" s="115">
        <f t="shared" si="348"/>
        <v>105.03000000000002</v>
      </c>
      <c r="AY77" s="115">
        <f t="shared" si="348"/>
        <v>105.03000000000002</v>
      </c>
      <c r="AZ77" s="115">
        <f t="shared" si="348"/>
        <v>105.03000000000002</v>
      </c>
      <c r="BA77" s="115">
        <f t="shared" si="348"/>
        <v>105.03000000000002</v>
      </c>
      <c r="BB77" s="115">
        <f t="shared" si="348"/>
        <v>105.03000000000002</v>
      </c>
      <c r="BC77" s="192">
        <f t="shared" si="348"/>
        <v>105.03000000000002</v>
      </c>
      <c r="BD77" s="115">
        <f t="shared" si="348"/>
        <v>105.03000000000002</v>
      </c>
      <c r="BE77" s="115">
        <f t="shared" si="348"/>
        <v>105.03000000000002</v>
      </c>
      <c r="BF77" s="115">
        <f t="shared" si="348"/>
        <v>105.03000000000002</v>
      </c>
      <c r="BG77" s="115">
        <f t="shared" si="348"/>
        <v>105.03000000000002</v>
      </c>
      <c r="BH77" s="115">
        <f t="shared" si="348"/>
        <v>105.03000000000002</v>
      </c>
      <c r="BI77" s="115">
        <f t="shared" si="348"/>
        <v>105.03000000000002</v>
      </c>
      <c r="BJ77" s="115">
        <f t="shared" si="348"/>
        <v>105.03000000000002</v>
      </c>
      <c r="BK77" s="115">
        <f t="shared" si="348"/>
        <v>105.03000000000002</v>
      </c>
      <c r="BL77" s="115">
        <f t="shared" si="348"/>
        <v>105.03000000000002</v>
      </c>
      <c r="BM77" s="115">
        <f t="shared" si="348"/>
        <v>105.03000000000002</v>
      </c>
      <c r="BN77" s="115">
        <f t="shared" si="348"/>
        <v>105.03000000000002</v>
      </c>
      <c r="BO77" s="192">
        <f t="shared" si="348"/>
        <v>105.03000000000002</v>
      </c>
      <c r="BP77" s="115">
        <f t="shared" si="348"/>
        <v>105.03000000000002</v>
      </c>
      <c r="BQ77" s="115">
        <f t="shared" si="348"/>
        <v>105.03000000000002</v>
      </c>
      <c r="BR77" s="115">
        <f t="shared" si="348"/>
        <v>105.03000000000002</v>
      </c>
      <c r="BS77" s="115">
        <f t="shared" si="348"/>
        <v>105.03000000000002</v>
      </c>
      <c r="BT77" s="115">
        <f t="shared" si="348"/>
        <v>105.03000000000002</v>
      </c>
      <c r="BU77" s="115">
        <f t="shared" si="348"/>
        <v>105.03000000000002</v>
      </c>
      <c r="BV77" s="115">
        <f t="shared" si="348"/>
        <v>105.03000000000002</v>
      </c>
      <c r="BW77" s="115">
        <f t="shared" si="348"/>
        <v>105.03000000000002</v>
      </c>
      <c r="BX77" s="115">
        <f t="shared" si="348"/>
        <v>105.03000000000002</v>
      </c>
      <c r="BY77" s="115">
        <f t="shared" si="348"/>
        <v>105.03000000000002</v>
      </c>
      <c r="BZ77" s="115">
        <f t="shared" si="348"/>
        <v>105.03000000000002</v>
      </c>
      <c r="CA77" s="192">
        <f t="shared" si="348"/>
        <v>105.03000000000002</v>
      </c>
      <c r="CB77" s="115">
        <f t="shared" si="348"/>
        <v>105.03000000000002</v>
      </c>
      <c r="CC77" s="115">
        <f t="shared" si="348"/>
        <v>105.03000000000002</v>
      </c>
      <c r="CD77" s="115">
        <f t="shared" si="348"/>
        <v>105.03000000000002</v>
      </c>
      <c r="CE77" s="115">
        <f t="shared" si="348"/>
        <v>105.03000000000002</v>
      </c>
      <c r="CF77" s="115">
        <f t="shared" si="348"/>
        <v>105.03000000000002</v>
      </c>
      <c r="CG77" s="115">
        <f t="shared" si="348"/>
        <v>105.03000000000002</v>
      </c>
      <c r="CH77" s="115">
        <f t="shared" si="348"/>
        <v>105.03000000000002</v>
      </c>
      <c r="CI77" s="115">
        <f t="shared" si="349"/>
        <v>105.03000000000002</v>
      </c>
      <c r="CJ77" s="115">
        <f t="shared" si="349"/>
        <v>105.03000000000002</v>
      </c>
      <c r="CK77" s="115">
        <f t="shared" si="349"/>
        <v>105.03000000000002</v>
      </c>
      <c r="CL77" s="115">
        <f t="shared" si="349"/>
        <v>105.03000000000002</v>
      </c>
      <c r="CM77" s="192">
        <f t="shared" si="349"/>
        <v>105.03000000000002</v>
      </c>
      <c r="CN77" s="115">
        <f t="shared" si="349"/>
        <v>105.03000000000002</v>
      </c>
      <c r="CO77" s="115">
        <f t="shared" si="349"/>
        <v>105.03000000000002</v>
      </c>
      <c r="CP77" s="115">
        <f t="shared" si="349"/>
        <v>105.03000000000002</v>
      </c>
      <c r="CQ77" s="115">
        <f t="shared" si="349"/>
        <v>105.03000000000002</v>
      </c>
      <c r="CR77" s="115">
        <f t="shared" si="349"/>
        <v>105.03000000000002</v>
      </c>
      <c r="CS77" s="115">
        <f t="shared" si="349"/>
        <v>105.03000000000002</v>
      </c>
      <c r="CT77" s="115">
        <f t="shared" si="349"/>
        <v>105.03000000000002</v>
      </c>
      <c r="CU77" s="115">
        <f t="shared" si="349"/>
        <v>105.03000000000002</v>
      </c>
      <c r="CV77" s="115">
        <f t="shared" si="349"/>
        <v>105.03000000000002</v>
      </c>
      <c r="CW77" s="115">
        <f t="shared" si="349"/>
        <v>105.03000000000002</v>
      </c>
      <c r="CX77" s="115">
        <f t="shared" si="349"/>
        <v>105.03000000000002</v>
      </c>
      <c r="CY77" s="115">
        <f t="shared" si="349"/>
        <v>105.03000000000002</v>
      </c>
    </row>
    <row r="78" spans="1:103" x14ac:dyDescent="0.3">
      <c r="B78" s="477" t="s">
        <v>310</v>
      </c>
      <c r="C78" s="1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>
        <v>350</v>
      </c>
      <c r="U78" s="115">
        <v>850</v>
      </c>
      <c r="V78" s="115">
        <v>375</v>
      </c>
      <c r="W78" s="115"/>
      <c r="X78" s="115"/>
      <c r="Y78" s="115"/>
      <c r="Z78" s="115"/>
      <c r="AA78" s="115"/>
      <c r="AB78" s="115"/>
      <c r="AC78" s="192"/>
      <c r="AD78" s="408">
        <v>0</v>
      </c>
      <c r="AE78" s="192">
        <v>0</v>
      </c>
      <c r="AF78" s="408">
        <v>0</v>
      </c>
      <c r="AG78" s="115">
        <v>0</v>
      </c>
      <c r="AH78" s="115">
        <v>0</v>
      </c>
      <c r="AI78" s="115">
        <v>0</v>
      </c>
      <c r="AJ78" s="115">
        <v>0</v>
      </c>
      <c r="AK78" s="408">
        <f>+AJ78</f>
        <v>0</v>
      </c>
      <c r="AL78" s="115">
        <f>+AK78</f>
        <v>0</v>
      </c>
      <c r="AM78" s="115">
        <f t="shared" ref="AM78:CX78" si="350">+AL78</f>
        <v>0</v>
      </c>
      <c r="AN78" s="115">
        <f t="shared" si="350"/>
        <v>0</v>
      </c>
      <c r="AO78" s="115">
        <f t="shared" si="350"/>
        <v>0</v>
      </c>
      <c r="AP78" s="115">
        <f t="shared" si="350"/>
        <v>0</v>
      </c>
      <c r="AQ78" s="192">
        <f t="shared" si="350"/>
        <v>0</v>
      </c>
      <c r="AR78" s="408">
        <v>2500</v>
      </c>
      <c r="AS78" s="115">
        <f t="shared" si="350"/>
        <v>2500</v>
      </c>
      <c r="AT78" s="115">
        <f t="shared" si="350"/>
        <v>2500</v>
      </c>
      <c r="AU78" s="115">
        <f t="shared" si="350"/>
        <v>2500</v>
      </c>
      <c r="AV78" s="115">
        <f t="shared" si="350"/>
        <v>2500</v>
      </c>
      <c r="AW78" s="115">
        <f t="shared" si="350"/>
        <v>2500</v>
      </c>
      <c r="AX78" s="408">
        <f>+AW78</f>
        <v>2500</v>
      </c>
      <c r="AY78" s="115">
        <f t="shared" si="350"/>
        <v>2500</v>
      </c>
      <c r="AZ78" s="115">
        <f t="shared" si="350"/>
        <v>2500</v>
      </c>
      <c r="BA78" s="115">
        <f t="shared" si="350"/>
        <v>2500</v>
      </c>
      <c r="BB78" s="115">
        <f t="shared" si="350"/>
        <v>2500</v>
      </c>
      <c r="BC78" s="517">
        <v>2500</v>
      </c>
      <c r="BD78" s="115">
        <f t="shared" si="350"/>
        <v>2500</v>
      </c>
      <c r="BE78" s="115">
        <f t="shared" si="350"/>
        <v>2500</v>
      </c>
      <c r="BF78" s="115">
        <f t="shared" si="350"/>
        <v>2500</v>
      </c>
      <c r="BG78" s="115">
        <f t="shared" si="350"/>
        <v>2500</v>
      </c>
      <c r="BH78" s="115">
        <f t="shared" si="350"/>
        <v>2500</v>
      </c>
      <c r="BI78" s="519">
        <v>4000</v>
      </c>
      <c r="BJ78" s="115">
        <f t="shared" si="350"/>
        <v>4000</v>
      </c>
      <c r="BK78" s="115">
        <f t="shared" si="350"/>
        <v>4000</v>
      </c>
      <c r="BL78" s="115">
        <f t="shared" si="350"/>
        <v>4000</v>
      </c>
      <c r="BM78" s="115">
        <f t="shared" si="350"/>
        <v>4000</v>
      </c>
      <c r="BN78" s="115">
        <f t="shared" si="350"/>
        <v>4000</v>
      </c>
      <c r="BO78" s="192">
        <f t="shared" si="350"/>
        <v>4000</v>
      </c>
      <c r="BP78" s="115">
        <f t="shared" si="350"/>
        <v>4000</v>
      </c>
      <c r="BQ78" s="115">
        <f t="shared" si="350"/>
        <v>4000</v>
      </c>
      <c r="BR78" s="115">
        <f t="shared" si="350"/>
        <v>4000</v>
      </c>
      <c r="BS78" s="115">
        <f t="shared" si="350"/>
        <v>4000</v>
      </c>
      <c r="BT78" s="115">
        <f t="shared" si="350"/>
        <v>4000</v>
      </c>
      <c r="BU78" s="115">
        <f t="shared" si="350"/>
        <v>4000</v>
      </c>
      <c r="BV78" s="115">
        <f t="shared" si="350"/>
        <v>4000</v>
      </c>
      <c r="BW78" s="115">
        <f t="shared" si="350"/>
        <v>4000</v>
      </c>
      <c r="BX78" s="115">
        <f t="shared" si="350"/>
        <v>4000</v>
      </c>
      <c r="BY78" s="115">
        <f t="shared" si="350"/>
        <v>4000</v>
      </c>
      <c r="BZ78" s="115">
        <f t="shared" si="350"/>
        <v>4000</v>
      </c>
      <c r="CA78" s="192">
        <f t="shared" si="350"/>
        <v>4000</v>
      </c>
      <c r="CB78" s="115">
        <f t="shared" si="350"/>
        <v>4000</v>
      </c>
      <c r="CC78" s="115">
        <f t="shared" si="350"/>
        <v>4000</v>
      </c>
      <c r="CD78" s="115">
        <f t="shared" si="350"/>
        <v>4000</v>
      </c>
      <c r="CE78" s="115">
        <f t="shared" si="350"/>
        <v>4000</v>
      </c>
      <c r="CF78" s="115">
        <f t="shared" si="350"/>
        <v>4000</v>
      </c>
      <c r="CG78" s="115">
        <f t="shared" si="350"/>
        <v>4000</v>
      </c>
      <c r="CH78" s="115">
        <f t="shared" si="350"/>
        <v>4000</v>
      </c>
      <c r="CI78" s="115">
        <f t="shared" si="350"/>
        <v>4000</v>
      </c>
      <c r="CJ78" s="115">
        <f t="shared" si="350"/>
        <v>4000</v>
      </c>
      <c r="CK78" s="115">
        <f t="shared" si="350"/>
        <v>4000</v>
      </c>
      <c r="CL78" s="115">
        <f t="shared" si="350"/>
        <v>4000</v>
      </c>
      <c r="CM78" s="192">
        <f t="shared" si="350"/>
        <v>4000</v>
      </c>
      <c r="CN78" s="115">
        <f t="shared" si="350"/>
        <v>4000</v>
      </c>
      <c r="CO78" s="115">
        <f t="shared" si="350"/>
        <v>4000</v>
      </c>
      <c r="CP78" s="115">
        <f t="shared" si="350"/>
        <v>4000</v>
      </c>
      <c r="CQ78" s="115">
        <f t="shared" si="350"/>
        <v>4000</v>
      </c>
      <c r="CR78" s="115">
        <f t="shared" si="350"/>
        <v>4000</v>
      </c>
      <c r="CS78" s="115">
        <f t="shared" si="350"/>
        <v>4000</v>
      </c>
      <c r="CT78" s="115">
        <f t="shared" si="350"/>
        <v>4000</v>
      </c>
      <c r="CU78" s="115">
        <f t="shared" si="350"/>
        <v>4000</v>
      </c>
      <c r="CV78" s="115">
        <f t="shared" si="350"/>
        <v>4000</v>
      </c>
      <c r="CW78" s="115">
        <f t="shared" si="350"/>
        <v>4000</v>
      </c>
      <c r="CX78" s="115">
        <f t="shared" si="350"/>
        <v>4000</v>
      </c>
      <c r="CY78" s="115">
        <f t="shared" ref="CY78" si="351">+CX78</f>
        <v>4000</v>
      </c>
    </row>
    <row r="79" spans="1:103" x14ac:dyDescent="0.3">
      <c r="B79" s="477" t="s">
        <v>351</v>
      </c>
      <c r="C79" s="1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>
        <v>75</v>
      </c>
      <c r="AB79" s="115"/>
      <c r="AC79" s="192"/>
      <c r="AD79" s="408">
        <f>+AC79</f>
        <v>0</v>
      </c>
      <c r="AE79" s="192">
        <f t="shared" ref="AE79" si="352">+AD79</f>
        <v>0</v>
      </c>
      <c r="AF79" s="408">
        <f>+T79</f>
        <v>0</v>
      </c>
      <c r="AG79" s="115">
        <f t="shared" ref="AG79:CR79" si="353">+U79</f>
        <v>0</v>
      </c>
      <c r="AH79" s="115">
        <f t="shared" si="353"/>
        <v>0</v>
      </c>
      <c r="AI79" s="115">
        <f t="shared" si="353"/>
        <v>0</v>
      </c>
      <c r="AJ79" s="115">
        <f t="shared" si="353"/>
        <v>0</v>
      </c>
      <c r="AK79" s="408">
        <f t="shared" si="353"/>
        <v>0</v>
      </c>
      <c r="AL79" s="115">
        <f t="shared" si="353"/>
        <v>0</v>
      </c>
      <c r="AM79" s="115">
        <f t="shared" si="353"/>
        <v>75</v>
      </c>
      <c r="AN79" s="115">
        <f t="shared" si="353"/>
        <v>0</v>
      </c>
      <c r="AO79" s="115">
        <f t="shared" si="353"/>
        <v>0</v>
      </c>
      <c r="AP79" s="115">
        <f t="shared" si="353"/>
        <v>0</v>
      </c>
      <c r="AQ79" s="192">
        <f t="shared" si="353"/>
        <v>0</v>
      </c>
      <c r="AR79" s="115">
        <f t="shared" si="353"/>
        <v>0</v>
      </c>
      <c r="AS79" s="115">
        <f t="shared" si="353"/>
        <v>0</v>
      </c>
      <c r="AT79" s="115">
        <f t="shared" si="353"/>
        <v>0</v>
      </c>
      <c r="AU79" s="115">
        <f t="shared" si="353"/>
        <v>0</v>
      </c>
      <c r="AV79" s="115">
        <f t="shared" si="353"/>
        <v>0</v>
      </c>
      <c r="AW79" s="115">
        <f t="shared" si="353"/>
        <v>0</v>
      </c>
      <c r="AX79" s="408">
        <f t="shared" si="353"/>
        <v>0</v>
      </c>
      <c r="AY79" s="115">
        <f t="shared" si="353"/>
        <v>75</v>
      </c>
      <c r="AZ79" s="115">
        <f t="shared" si="353"/>
        <v>0</v>
      </c>
      <c r="BA79" s="115">
        <f t="shared" si="353"/>
        <v>0</v>
      </c>
      <c r="BB79" s="115">
        <f t="shared" si="353"/>
        <v>0</v>
      </c>
      <c r="BC79" s="517">
        <f t="shared" si="353"/>
        <v>0</v>
      </c>
      <c r="BD79" s="115">
        <f t="shared" si="353"/>
        <v>0</v>
      </c>
      <c r="BE79" s="115">
        <f t="shared" si="353"/>
        <v>0</v>
      </c>
      <c r="BF79" s="115">
        <f t="shared" si="353"/>
        <v>0</v>
      </c>
      <c r="BG79" s="115">
        <f t="shared" si="353"/>
        <v>0</v>
      </c>
      <c r="BH79" s="115">
        <f t="shared" si="353"/>
        <v>0</v>
      </c>
      <c r="BI79" s="519">
        <f t="shared" si="353"/>
        <v>0</v>
      </c>
      <c r="BJ79" s="115">
        <f t="shared" si="353"/>
        <v>0</v>
      </c>
      <c r="BK79" s="115">
        <f t="shared" si="353"/>
        <v>75</v>
      </c>
      <c r="BL79" s="115">
        <f t="shared" si="353"/>
        <v>0</v>
      </c>
      <c r="BM79" s="115">
        <f t="shared" si="353"/>
        <v>0</v>
      </c>
      <c r="BN79" s="115">
        <f t="shared" si="353"/>
        <v>0</v>
      </c>
      <c r="BO79" s="192">
        <f t="shared" si="353"/>
        <v>0</v>
      </c>
      <c r="BP79" s="115">
        <f t="shared" si="353"/>
        <v>0</v>
      </c>
      <c r="BQ79" s="115">
        <f t="shared" si="353"/>
        <v>0</v>
      </c>
      <c r="BR79" s="115">
        <f t="shared" si="353"/>
        <v>0</v>
      </c>
      <c r="BS79" s="115">
        <f t="shared" si="353"/>
        <v>0</v>
      </c>
      <c r="BT79" s="115">
        <f t="shared" si="353"/>
        <v>0</v>
      </c>
      <c r="BU79" s="115">
        <f t="shared" si="353"/>
        <v>0</v>
      </c>
      <c r="BV79" s="115">
        <f t="shared" si="353"/>
        <v>0</v>
      </c>
      <c r="BW79" s="115">
        <f t="shared" si="353"/>
        <v>75</v>
      </c>
      <c r="BX79" s="115">
        <f t="shared" si="353"/>
        <v>0</v>
      </c>
      <c r="BY79" s="115">
        <f t="shared" si="353"/>
        <v>0</v>
      </c>
      <c r="BZ79" s="115">
        <f t="shared" si="353"/>
        <v>0</v>
      </c>
      <c r="CA79" s="192">
        <f t="shared" si="353"/>
        <v>0</v>
      </c>
      <c r="CB79" s="115">
        <f t="shared" si="353"/>
        <v>0</v>
      </c>
      <c r="CC79" s="115">
        <f t="shared" si="353"/>
        <v>0</v>
      </c>
      <c r="CD79" s="115">
        <f t="shared" si="353"/>
        <v>0</v>
      </c>
      <c r="CE79" s="115">
        <f t="shared" si="353"/>
        <v>0</v>
      </c>
      <c r="CF79" s="115">
        <f t="shared" si="353"/>
        <v>0</v>
      </c>
      <c r="CG79" s="115">
        <f t="shared" si="353"/>
        <v>0</v>
      </c>
      <c r="CH79" s="115">
        <f t="shared" si="353"/>
        <v>0</v>
      </c>
      <c r="CI79" s="115">
        <f t="shared" si="353"/>
        <v>75</v>
      </c>
      <c r="CJ79" s="115">
        <f t="shared" si="353"/>
        <v>0</v>
      </c>
      <c r="CK79" s="115">
        <f t="shared" si="353"/>
        <v>0</v>
      </c>
      <c r="CL79" s="115">
        <f t="shared" si="353"/>
        <v>0</v>
      </c>
      <c r="CM79" s="192">
        <f t="shared" si="353"/>
        <v>0</v>
      </c>
      <c r="CN79" s="115">
        <f t="shared" si="353"/>
        <v>0</v>
      </c>
      <c r="CO79" s="115">
        <f t="shared" si="353"/>
        <v>0</v>
      </c>
      <c r="CP79" s="115">
        <f t="shared" si="353"/>
        <v>0</v>
      </c>
      <c r="CQ79" s="115">
        <f t="shared" si="353"/>
        <v>0</v>
      </c>
      <c r="CR79" s="115">
        <f t="shared" si="353"/>
        <v>0</v>
      </c>
      <c r="CS79" s="115">
        <f t="shared" ref="CS79:CY79" si="354">+CG79</f>
        <v>0</v>
      </c>
      <c r="CT79" s="115">
        <f t="shared" si="354"/>
        <v>0</v>
      </c>
      <c r="CU79" s="115">
        <f t="shared" si="354"/>
        <v>75</v>
      </c>
      <c r="CV79" s="115">
        <f t="shared" si="354"/>
        <v>0</v>
      </c>
      <c r="CW79" s="115">
        <f t="shared" si="354"/>
        <v>0</v>
      </c>
      <c r="CX79" s="115">
        <f t="shared" si="354"/>
        <v>0</v>
      </c>
      <c r="CY79" s="115">
        <f t="shared" si="354"/>
        <v>0</v>
      </c>
    </row>
    <row r="80" spans="1:103" s="3" customFormat="1" x14ac:dyDescent="0.3">
      <c r="B80" s="4" t="s">
        <v>304</v>
      </c>
      <c r="C80" s="4"/>
      <c r="D80" s="56"/>
      <c r="E80" s="56">
        <f t="shared" ref="E80:S80" si="355">+SUM(E73:E79)</f>
        <v>0</v>
      </c>
      <c r="F80" s="56">
        <f t="shared" si="355"/>
        <v>0</v>
      </c>
      <c r="G80" s="56">
        <f t="shared" si="355"/>
        <v>0</v>
      </c>
      <c r="H80" s="56">
        <f t="shared" si="355"/>
        <v>0</v>
      </c>
      <c r="I80" s="56">
        <f t="shared" si="355"/>
        <v>0</v>
      </c>
      <c r="J80" s="56">
        <f t="shared" si="355"/>
        <v>0</v>
      </c>
      <c r="K80" s="56">
        <f t="shared" si="355"/>
        <v>0</v>
      </c>
      <c r="L80" s="56">
        <f t="shared" si="355"/>
        <v>0</v>
      </c>
      <c r="M80" s="56">
        <f t="shared" si="355"/>
        <v>0</v>
      </c>
      <c r="N80" s="56">
        <f t="shared" si="355"/>
        <v>0</v>
      </c>
      <c r="O80" s="56">
        <f t="shared" si="355"/>
        <v>0</v>
      </c>
      <c r="P80" s="56">
        <f t="shared" si="355"/>
        <v>0</v>
      </c>
      <c r="Q80" s="56">
        <f t="shared" si="355"/>
        <v>0</v>
      </c>
      <c r="R80" s="56">
        <f t="shared" si="355"/>
        <v>0</v>
      </c>
      <c r="S80" s="56">
        <f t="shared" si="355"/>
        <v>0</v>
      </c>
      <c r="T80" s="56">
        <f t="shared" ref="T80:AY80" si="356">+SUM(T71:T79)</f>
        <v>571.14</v>
      </c>
      <c r="U80" s="56">
        <f t="shared" si="356"/>
        <v>1144.06</v>
      </c>
      <c r="V80" s="56">
        <f t="shared" si="356"/>
        <v>1586.0800000000002</v>
      </c>
      <c r="W80" s="56">
        <f t="shared" si="356"/>
        <v>1064.21</v>
      </c>
      <c r="X80" s="56">
        <f t="shared" si="356"/>
        <v>1032.8699999999999</v>
      </c>
      <c r="Y80" s="56">
        <f t="shared" si="356"/>
        <v>585.07000000000005</v>
      </c>
      <c r="Z80" s="56">
        <f t="shared" si="356"/>
        <v>1356.68</v>
      </c>
      <c r="AA80" s="56">
        <f t="shared" si="356"/>
        <v>1016.6899999999999</v>
      </c>
      <c r="AB80" s="56">
        <f t="shared" si="356"/>
        <v>943.14</v>
      </c>
      <c r="AC80" s="193">
        <f t="shared" ref="AC80" si="357">+SUM(AC71:AC79)</f>
        <v>834.44</v>
      </c>
      <c r="AD80" s="56">
        <f t="shared" ref="AD80" si="358">+SUM(AD71:AD79)</f>
        <v>3029.2570434004388</v>
      </c>
      <c r="AE80" s="193">
        <f t="shared" si="356"/>
        <v>1142.7704596670637</v>
      </c>
      <c r="AF80" s="56">
        <f t="shared" si="356"/>
        <v>1324.9527207681867</v>
      </c>
      <c r="AG80" s="56">
        <f t="shared" si="356"/>
        <v>1192.8532229716509</v>
      </c>
      <c r="AH80" s="56">
        <f t="shared" si="356"/>
        <v>1140.4969711029719</v>
      </c>
      <c r="AI80" s="56">
        <f t="shared" si="356"/>
        <v>3361.5270655131699</v>
      </c>
      <c r="AJ80" s="56">
        <f t="shared" si="356"/>
        <v>1224.5591785578802</v>
      </c>
      <c r="AK80" s="56">
        <f t="shared" si="356"/>
        <v>1892.1248622038527</v>
      </c>
      <c r="AL80" s="56">
        <f t="shared" si="356"/>
        <v>2089.7663573526047</v>
      </c>
      <c r="AM80" s="56">
        <f t="shared" si="356"/>
        <v>1339.8900974647111</v>
      </c>
      <c r="AN80" s="56">
        <f t="shared" si="356"/>
        <v>1275.596532901139</v>
      </c>
      <c r="AO80" s="56">
        <f t="shared" si="356"/>
        <v>1429.5045826322632</v>
      </c>
      <c r="AP80" s="56">
        <f t="shared" si="356"/>
        <v>1205.4693743979162</v>
      </c>
      <c r="AQ80" s="193">
        <f t="shared" si="356"/>
        <v>1285.7318689203832</v>
      </c>
      <c r="AR80" s="56">
        <f t="shared" si="356"/>
        <v>3946.3534575953427</v>
      </c>
      <c r="AS80" s="56">
        <f t="shared" si="356"/>
        <v>3793.1663269835371</v>
      </c>
      <c r="AT80" s="56">
        <f t="shared" si="356"/>
        <v>3711.8550367065536</v>
      </c>
      <c r="AU80" s="56">
        <f t="shared" si="356"/>
        <v>3950.1296747346396</v>
      </c>
      <c r="AV80" s="56">
        <f t="shared" si="356"/>
        <v>3805.8978332349607</v>
      </c>
      <c r="AW80" s="56">
        <f t="shared" si="356"/>
        <v>4652.1555911303549</v>
      </c>
      <c r="AX80" s="56">
        <f t="shared" si="356"/>
        <v>4861.8744019826008</v>
      </c>
      <c r="AY80" s="56">
        <f t="shared" si="356"/>
        <v>3929.0089268089769</v>
      </c>
      <c r="AZ80" s="56">
        <f t="shared" ref="AZ80:CE80" si="359">+SUM(AZ71:AZ79)</f>
        <v>3865.7986788563849</v>
      </c>
      <c r="BA80" s="56">
        <f t="shared" si="359"/>
        <v>4020.0548211704099</v>
      </c>
      <c r="BB80" s="56">
        <f t="shared" si="359"/>
        <v>3775.5988139338006</v>
      </c>
      <c r="BC80" s="193">
        <f t="shared" si="359"/>
        <v>3877.1194386442603</v>
      </c>
      <c r="BD80" s="56">
        <f t="shared" si="359"/>
        <v>4038.3193776232729</v>
      </c>
      <c r="BE80" s="56">
        <f t="shared" si="359"/>
        <v>3892.2216320962607</v>
      </c>
      <c r="BF80" s="56">
        <f t="shared" si="359"/>
        <v>3793.5279937058576</v>
      </c>
      <c r="BG80" s="56">
        <f t="shared" si="359"/>
        <v>4048.9465172427153</v>
      </c>
      <c r="BH80" s="56">
        <f t="shared" si="359"/>
        <v>3910.0700164480631</v>
      </c>
      <c r="BI80" s="56">
        <f t="shared" si="359"/>
        <v>6482.2406154668679</v>
      </c>
      <c r="BJ80" s="56">
        <f t="shared" si="359"/>
        <v>6703.9908480803424</v>
      </c>
      <c r="BK80" s="56">
        <f t="shared" si="359"/>
        <v>5541.3145267840146</v>
      </c>
      <c r="BL80" s="56">
        <f t="shared" si="359"/>
        <v>5479.1710736231871</v>
      </c>
      <c r="BM80" s="56">
        <f t="shared" si="359"/>
        <v>5633.2622331224366</v>
      </c>
      <c r="BN80" s="56">
        <f t="shared" si="359"/>
        <v>5363.3478559671848</v>
      </c>
      <c r="BO80" s="193">
        <f t="shared" si="359"/>
        <v>5498.1989375001995</v>
      </c>
      <c r="BP80" s="56">
        <f t="shared" si="359"/>
        <v>5657.6605389472206</v>
      </c>
      <c r="BQ80" s="56">
        <f t="shared" si="359"/>
        <v>5509.4128338274922</v>
      </c>
      <c r="BR80" s="56">
        <f t="shared" si="359"/>
        <v>5383.0635148393885</v>
      </c>
      <c r="BS80" s="56">
        <f t="shared" si="359"/>
        <v>5672.1042281710352</v>
      </c>
      <c r="BT80" s="56">
        <f t="shared" si="359"/>
        <v>5531.0606348603578</v>
      </c>
      <c r="BU80" s="56">
        <f t="shared" si="359"/>
        <v>6888.9347577954468</v>
      </c>
      <c r="BV80" s="56">
        <f t="shared" si="359"/>
        <v>7129.4677875661237</v>
      </c>
      <c r="BW80" s="56">
        <f t="shared" si="359"/>
        <v>5675.9021164770875</v>
      </c>
      <c r="BX80" s="56">
        <f t="shared" si="359"/>
        <v>5623.4227104747051</v>
      </c>
      <c r="BY80" s="56">
        <f t="shared" si="359"/>
        <v>5782.4066061179583</v>
      </c>
      <c r="BZ80" s="56">
        <f t="shared" si="359"/>
        <v>5475.1748861573969</v>
      </c>
      <c r="CA80" s="193">
        <f t="shared" si="359"/>
        <v>5641.2726638424319</v>
      </c>
      <c r="CB80" s="56">
        <f t="shared" si="359"/>
        <v>5806.8025928657762</v>
      </c>
      <c r="CC80" s="56">
        <f t="shared" si="359"/>
        <v>5661.8939869081532</v>
      </c>
      <c r="CD80" s="56">
        <f t="shared" si="359"/>
        <v>5503.3330905993589</v>
      </c>
      <c r="CE80" s="56">
        <f t="shared" si="359"/>
        <v>5821.2498064674146</v>
      </c>
      <c r="CF80" s="56">
        <f t="shared" ref="CF80:CY80" si="360">+SUM(CF71:CF79)</f>
        <v>5684.7514921024649</v>
      </c>
      <c r="CG80" s="56">
        <f t="shared" si="360"/>
        <v>7396.2581747114818</v>
      </c>
      <c r="CH80" s="56">
        <f t="shared" si="360"/>
        <v>7666.041052263934</v>
      </c>
      <c r="CI80" s="56">
        <f t="shared" si="360"/>
        <v>5850.0572427344568</v>
      </c>
      <c r="CJ80" s="56">
        <f t="shared" si="360"/>
        <v>5801.5787478489583</v>
      </c>
      <c r="CK80" s="56">
        <f t="shared" si="360"/>
        <v>5961.8562330888199</v>
      </c>
      <c r="CL80" s="56">
        <f t="shared" si="360"/>
        <v>5614.4432551659074</v>
      </c>
      <c r="CM80" s="193">
        <f t="shared" si="360"/>
        <v>5830.4977695382795</v>
      </c>
      <c r="CN80" s="56">
        <f t="shared" si="360"/>
        <v>6002.1518472626876</v>
      </c>
      <c r="CO80" s="56">
        <f t="shared" si="360"/>
        <v>5851.9614414762973</v>
      </c>
      <c r="CP80" s="56">
        <f t="shared" si="360"/>
        <v>5648.0664640151754</v>
      </c>
      <c r="CQ80" s="56">
        <f t="shared" si="360"/>
        <v>6015.2634017260852</v>
      </c>
      <c r="CR80" s="56">
        <f t="shared" si="360"/>
        <v>5883.5776350044453</v>
      </c>
      <c r="CS80" s="56">
        <f t="shared" si="360"/>
        <v>8050.7172892699709</v>
      </c>
      <c r="CT80" s="56">
        <f t="shared" si="360"/>
        <v>8352.0802719746171</v>
      </c>
      <c r="CU80" s="56">
        <f t="shared" si="360"/>
        <v>6072.6125064033004</v>
      </c>
      <c r="CV80" s="56">
        <f t="shared" si="360"/>
        <v>6034.6374102060199</v>
      </c>
      <c r="CW80" s="56">
        <f t="shared" si="360"/>
        <v>6192.7638079155531</v>
      </c>
      <c r="CX80" s="56">
        <f t="shared" si="360"/>
        <v>5799.0774673049573</v>
      </c>
      <c r="CY80" s="56">
        <f t="shared" si="360"/>
        <v>6065.0562241337211</v>
      </c>
    </row>
    <row r="81" spans="1:103" hidden="1" x14ac:dyDescent="0.3">
      <c r="B81" s="1" t="s">
        <v>188</v>
      </c>
      <c r="C81" s="1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92"/>
      <c r="AD81" s="115"/>
      <c r="AE81" s="192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92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92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92"/>
      <c r="BP81" s="115"/>
      <c r="BQ81" s="115"/>
      <c r="BR81" s="115"/>
      <c r="BS81" s="115"/>
      <c r="BT81" s="115"/>
      <c r="BU81" s="115"/>
      <c r="BV81" s="115"/>
      <c r="BW81" s="115"/>
      <c r="BX81" s="115"/>
      <c r="BY81" s="115"/>
      <c r="BZ81" s="115"/>
      <c r="CA81" s="192"/>
      <c r="CB81" s="115"/>
      <c r="CC81" s="115"/>
      <c r="CD81" s="115"/>
      <c r="CE81" s="115"/>
      <c r="CF81" s="115"/>
      <c r="CG81" s="115"/>
      <c r="CH81" s="115"/>
      <c r="CI81" s="115"/>
      <c r="CJ81" s="115"/>
      <c r="CK81" s="115"/>
      <c r="CL81" s="115"/>
      <c r="CM81" s="192"/>
      <c r="CN81" s="115"/>
      <c r="CO81" s="115"/>
      <c r="CP81" s="115"/>
      <c r="CQ81" s="115"/>
      <c r="CR81" s="115"/>
      <c r="CS81" s="115"/>
      <c r="CT81" s="115"/>
      <c r="CU81" s="115"/>
      <c r="CV81" s="115"/>
      <c r="CW81" s="115"/>
      <c r="CX81" s="115"/>
      <c r="CY81" s="115"/>
    </row>
    <row r="82" spans="1:103" x14ac:dyDescent="0.3">
      <c r="A82" s="5"/>
      <c r="B82" s="6" t="s">
        <v>5</v>
      </c>
      <c r="C82" s="6"/>
      <c r="D82" s="56"/>
      <c r="E82" s="56">
        <f t="shared" ref="E82:G82" si="361">SUM(E80:E81)</f>
        <v>0</v>
      </c>
      <c r="F82" s="56">
        <f t="shared" si="361"/>
        <v>0</v>
      </c>
      <c r="G82" s="56">
        <f t="shared" si="361"/>
        <v>0</v>
      </c>
      <c r="H82" s="56">
        <f t="shared" ref="H82:O82" si="362">SUM(H80:H81)</f>
        <v>0</v>
      </c>
      <c r="I82" s="56">
        <f t="shared" si="362"/>
        <v>0</v>
      </c>
      <c r="J82" s="56">
        <f t="shared" si="362"/>
        <v>0</v>
      </c>
      <c r="K82" s="56">
        <f t="shared" si="362"/>
        <v>0</v>
      </c>
      <c r="L82" s="56">
        <f t="shared" si="362"/>
        <v>0</v>
      </c>
      <c r="M82" s="56">
        <f t="shared" si="362"/>
        <v>0</v>
      </c>
      <c r="N82" s="56">
        <f t="shared" si="362"/>
        <v>0</v>
      </c>
      <c r="O82" s="56">
        <f t="shared" si="362"/>
        <v>0</v>
      </c>
      <c r="P82" s="56">
        <f t="shared" ref="P82" si="363">SUM(P80:P81)</f>
        <v>0</v>
      </c>
      <c r="Q82" s="56">
        <f t="shared" ref="Q82:CB82" si="364">SUM(Q80:Q81)</f>
        <v>0</v>
      </c>
      <c r="R82" s="56">
        <f t="shared" si="364"/>
        <v>0</v>
      </c>
      <c r="S82" s="56">
        <f t="shared" si="364"/>
        <v>0</v>
      </c>
      <c r="T82" s="56">
        <f t="shared" si="364"/>
        <v>571.14</v>
      </c>
      <c r="U82" s="56">
        <f t="shared" si="364"/>
        <v>1144.06</v>
      </c>
      <c r="V82" s="56">
        <f t="shared" ref="V82:W82" si="365">SUM(V80:V81)</f>
        <v>1586.0800000000002</v>
      </c>
      <c r="W82" s="56">
        <f t="shared" si="365"/>
        <v>1064.21</v>
      </c>
      <c r="X82" s="56">
        <f t="shared" ref="X82" si="366">SUM(X80:X81)</f>
        <v>1032.8699999999999</v>
      </c>
      <c r="Y82" s="56">
        <f t="shared" ref="Y82:Z82" si="367">SUM(Y80:Y81)</f>
        <v>585.07000000000005</v>
      </c>
      <c r="Z82" s="56">
        <f t="shared" si="367"/>
        <v>1356.68</v>
      </c>
      <c r="AA82" s="56">
        <f t="shared" ref="AA82:AB82" si="368">SUM(AA80:AA81)</f>
        <v>1016.6899999999999</v>
      </c>
      <c r="AB82" s="56">
        <f t="shared" si="368"/>
        <v>943.14</v>
      </c>
      <c r="AC82" s="193">
        <f t="shared" ref="AC82" si="369">SUM(AC80:AC81)</f>
        <v>834.44</v>
      </c>
      <c r="AD82" s="56">
        <f t="shared" ref="AD82" si="370">SUM(AD80:AD81)</f>
        <v>3029.2570434004388</v>
      </c>
      <c r="AE82" s="193">
        <f t="shared" si="364"/>
        <v>1142.7704596670637</v>
      </c>
      <c r="AF82" s="56">
        <f t="shared" si="364"/>
        <v>1324.9527207681867</v>
      </c>
      <c r="AG82" s="56">
        <f t="shared" si="364"/>
        <v>1192.8532229716509</v>
      </c>
      <c r="AH82" s="56">
        <f t="shared" si="364"/>
        <v>1140.4969711029719</v>
      </c>
      <c r="AI82" s="56">
        <f t="shared" si="364"/>
        <v>3361.5270655131699</v>
      </c>
      <c r="AJ82" s="56">
        <f t="shared" si="364"/>
        <v>1224.5591785578802</v>
      </c>
      <c r="AK82" s="56">
        <f t="shared" si="364"/>
        <v>1892.1248622038527</v>
      </c>
      <c r="AL82" s="56">
        <f t="shared" si="364"/>
        <v>2089.7663573526047</v>
      </c>
      <c r="AM82" s="56">
        <f t="shared" si="364"/>
        <v>1339.8900974647111</v>
      </c>
      <c r="AN82" s="56">
        <f t="shared" si="364"/>
        <v>1275.596532901139</v>
      </c>
      <c r="AO82" s="56">
        <f t="shared" si="364"/>
        <v>1429.5045826322632</v>
      </c>
      <c r="AP82" s="56">
        <f t="shared" si="364"/>
        <v>1205.4693743979162</v>
      </c>
      <c r="AQ82" s="193">
        <f t="shared" si="364"/>
        <v>1285.7318689203832</v>
      </c>
      <c r="AR82" s="56">
        <f t="shared" si="364"/>
        <v>3946.3534575953427</v>
      </c>
      <c r="AS82" s="56">
        <f t="shared" si="364"/>
        <v>3793.1663269835371</v>
      </c>
      <c r="AT82" s="56">
        <f t="shared" si="364"/>
        <v>3711.8550367065536</v>
      </c>
      <c r="AU82" s="56">
        <f t="shared" si="364"/>
        <v>3950.1296747346396</v>
      </c>
      <c r="AV82" s="56">
        <f t="shared" si="364"/>
        <v>3805.8978332349607</v>
      </c>
      <c r="AW82" s="56">
        <f t="shared" si="364"/>
        <v>4652.1555911303549</v>
      </c>
      <c r="AX82" s="56">
        <f t="shared" si="364"/>
        <v>4861.8744019826008</v>
      </c>
      <c r="AY82" s="56">
        <f t="shared" si="364"/>
        <v>3929.0089268089769</v>
      </c>
      <c r="AZ82" s="56">
        <f t="shared" si="364"/>
        <v>3865.7986788563849</v>
      </c>
      <c r="BA82" s="56">
        <f t="shared" si="364"/>
        <v>4020.0548211704099</v>
      </c>
      <c r="BB82" s="56">
        <f t="shared" si="364"/>
        <v>3775.5988139338006</v>
      </c>
      <c r="BC82" s="193">
        <f t="shared" si="364"/>
        <v>3877.1194386442603</v>
      </c>
      <c r="BD82" s="56">
        <f t="shared" si="364"/>
        <v>4038.3193776232729</v>
      </c>
      <c r="BE82" s="56">
        <f t="shared" si="364"/>
        <v>3892.2216320962607</v>
      </c>
      <c r="BF82" s="56">
        <f t="shared" si="364"/>
        <v>3793.5279937058576</v>
      </c>
      <c r="BG82" s="56">
        <f t="shared" si="364"/>
        <v>4048.9465172427153</v>
      </c>
      <c r="BH82" s="56">
        <f t="shared" si="364"/>
        <v>3910.0700164480631</v>
      </c>
      <c r="BI82" s="56">
        <f t="shared" si="364"/>
        <v>6482.2406154668679</v>
      </c>
      <c r="BJ82" s="56">
        <f t="shared" si="364"/>
        <v>6703.9908480803424</v>
      </c>
      <c r="BK82" s="56">
        <f t="shared" si="364"/>
        <v>5541.3145267840146</v>
      </c>
      <c r="BL82" s="56">
        <f t="shared" si="364"/>
        <v>5479.1710736231871</v>
      </c>
      <c r="BM82" s="56">
        <f t="shared" si="364"/>
        <v>5633.2622331224366</v>
      </c>
      <c r="BN82" s="56">
        <f t="shared" si="364"/>
        <v>5363.3478559671848</v>
      </c>
      <c r="BO82" s="193">
        <f t="shared" si="364"/>
        <v>5498.1989375001995</v>
      </c>
      <c r="BP82" s="56">
        <f t="shared" si="364"/>
        <v>5657.6605389472206</v>
      </c>
      <c r="BQ82" s="56">
        <f t="shared" si="364"/>
        <v>5509.4128338274922</v>
      </c>
      <c r="BR82" s="56">
        <f t="shared" si="364"/>
        <v>5383.0635148393885</v>
      </c>
      <c r="BS82" s="56">
        <f t="shared" si="364"/>
        <v>5672.1042281710352</v>
      </c>
      <c r="BT82" s="56">
        <f t="shared" si="364"/>
        <v>5531.0606348603578</v>
      </c>
      <c r="BU82" s="56">
        <f t="shared" si="364"/>
        <v>6888.9347577954468</v>
      </c>
      <c r="BV82" s="56">
        <f t="shared" si="364"/>
        <v>7129.4677875661237</v>
      </c>
      <c r="BW82" s="56">
        <f t="shared" si="364"/>
        <v>5675.9021164770875</v>
      </c>
      <c r="BX82" s="56">
        <f t="shared" si="364"/>
        <v>5623.4227104747051</v>
      </c>
      <c r="BY82" s="56">
        <f t="shared" si="364"/>
        <v>5782.4066061179583</v>
      </c>
      <c r="BZ82" s="56">
        <f t="shared" si="364"/>
        <v>5475.1748861573969</v>
      </c>
      <c r="CA82" s="193">
        <f t="shared" si="364"/>
        <v>5641.2726638424319</v>
      </c>
      <c r="CB82" s="56">
        <f t="shared" si="364"/>
        <v>5806.8025928657762</v>
      </c>
      <c r="CC82" s="56">
        <f t="shared" ref="CC82:CY82" si="371">SUM(CC80:CC81)</f>
        <v>5661.8939869081532</v>
      </c>
      <c r="CD82" s="56">
        <f t="shared" si="371"/>
        <v>5503.3330905993589</v>
      </c>
      <c r="CE82" s="56">
        <f t="shared" si="371"/>
        <v>5821.2498064674146</v>
      </c>
      <c r="CF82" s="56">
        <f t="shared" si="371"/>
        <v>5684.7514921024649</v>
      </c>
      <c r="CG82" s="56">
        <f t="shared" si="371"/>
        <v>7396.2581747114818</v>
      </c>
      <c r="CH82" s="56">
        <f t="shared" si="371"/>
        <v>7666.041052263934</v>
      </c>
      <c r="CI82" s="56">
        <f t="shared" si="371"/>
        <v>5850.0572427344568</v>
      </c>
      <c r="CJ82" s="56">
        <f t="shared" si="371"/>
        <v>5801.5787478489583</v>
      </c>
      <c r="CK82" s="56">
        <f t="shared" si="371"/>
        <v>5961.8562330888199</v>
      </c>
      <c r="CL82" s="56">
        <f t="shared" si="371"/>
        <v>5614.4432551659074</v>
      </c>
      <c r="CM82" s="193">
        <f t="shared" si="371"/>
        <v>5830.4977695382795</v>
      </c>
      <c r="CN82" s="56">
        <f t="shared" si="371"/>
        <v>6002.1518472626876</v>
      </c>
      <c r="CO82" s="56">
        <f t="shared" si="371"/>
        <v>5851.9614414762973</v>
      </c>
      <c r="CP82" s="56">
        <f t="shared" si="371"/>
        <v>5648.0664640151754</v>
      </c>
      <c r="CQ82" s="56">
        <f t="shared" si="371"/>
        <v>6015.2634017260852</v>
      </c>
      <c r="CR82" s="56">
        <f t="shared" si="371"/>
        <v>5883.5776350044453</v>
      </c>
      <c r="CS82" s="56">
        <f t="shared" si="371"/>
        <v>8050.7172892699709</v>
      </c>
      <c r="CT82" s="56">
        <f t="shared" si="371"/>
        <v>8352.0802719746171</v>
      </c>
      <c r="CU82" s="56">
        <f t="shared" si="371"/>
        <v>6072.6125064033004</v>
      </c>
      <c r="CV82" s="56">
        <f t="shared" si="371"/>
        <v>6034.6374102060199</v>
      </c>
      <c r="CW82" s="56">
        <f t="shared" si="371"/>
        <v>6192.7638079155531</v>
      </c>
      <c r="CX82" s="56">
        <f t="shared" si="371"/>
        <v>5799.0774673049573</v>
      </c>
      <c r="CY82" s="56">
        <f t="shared" si="371"/>
        <v>6065.0562241337211</v>
      </c>
    </row>
    <row r="83" spans="1:103" x14ac:dyDescent="0.3">
      <c r="A83" s="3"/>
      <c r="B83" s="4" t="s">
        <v>5</v>
      </c>
      <c r="C83" s="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>
        <f>+P80+P68</f>
        <v>0</v>
      </c>
      <c r="Q83" s="56">
        <f>+Q80+Q68</f>
        <v>0</v>
      </c>
      <c r="R83" s="56">
        <f>+R80+R68</f>
        <v>0</v>
      </c>
      <c r="S83" s="56">
        <f>+S80+S68</f>
        <v>0</v>
      </c>
      <c r="T83" s="56">
        <f t="shared" ref="T83:AY83" si="372">+T80+T64</f>
        <v>571.14</v>
      </c>
      <c r="U83" s="56">
        <f t="shared" si="372"/>
        <v>1144.06</v>
      </c>
      <c r="V83" s="56">
        <f t="shared" si="372"/>
        <v>1586.0800000000002</v>
      </c>
      <c r="W83" s="56">
        <f t="shared" si="372"/>
        <v>1064.21</v>
      </c>
      <c r="X83" s="56">
        <f t="shared" si="372"/>
        <v>1032.8699999999999</v>
      </c>
      <c r="Y83" s="56">
        <f t="shared" si="372"/>
        <v>585.07000000000005</v>
      </c>
      <c r="Z83" s="56">
        <f t="shared" si="372"/>
        <v>1356.68</v>
      </c>
      <c r="AA83" s="56">
        <f t="shared" si="372"/>
        <v>1016.6899999999999</v>
      </c>
      <c r="AB83" s="56">
        <f t="shared" ref="AB83:AC83" si="373">+AB80+AB64</f>
        <v>943.14</v>
      </c>
      <c r="AC83" s="193">
        <f t="shared" si="373"/>
        <v>848.44</v>
      </c>
      <c r="AD83" s="56">
        <f t="shared" ref="AD83" si="374">+AD80+AD64</f>
        <v>3054.2570434004388</v>
      </c>
      <c r="AE83" s="193">
        <f t="shared" si="372"/>
        <v>1642.7704596670637</v>
      </c>
      <c r="AF83" s="56">
        <f t="shared" si="372"/>
        <v>1924.9527207681867</v>
      </c>
      <c r="AG83" s="56">
        <f t="shared" si="372"/>
        <v>1792.8532229716509</v>
      </c>
      <c r="AH83" s="56">
        <f t="shared" si="372"/>
        <v>1740.4969711029719</v>
      </c>
      <c r="AI83" s="56">
        <f t="shared" si="372"/>
        <v>3961.5270655131699</v>
      </c>
      <c r="AJ83" s="56">
        <f t="shared" si="372"/>
        <v>1824.5591785578802</v>
      </c>
      <c r="AK83" s="56">
        <f t="shared" si="372"/>
        <v>2492.1248622038529</v>
      </c>
      <c r="AL83" s="56">
        <f t="shared" si="372"/>
        <v>2689.7663573526047</v>
      </c>
      <c r="AM83" s="56">
        <f t="shared" si="372"/>
        <v>1939.8900974647111</v>
      </c>
      <c r="AN83" s="56">
        <f t="shared" si="372"/>
        <v>1875.596532901139</v>
      </c>
      <c r="AO83" s="56">
        <f t="shared" si="372"/>
        <v>2029.5045826322632</v>
      </c>
      <c r="AP83" s="56">
        <f t="shared" si="372"/>
        <v>1805.4693743979162</v>
      </c>
      <c r="AQ83" s="193">
        <f t="shared" si="372"/>
        <v>1885.7318689203832</v>
      </c>
      <c r="AR83" s="56">
        <f t="shared" si="372"/>
        <v>4666.3534575953427</v>
      </c>
      <c r="AS83" s="56">
        <f t="shared" si="372"/>
        <v>4513.1663269835371</v>
      </c>
      <c r="AT83" s="56">
        <f t="shared" si="372"/>
        <v>4431.8550367065536</v>
      </c>
      <c r="AU83" s="56">
        <f t="shared" si="372"/>
        <v>4670.1296747346396</v>
      </c>
      <c r="AV83" s="56">
        <f t="shared" si="372"/>
        <v>4525.8978332349607</v>
      </c>
      <c r="AW83" s="56">
        <f t="shared" si="372"/>
        <v>5372.1555911303549</v>
      </c>
      <c r="AX83" s="56">
        <f t="shared" si="372"/>
        <v>5581.8744019826008</v>
      </c>
      <c r="AY83" s="56">
        <f t="shared" si="372"/>
        <v>4649.0089268089769</v>
      </c>
      <c r="AZ83" s="56">
        <f t="shared" ref="AZ83:CE83" si="375">+AZ80+AZ64</f>
        <v>4585.7986788563849</v>
      </c>
      <c r="BA83" s="56">
        <f t="shared" si="375"/>
        <v>4740.0548211704099</v>
      </c>
      <c r="BB83" s="56">
        <f t="shared" si="375"/>
        <v>4495.5988139338006</v>
      </c>
      <c r="BC83" s="193">
        <f t="shared" si="375"/>
        <v>4597.1194386442603</v>
      </c>
      <c r="BD83" s="56">
        <f t="shared" si="375"/>
        <v>4902.3193776232729</v>
      </c>
      <c r="BE83" s="56">
        <f t="shared" si="375"/>
        <v>4756.2216320962607</v>
      </c>
      <c r="BF83" s="56">
        <f t="shared" si="375"/>
        <v>4657.5279937058576</v>
      </c>
      <c r="BG83" s="56">
        <f t="shared" si="375"/>
        <v>4912.9465172427153</v>
      </c>
      <c r="BH83" s="56">
        <f t="shared" si="375"/>
        <v>4774.0700164480631</v>
      </c>
      <c r="BI83" s="56">
        <f t="shared" si="375"/>
        <v>7346.2406154668679</v>
      </c>
      <c r="BJ83" s="56">
        <f t="shared" si="375"/>
        <v>7567.9908480803424</v>
      </c>
      <c r="BK83" s="56">
        <f t="shared" si="375"/>
        <v>6405.3145267840146</v>
      </c>
      <c r="BL83" s="56">
        <f t="shared" si="375"/>
        <v>6343.1710736231871</v>
      </c>
      <c r="BM83" s="56">
        <f t="shared" si="375"/>
        <v>6497.2622331224366</v>
      </c>
      <c r="BN83" s="56">
        <f t="shared" si="375"/>
        <v>6227.3478559671848</v>
      </c>
      <c r="BO83" s="193">
        <f t="shared" si="375"/>
        <v>6362.1989375001995</v>
      </c>
      <c r="BP83" s="56">
        <f t="shared" si="375"/>
        <v>6694.4605389472208</v>
      </c>
      <c r="BQ83" s="56">
        <f t="shared" si="375"/>
        <v>6546.2128338274924</v>
      </c>
      <c r="BR83" s="56">
        <f t="shared" si="375"/>
        <v>6419.8635148393887</v>
      </c>
      <c r="BS83" s="56">
        <f t="shared" si="375"/>
        <v>6708.9042281710354</v>
      </c>
      <c r="BT83" s="56">
        <f t="shared" si="375"/>
        <v>6567.860634860358</v>
      </c>
      <c r="BU83" s="56">
        <f t="shared" si="375"/>
        <v>7925.734757795447</v>
      </c>
      <c r="BV83" s="56">
        <f t="shared" si="375"/>
        <v>8166.2677875661238</v>
      </c>
      <c r="BW83" s="56">
        <f t="shared" si="375"/>
        <v>6712.7021164770877</v>
      </c>
      <c r="BX83" s="56">
        <f t="shared" si="375"/>
        <v>6660.2227104747053</v>
      </c>
      <c r="BY83" s="56">
        <f t="shared" si="375"/>
        <v>6819.2066061179585</v>
      </c>
      <c r="BZ83" s="56">
        <f t="shared" si="375"/>
        <v>6511.9748861573971</v>
      </c>
      <c r="CA83" s="193">
        <f t="shared" si="375"/>
        <v>6678.0726638424321</v>
      </c>
      <c r="CB83" s="56">
        <f t="shared" si="375"/>
        <v>7050.9625928657761</v>
      </c>
      <c r="CC83" s="56">
        <f t="shared" si="375"/>
        <v>6906.0539869081531</v>
      </c>
      <c r="CD83" s="56">
        <f t="shared" si="375"/>
        <v>6747.4930905993588</v>
      </c>
      <c r="CE83" s="56">
        <f t="shared" si="375"/>
        <v>7065.4098064674145</v>
      </c>
      <c r="CF83" s="56">
        <f t="shared" ref="CF83:CY83" si="376">+CF80+CF64</f>
        <v>6928.9114921024648</v>
      </c>
      <c r="CG83" s="56">
        <f t="shared" si="376"/>
        <v>8640.4181747114817</v>
      </c>
      <c r="CH83" s="56">
        <f t="shared" si="376"/>
        <v>8910.2010522639339</v>
      </c>
      <c r="CI83" s="56">
        <f t="shared" si="376"/>
        <v>7094.2172427344567</v>
      </c>
      <c r="CJ83" s="56">
        <f t="shared" si="376"/>
        <v>7045.7387478489582</v>
      </c>
      <c r="CK83" s="56">
        <f t="shared" si="376"/>
        <v>7206.0162330888197</v>
      </c>
      <c r="CL83" s="56">
        <f t="shared" si="376"/>
        <v>6858.6032551659073</v>
      </c>
      <c r="CM83" s="193">
        <f t="shared" si="376"/>
        <v>7074.6577695382794</v>
      </c>
      <c r="CN83" s="56">
        <f t="shared" si="376"/>
        <v>7495.1438472626869</v>
      </c>
      <c r="CO83" s="56">
        <f t="shared" si="376"/>
        <v>7344.9534414762966</v>
      </c>
      <c r="CP83" s="56">
        <f t="shared" si="376"/>
        <v>7141.0584640151756</v>
      </c>
      <c r="CQ83" s="56">
        <f t="shared" si="376"/>
        <v>7508.2554017260845</v>
      </c>
      <c r="CR83" s="56">
        <f t="shared" si="376"/>
        <v>7376.5696350044454</v>
      </c>
      <c r="CS83" s="56">
        <f t="shared" si="376"/>
        <v>9543.7092892699711</v>
      </c>
      <c r="CT83" s="56">
        <f t="shared" si="376"/>
        <v>9845.0722719746173</v>
      </c>
      <c r="CU83" s="56">
        <f t="shared" si="376"/>
        <v>7565.6045064033005</v>
      </c>
      <c r="CV83" s="56">
        <f t="shared" si="376"/>
        <v>7527.6294102060201</v>
      </c>
      <c r="CW83" s="56">
        <f t="shared" si="376"/>
        <v>7685.7558079155533</v>
      </c>
      <c r="CX83" s="56">
        <f t="shared" si="376"/>
        <v>7292.0694673049566</v>
      </c>
      <c r="CY83" s="56">
        <f t="shared" si="376"/>
        <v>7558.0482241337213</v>
      </c>
    </row>
    <row r="84" spans="1:103" x14ac:dyDescent="0.3">
      <c r="A84" s="3"/>
      <c r="B84" s="4" t="s">
        <v>6</v>
      </c>
      <c r="C84" s="4"/>
      <c r="D84" s="56"/>
      <c r="E84" s="56">
        <f t="shared" ref="E84:O84" si="377">E61-E82</f>
        <v>0</v>
      </c>
      <c r="F84" s="56">
        <f t="shared" si="377"/>
        <v>0</v>
      </c>
      <c r="G84" s="56">
        <f t="shared" si="377"/>
        <v>0</v>
      </c>
      <c r="H84" s="56">
        <f t="shared" si="377"/>
        <v>0</v>
      </c>
      <c r="I84" s="56">
        <f t="shared" si="377"/>
        <v>0</v>
      </c>
      <c r="J84" s="56">
        <f t="shared" si="377"/>
        <v>0</v>
      </c>
      <c r="K84" s="56">
        <f t="shared" si="377"/>
        <v>0</v>
      </c>
      <c r="L84" s="56">
        <f t="shared" si="377"/>
        <v>0</v>
      </c>
      <c r="M84" s="56">
        <f t="shared" si="377"/>
        <v>0</v>
      </c>
      <c r="N84" s="56">
        <f t="shared" si="377"/>
        <v>0</v>
      </c>
      <c r="O84" s="56">
        <f t="shared" si="377"/>
        <v>0</v>
      </c>
      <c r="P84" s="56">
        <f t="shared" ref="P84:AU84" si="378">P61-P83</f>
        <v>0</v>
      </c>
      <c r="Q84" s="56">
        <f t="shared" si="378"/>
        <v>0</v>
      </c>
      <c r="R84" s="56">
        <f t="shared" si="378"/>
        <v>0</v>
      </c>
      <c r="S84" s="56">
        <f t="shared" si="378"/>
        <v>0</v>
      </c>
      <c r="T84" s="56">
        <f t="shared" si="378"/>
        <v>-571.14</v>
      </c>
      <c r="U84" s="56">
        <f t="shared" si="378"/>
        <v>-774.06</v>
      </c>
      <c r="V84" s="56">
        <f t="shared" si="378"/>
        <v>-1076.0800000000002</v>
      </c>
      <c r="W84" s="56">
        <f t="shared" si="378"/>
        <v>-1064.21</v>
      </c>
      <c r="X84" s="56">
        <f t="shared" si="378"/>
        <v>617.13000000000011</v>
      </c>
      <c r="Y84" s="56">
        <f t="shared" si="378"/>
        <v>3359.93</v>
      </c>
      <c r="Z84" s="56">
        <f t="shared" si="378"/>
        <v>3386.26</v>
      </c>
      <c r="AA84" s="56">
        <f t="shared" si="378"/>
        <v>-296.68999999999994</v>
      </c>
      <c r="AB84" s="56">
        <f t="shared" si="378"/>
        <v>761.86</v>
      </c>
      <c r="AC84" s="193">
        <f t="shared" ref="AC84" si="379">AC61-AC83</f>
        <v>-38.440000000000055</v>
      </c>
      <c r="AD84" s="56">
        <f t="shared" ref="AD84" si="380">AD61-AD83</f>
        <v>-694.25704340043876</v>
      </c>
      <c r="AE84" s="193">
        <f t="shared" si="378"/>
        <v>3537.2295403329363</v>
      </c>
      <c r="AF84" s="56">
        <f t="shared" si="378"/>
        <v>3937.4337078032413</v>
      </c>
      <c r="AG84" s="56">
        <f t="shared" si="378"/>
        <v>4631.3467770283487</v>
      </c>
      <c r="AH84" s="56">
        <f t="shared" si="378"/>
        <v>3383.0230288970279</v>
      </c>
      <c r="AI84" s="56">
        <f t="shared" si="378"/>
        <v>2818.5036087725439</v>
      </c>
      <c r="AJ84" s="56">
        <f t="shared" si="378"/>
        <v>5187.2192260135471</v>
      </c>
      <c r="AK84" s="56">
        <f t="shared" si="378"/>
        <v>17416.528238596147</v>
      </c>
      <c r="AL84" s="56">
        <f t="shared" si="378"/>
        <v>17842.697868293108</v>
      </c>
      <c r="AM84" s="56">
        <f t="shared" si="378"/>
        <v>5156.445681863288</v>
      </c>
      <c r="AN84" s="56">
        <f t="shared" si="378"/>
        <v>6118.620588331316</v>
      </c>
      <c r="AO84" s="56">
        <f t="shared" si="378"/>
        <v>5984.2239209830041</v>
      </c>
      <c r="AP84" s="56">
        <f t="shared" si="378"/>
        <v>4932.1521416852829</v>
      </c>
      <c r="AQ84" s="193">
        <f t="shared" si="378"/>
        <v>6431.4466661505421</v>
      </c>
      <c r="AR84" s="56">
        <f t="shared" si="378"/>
        <v>3731.1266813163829</v>
      </c>
      <c r="AS84" s="56">
        <f t="shared" si="378"/>
        <v>4066.9561349204923</v>
      </c>
      <c r="AT84" s="56">
        <f t="shared" si="378"/>
        <v>2464.4047117778273</v>
      </c>
      <c r="AU84" s="56">
        <f t="shared" si="378"/>
        <v>3806.9372352702912</v>
      </c>
      <c r="AV84" s="56">
        <f t="shared" ref="AV84:CA84" si="381">AV61-AV83</f>
        <v>4165.9774656521522</v>
      </c>
      <c r="AW84" s="56">
        <f t="shared" si="381"/>
        <v>19195.154496471423</v>
      </c>
      <c r="AX84" s="56">
        <f t="shared" si="381"/>
        <v>19753.655595540167</v>
      </c>
      <c r="AY84" s="56">
        <f t="shared" si="381"/>
        <v>3963.2506493590654</v>
      </c>
      <c r="AZ84" s="56">
        <f t="shared" si="381"/>
        <v>5117.7083000655985</v>
      </c>
      <c r="BA84" s="56">
        <f t="shared" si="381"/>
        <v>5080.7693661827798</v>
      </c>
      <c r="BB84" s="56">
        <f t="shared" si="381"/>
        <v>3980.9672545184985</v>
      </c>
      <c r="BC84" s="193">
        <f t="shared" si="381"/>
        <v>5246.0229739631104</v>
      </c>
      <c r="BD84" s="56">
        <f t="shared" si="381"/>
        <v>5357.2140237488838</v>
      </c>
      <c r="BE84" s="56">
        <f t="shared" si="381"/>
        <v>5731.3157948693542</v>
      </c>
      <c r="BF84" s="56">
        <f t="shared" si="381"/>
        <v>4036.2449299640566</v>
      </c>
      <c r="BG84" s="56">
        <f t="shared" si="381"/>
        <v>5465.6432384424352</v>
      </c>
      <c r="BH84" s="56">
        <f t="shared" si="381"/>
        <v>5909.0909523697692</v>
      </c>
      <c r="BI84" s="56">
        <f t="shared" si="381"/>
        <v>23463.943696579787</v>
      </c>
      <c r="BJ84" s="56">
        <f t="shared" si="381"/>
        <v>24584.51973914765</v>
      </c>
      <c r="BK84" s="56">
        <f t="shared" si="381"/>
        <v>3916.5237335955562</v>
      </c>
      <c r="BL84" s="56">
        <f t="shared" si="381"/>
        <v>5508.2527377788865</v>
      </c>
      <c r="BM84" s="56">
        <f t="shared" si="381"/>
        <v>5620.605755812835</v>
      </c>
      <c r="BN84" s="56">
        <f t="shared" si="381"/>
        <v>3948.9136082748018</v>
      </c>
      <c r="BO84" s="193">
        <f t="shared" si="381"/>
        <v>5719.854873008795</v>
      </c>
      <c r="BP84" s="56">
        <f t="shared" si="381"/>
        <v>5874.814146662794</v>
      </c>
      <c r="BQ84" s="56">
        <f t="shared" si="381"/>
        <v>6090.0819775385135</v>
      </c>
      <c r="BR84" s="56">
        <f t="shared" si="381"/>
        <v>4077.8002186343083</v>
      </c>
      <c r="BS84" s="56">
        <f t="shared" si="381"/>
        <v>6292.3388830456224</v>
      </c>
      <c r="BT84" s="56">
        <f t="shared" si="381"/>
        <v>6141.0602694448162</v>
      </c>
      <c r="BU84" s="56">
        <f t="shared" si="381"/>
        <v>30557.942777272623</v>
      </c>
      <c r="BV84" s="56">
        <f t="shared" si="381"/>
        <v>32573.449728965687</v>
      </c>
      <c r="BW84" s="56">
        <f t="shared" si="381"/>
        <v>5572.7409914378213</v>
      </c>
      <c r="BX84" s="56">
        <f t="shared" si="381"/>
        <v>8074.7655954767451</v>
      </c>
      <c r="BY84" s="56">
        <f t="shared" si="381"/>
        <v>7967.2436024268545</v>
      </c>
      <c r="BZ84" s="56">
        <f t="shared" si="381"/>
        <v>5914.8473401157444</v>
      </c>
      <c r="CA84" s="193">
        <f t="shared" si="381"/>
        <v>8461.8282102430749</v>
      </c>
      <c r="CB84" s="56">
        <f t="shared" ref="CB84:CY84" si="382">CB61-CB83</f>
        <v>7978.9655727742693</v>
      </c>
      <c r="CC84" s="56">
        <f t="shared" si="382"/>
        <v>8844.5245354060025</v>
      </c>
      <c r="CD84" s="56">
        <f t="shared" si="382"/>
        <v>6243.1245099256357</v>
      </c>
      <c r="CE84" s="56">
        <f t="shared" si="382"/>
        <v>8674.3264668140619</v>
      </c>
      <c r="CF84" s="56">
        <f t="shared" si="382"/>
        <v>8635.6238781644806</v>
      </c>
      <c r="CG84" s="56">
        <f t="shared" si="382"/>
        <v>40095.315883669842</v>
      </c>
      <c r="CH84" s="56">
        <f t="shared" si="382"/>
        <v>41394.114031898513</v>
      </c>
      <c r="CI84" s="56">
        <f t="shared" si="382"/>
        <v>7960.8727370952465</v>
      </c>
      <c r="CJ84" s="56">
        <f t="shared" si="382"/>
        <v>11333.072935073287</v>
      </c>
      <c r="CK84" s="56">
        <f t="shared" si="382"/>
        <v>10749.271349303126</v>
      </c>
      <c r="CL84" s="56">
        <f t="shared" si="382"/>
        <v>8367.1041143753173</v>
      </c>
      <c r="CM84" s="193">
        <f t="shared" si="382"/>
        <v>11677.685622689547</v>
      </c>
      <c r="CN84" s="56">
        <f t="shared" si="382"/>
        <v>11172.647470533968</v>
      </c>
      <c r="CO84" s="56">
        <f t="shared" si="382"/>
        <v>12144.843594987731</v>
      </c>
      <c r="CP84" s="56">
        <f t="shared" si="382"/>
        <v>8958.2947497105415</v>
      </c>
      <c r="CQ84" s="56">
        <f t="shared" si="382"/>
        <v>11697.309792412307</v>
      </c>
      <c r="CR84" s="56">
        <f t="shared" si="382"/>
        <v>11893.467959781992</v>
      </c>
      <c r="CS84" s="56">
        <f t="shared" si="382"/>
        <v>52563.102006655754</v>
      </c>
      <c r="CT84" s="56">
        <f t="shared" si="382"/>
        <v>52540.668262148487</v>
      </c>
      <c r="CU84" s="56">
        <f t="shared" si="382"/>
        <v>11484.653966431093</v>
      </c>
      <c r="CV84" s="56">
        <f t="shared" si="382"/>
        <v>15065.370280502058</v>
      </c>
      <c r="CW84" s="56">
        <f t="shared" si="382"/>
        <v>14606.380147455038</v>
      </c>
      <c r="CX84" s="56">
        <f t="shared" si="382"/>
        <v>11824.048461489294</v>
      </c>
      <c r="CY84" s="56">
        <f t="shared" si="382"/>
        <v>15425.008814429455</v>
      </c>
    </row>
    <row r="85" spans="1:103" s="3" customFormat="1" ht="15" thickBot="1" x14ac:dyDescent="0.35">
      <c r="A85" s="140"/>
      <c r="B85" s="140"/>
      <c r="C85" s="141" t="s">
        <v>225</v>
      </c>
      <c r="D85" s="142"/>
      <c r="E85" s="142">
        <f>+E69/8</f>
        <v>0</v>
      </c>
      <c r="F85" s="142">
        <f>+F69/8</f>
        <v>0</v>
      </c>
      <c r="G85" s="142">
        <f>+G69/8</f>
        <v>0</v>
      </c>
      <c r="H85" s="142" t="e">
        <f t="shared" ref="H85:AM85" si="383">+H84/H12</f>
        <v>#DIV/0!</v>
      </c>
      <c r="I85" s="142" t="e">
        <f t="shared" si="383"/>
        <v>#DIV/0!</v>
      </c>
      <c r="J85" s="142" t="e">
        <f t="shared" si="383"/>
        <v>#DIV/0!</v>
      </c>
      <c r="K85" s="142" t="e">
        <f t="shared" si="383"/>
        <v>#DIV/0!</v>
      </c>
      <c r="L85" s="142" t="e">
        <f t="shared" si="383"/>
        <v>#DIV/0!</v>
      </c>
      <c r="M85" s="142" t="e">
        <f t="shared" si="383"/>
        <v>#DIV/0!</v>
      </c>
      <c r="N85" s="142" t="e">
        <f t="shared" si="383"/>
        <v>#DIV/0!</v>
      </c>
      <c r="O85" s="142" t="e">
        <f t="shared" si="383"/>
        <v>#DIV/0!</v>
      </c>
      <c r="P85" s="142" t="e">
        <f t="shared" si="383"/>
        <v>#DIV/0!</v>
      </c>
      <c r="Q85" s="142" t="e">
        <f t="shared" si="383"/>
        <v>#DIV/0!</v>
      </c>
      <c r="R85" s="142" t="e">
        <f t="shared" si="383"/>
        <v>#DIV/0!</v>
      </c>
      <c r="S85" s="142" t="e">
        <f t="shared" si="383"/>
        <v>#DIV/0!</v>
      </c>
      <c r="T85" s="142" t="e">
        <f t="shared" si="383"/>
        <v>#DIV/0!</v>
      </c>
      <c r="U85" s="429">
        <f t="shared" si="383"/>
        <v>-2.0920540540540538</v>
      </c>
      <c r="V85" s="429">
        <f t="shared" si="383"/>
        <v>-2.1099607843137256</v>
      </c>
      <c r="W85" s="429" t="e">
        <f t="shared" si="383"/>
        <v>#DIV/0!</v>
      </c>
      <c r="X85" s="142">
        <f t="shared" si="383"/>
        <v>0.37401818181818186</v>
      </c>
      <c r="Y85" s="142">
        <f t="shared" si="383"/>
        <v>0.85169328263624833</v>
      </c>
      <c r="Z85" s="142">
        <f t="shared" si="383"/>
        <v>0.71395800916730967</v>
      </c>
      <c r="AA85" s="142">
        <f t="shared" si="383"/>
        <v>-0.41206944444444438</v>
      </c>
      <c r="AB85" s="142">
        <f t="shared" si="383"/>
        <v>0.44683870967741934</v>
      </c>
      <c r="AC85" s="195">
        <f t="shared" si="383"/>
        <v>-4.7456790123456855E-2</v>
      </c>
      <c r="AD85" s="142">
        <f t="shared" si="383"/>
        <v>-0.29417671330527068</v>
      </c>
      <c r="AE85" s="195">
        <f t="shared" si="383"/>
        <v>0.68286284562411892</v>
      </c>
      <c r="AF85" s="142">
        <f t="shared" si="383"/>
        <v>0.65848878799284916</v>
      </c>
      <c r="AG85" s="142">
        <f t="shared" si="383"/>
        <v>0.7209219477955775</v>
      </c>
      <c r="AH85" s="142">
        <f t="shared" si="383"/>
        <v>0.66029273407677302</v>
      </c>
      <c r="AI85" s="142">
        <f t="shared" si="383"/>
        <v>0.40918376599749601</v>
      </c>
      <c r="AJ85" s="142">
        <f t="shared" si="383"/>
        <v>0.71926161175202286</v>
      </c>
      <c r="AK85" s="142">
        <f t="shared" si="383"/>
        <v>0.73190621010425905</v>
      </c>
      <c r="AL85" s="142">
        <f t="shared" si="383"/>
        <v>0.71428871168323094</v>
      </c>
      <c r="AM85" s="142">
        <f t="shared" si="383"/>
        <v>0.62777808087041265</v>
      </c>
      <c r="AN85" s="142">
        <f t="shared" ref="AN85:BS85" si="384">+AN84/AN12</f>
        <v>0.72155399704636569</v>
      </c>
      <c r="AO85" s="142">
        <f t="shared" si="384"/>
        <v>0.69771658935147318</v>
      </c>
      <c r="AP85" s="142">
        <f t="shared" si="384"/>
        <v>0.73203164201370952</v>
      </c>
      <c r="AQ85" s="195">
        <f t="shared" si="384"/>
        <v>0.73657366578737093</v>
      </c>
      <c r="AR85" s="142">
        <f t="shared" si="384"/>
        <v>0.4147796136308034</v>
      </c>
      <c r="AS85" s="142">
        <f t="shared" si="384"/>
        <v>0.45612771333210073</v>
      </c>
      <c r="AT85" s="142">
        <f t="shared" si="384"/>
        <v>0.35735381230665503</v>
      </c>
      <c r="AU85" s="142">
        <f t="shared" si="384"/>
        <v>0.41883926456434523</v>
      </c>
      <c r="AV85" s="142">
        <f t="shared" si="384"/>
        <v>0.45122700468359944</v>
      </c>
      <c r="AW85" s="142">
        <f t="shared" si="384"/>
        <v>0.6344240523486413</v>
      </c>
      <c r="AX85" s="142">
        <f t="shared" si="384"/>
        <v>0.62236586493387891</v>
      </c>
      <c r="AY85" s="142">
        <f t="shared" si="384"/>
        <v>0.38006688459745874</v>
      </c>
      <c r="AZ85" s="142">
        <f t="shared" si="384"/>
        <v>0.47736864139633556</v>
      </c>
      <c r="BA85" s="142">
        <f t="shared" si="384"/>
        <v>0.46929454084298122</v>
      </c>
      <c r="BB85" s="142">
        <f t="shared" si="384"/>
        <v>0.46946261783525478</v>
      </c>
      <c r="BC85" s="195">
        <f t="shared" si="384"/>
        <v>0.47682867968345238</v>
      </c>
      <c r="BD85" s="142">
        <f t="shared" si="384"/>
        <v>0.4749243461185782</v>
      </c>
      <c r="BE85" s="142">
        <f t="shared" si="384"/>
        <v>0.50375959390301772</v>
      </c>
      <c r="BF85" s="142">
        <f t="shared" si="384"/>
        <v>0.45222760562303277</v>
      </c>
      <c r="BG85" s="142">
        <f t="shared" si="384"/>
        <v>0.47345564020170278</v>
      </c>
      <c r="BH85" s="142">
        <f t="shared" si="384"/>
        <v>0.49990235229067359</v>
      </c>
      <c r="BI85" s="142">
        <f t="shared" si="384"/>
        <v>0.6101457294075695</v>
      </c>
      <c r="BJ85" s="142">
        <f t="shared" si="384"/>
        <v>0.61096588545493391</v>
      </c>
      <c r="BK85" s="142">
        <f t="shared" si="384"/>
        <v>0.29630754212873867</v>
      </c>
      <c r="BL85" s="142">
        <f t="shared" si="384"/>
        <v>0.40689870836349262</v>
      </c>
      <c r="BM85" s="142">
        <f t="shared" si="384"/>
        <v>0.41210425508833892</v>
      </c>
      <c r="BN85" s="142">
        <f t="shared" si="384"/>
        <v>0.37044991141662398</v>
      </c>
      <c r="BO85" s="195">
        <f t="shared" si="384"/>
        <v>0.40827333278078543</v>
      </c>
      <c r="BP85" s="142">
        <f t="shared" si="384"/>
        <v>0.41241468515443713</v>
      </c>
      <c r="BQ85" s="142">
        <f t="shared" si="384"/>
        <v>0.42622405902747301</v>
      </c>
      <c r="BR85" s="142">
        <f t="shared" si="384"/>
        <v>0.36573605939722731</v>
      </c>
      <c r="BS85" s="142">
        <f t="shared" si="384"/>
        <v>0.43087166180720282</v>
      </c>
      <c r="BT85" s="142">
        <f t="shared" ref="BT85:CY85" si="385">+BT84/BT12</f>
        <v>0.41420197859954672</v>
      </c>
      <c r="BU85" s="142">
        <f t="shared" si="385"/>
        <v>0.62928545621546039</v>
      </c>
      <c r="BV85" s="142">
        <f t="shared" si="385"/>
        <v>0.64109797290667581</v>
      </c>
      <c r="BW85" s="142">
        <f t="shared" si="385"/>
        <v>0.33649157645499506</v>
      </c>
      <c r="BX85" s="142">
        <f t="shared" si="385"/>
        <v>0.47163523119966894</v>
      </c>
      <c r="BY85" s="142">
        <f t="shared" si="385"/>
        <v>0.45936674383257958</v>
      </c>
      <c r="BZ85" s="142">
        <f t="shared" si="385"/>
        <v>0.44016214814106203</v>
      </c>
      <c r="CA85" s="195">
        <f t="shared" si="385"/>
        <v>0.48176483553673549</v>
      </c>
      <c r="CB85" s="142">
        <f t="shared" si="385"/>
        <v>0.44450968099598753</v>
      </c>
      <c r="CC85" s="142">
        <f t="shared" si="385"/>
        <v>0.48928240759209568</v>
      </c>
      <c r="CD85" s="142">
        <f t="shared" si="385"/>
        <v>0.44160301766013854</v>
      </c>
      <c r="CE85" s="142">
        <f t="shared" si="385"/>
        <v>0.47377524855921327</v>
      </c>
      <c r="CF85" s="142">
        <f t="shared" si="385"/>
        <v>0.46317598227555418</v>
      </c>
      <c r="CG85" s="142">
        <f t="shared" si="385"/>
        <v>0.65554724817972698</v>
      </c>
      <c r="CH85" s="142">
        <f t="shared" si="385"/>
        <v>0.64538262402732793</v>
      </c>
      <c r="CI85" s="142">
        <f t="shared" si="385"/>
        <v>0.38112504482604043</v>
      </c>
      <c r="CJ85" s="142">
        <f t="shared" si="385"/>
        <v>0.52597734135268681</v>
      </c>
      <c r="CK85" s="142">
        <f t="shared" si="385"/>
        <v>0.49304023491279292</v>
      </c>
      <c r="CL85" s="142">
        <f t="shared" si="385"/>
        <v>0.49516201641031471</v>
      </c>
      <c r="CM85" s="195">
        <f t="shared" si="385"/>
        <v>0.52448325014394936</v>
      </c>
      <c r="CN85" s="142">
        <f t="shared" si="385"/>
        <v>0.48996230514950045</v>
      </c>
      <c r="CO85" s="142">
        <f t="shared" si="385"/>
        <v>0.53270723874734727</v>
      </c>
      <c r="CP85" s="142">
        <f t="shared" si="385"/>
        <v>0.50517628770676104</v>
      </c>
      <c r="CQ85" s="142">
        <f t="shared" si="385"/>
        <v>0.50574641166267709</v>
      </c>
      <c r="CR85" s="142">
        <f t="shared" si="385"/>
        <v>0.50430705559949507</v>
      </c>
      <c r="CS85" s="142">
        <f t="shared" si="385"/>
        <v>0.67891889203646905</v>
      </c>
      <c r="CT85" s="142">
        <f t="shared" si="385"/>
        <v>0.64719553975422262</v>
      </c>
      <c r="CU85" s="142">
        <f t="shared" si="385"/>
        <v>0.43474914971243361</v>
      </c>
      <c r="CV85" s="142">
        <f t="shared" si="385"/>
        <v>0.55110738428317629</v>
      </c>
      <c r="CW85" s="142">
        <f t="shared" si="385"/>
        <v>0.53039997639803849</v>
      </c>
      <c r="CX85" s="142">
        <f t="shared" si="385"/>
        <v>0.55035109412485583</v>
      </c>
      <c r="CY85" s="143">
        <f t="shared" si="385"/>
        <v>0.54908446574217828</v>
      </c>
    </row>
    <row r="86" spans="1:103" x14ac:dyDescent="0.3">
      <c r="A86" s="295"/>
      <c r="B86" s="295"/>
      <c r="C86" s="296" t="s">
        <v>316</v>
      </c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7"/>
      <c r="P86" s="297"/>
      <c r="Q86" s="297"/>
      <c r="R86" s="297"/>
      <c r="S86" s="297"/>
      <c r="T86" s="480">
        <f t="shared" ref="T86:AC86" si="386">+IFERROR(T74/T10, 0)</f>
        <v>0</v>
      </c>
      <c r="U86" s="480">
        <f t="shared" si="386"/>
        <v>4.0540540540540543E-2</v>
      </c>
      <c r="V86" s="480">
        <f t="shared" si="386"/>
        <v>2.9411764705882353E-2</v>
      </c>
      <c r="W86" s="480">
        <f t="shared" si="386"/>
        <v>0</v>
      </c>
      <c r="X86" s="480">
        <f t="shared" si="386"/>
        <v>1.9648484848484849E-2</v>
      </c>
      <c r="Y86" s="480">
        <f t="shared" si="386"/>
        <v>1.2816223067173638E-2</v>
      </c>
      <c r="Z86" s="480">
        <f t="shared" si="386"/>
        <v>1.9125268293505714E-2</v>
      </c>
      <c r="AA86" s="480">
        <f t="shared" si="386"/>
        <v>7.0208333333333331E-2</v>
      </c>
      <c r="AB86" s="480">
        <f t="shared" si="386"/>
        <v>3.4991202346041056E-2</v>
      </c>
      <c r="AC86" s="481">
        <f t="shared" si="386"/>
        <v>8.4728395061728384E-2</v>
      </c>
      <c r="AD86" s="482">
        <f>+AVERAGE(X86:AC86)</f>
        <v>4.0252984491711163E-2</v>
      </c>
      <c r="AE86" s="481">
        <f t="shared" ref="AE86:CL86" si="387">+AD86</f>
        <v>4.0252984491711163E-2</v>
      </c>
      <c r="AF86" s="480">
        <f t="shared" si="387"/>
        <v>4.0252984491711163E-2</v>
      </c>
      <c r="AG86" s="480">
        <f t="shared" si="387"/>
        <v>4.0252984491711163E-2</v>
      </c>
      <c r="AH86" s="480">
        <f t="shared" si="387"/>
        <v>4.0252984491711163E-2</v>
      </c>
      <c r="AI86" s="480">
        <f t="shared" si="387"/>
        <v>4.0252984491711163E-2</v>
      </c>
      <c r="AJ86" s="480">
        <f t="shared" si="387"/>
        <v>4.0252984491711163E-2</v>
      </c>
      <c r="AK86" s="480">
        <f t="shared" si="387"/>
        <v>4.0252984491711163E-2</v>
      </c>
      <c r="AL86" s="480">
        <f t="shared" si="387"/>
        <v>4.0252984491711163E-2</v>
      </c>
      <c r="AM86" s="480">
        <f t="shared" si="387"/>
        <v>4.0252984491711163E-2</v>
      </c>
      <c r="AN86" s="480">
        <f t="shared" si="387"/>
        <v>4.0252984491711163E-2</v>
      </c>
      <c r="AO86" s="480">
        <f t="shared" si="387"/>
        <v>4.0252984491711163E-2</v>
      </c>
      <c r="AP86" s="480">
        <f t="shared" si="387"/>
        <v>4.0252984491711163E-2</v>
      </c>
      <c r="AQ86" s="481">
        <f t="shared" si="387"/>
        <v>4.0252984491711163E-2</v>
      </c>
      <c r="AR86" s="480">
        <f t="shared" si="387"/>
        <v>4.0252984491711163E-2</v>
      </c>
      <c r="AS86" s="480">
        <f t="shared" si="387"/>
        <v>4.0252984491711163E-2</v>
      </c>
      <c r="AT86" s="480">
        <f t="shared" si="387"/>
        <v>4.0252984491711163E-2</v>
      </c>
      <c r="AU86" s="480">
        <f t="shared" si="387"/>
        <v>4.0252984491711163E-2</v>
      </c>
      <c r="AV86" s="480">
        <f t="shared" si="387"/>
        <v>4.0252984491711163E-2</v>
      </c>
      <c r="AW86" s="480">
        <f t="shared" si="387"/>
        <v>4.0252984491711163E-2</v>
      </c>
      <c r="AX86" s="480">
        <f t="shared" si="387"/>
        <v>4.0252984491711163E-2</v>
      </c>
      <c r="AY86" s="480">
        <f t="shared" si="387"/>
        <v>4.0252984491711163E-2</v>
      </c>
      <c r="AZ86" s="480">
        <f t="shared" si="387"/>
        <v>4.0252984491711163E-2</v>
      </c>
      <c r="BA86" s="480">
        <f t="shared" si="387"/>
        <v>4.0252984491711163E-2</v>
      </c>
      <c r="BB86" s="480">
        <f t="shared" si="387"/>
        <v>4.0252984491711163E-2</v>
      </c>
      <c r="BC86" s="481">
        <f t="shared" si="387"/>
        <v>4.0252984491711163E-2</v>
      </c>
      <c r="BD86" s="480">
        <f t="shared" si="387"/>
        <v>4.0252984491711163E-2</v>
      </c>
      <c r="BE86" s="480">
        <f t="shared" si="387"/>
        <v>4.0252984491711163E-2</v>
      </c>
      <c r="BF86" s="480">
        <f t="shared" si="387"/>
        <v>4.0252984491711163E-2</v>
      </c>
      <c r="BG86" s="480">
        <f t="shared" si="387"/>
        <v>4.0252984491711163E-2</v>
      </c>
      <c r="BH86" s="480">
        <f t="shared" si="387"/>
        <v>4.0252984491711163E-2</v>
      </c>
      <c r="BI86" s="480">
        <f t="shared" si="387"/>
        <v>4.0252984491711163E-2</v>
      </c>
      <c r="BJ86" s="480">
        <f t="shared" si="387"/>
        <v>4.0252984491711163E-2</v>
      </c>
      <c r="BK86" s="480">
        <f t="shared" si="387"/>
        <v>4.0252984491711163E-2</v>
      </c>
      <c r="BL86" s="480">
        <f t="shared" si="387"/>
        <v>4.0252984491711163E-2</v>
      </c>
      <c r="BM86" s="480">
        <f t="shared" si="387"/>
        <v>4.0252984491711163E-2</v>
      </c>
      <c r="BN86" s="480">
        <f t="shared" si="387"/>
        <v>4.0252984491711163E-2</v>
      </c>
      <c r="BO86" s="481">
        <f t="shared" si="387"/>
        <v>4.0252984491711163E-2</v>
      </c>
      <c r="BP86" s="480">
        <f t="shared" si="387"/>
        <v>4.0252984491711163E-2</v>
      </c>
      <c r="BQ86" s="480">
        <f t="shared" si="387"/>
        <v>4.0252984491711163E-2</v>
      </c>
      <c r="BR86" s="480">
        <f t="shared" si="387"/>
        <v>4.0252984491711163E-2</v>
      </c>
      <c r="BS86" s="480">
        <f t="shared" si="387"/>
        <v>4.0252984491711163E-2</v>
      </c>
      <c r="BT86" s="480">
        <f t="shared" si="387"/>
        <v>4.0252984491711163E-2</v>
      </c>
      <c r="BU86" s="480">
        <f t="shared" si="387"/>
        <v>4.0252984491711163E-2</v>
      </c>
      <c r="BV86" s="480">
        <f t="shared" si="387"/>
        <v>4.0252984491711163E-2</v>
      </c>
      <c r="BW86" s="480">
        <f t="shared" si="387"/>
        <v>4.0252984491711163E-2</v>
      </c>
      <c r="BX86" s="480">
        <f t="shared" si="387"/>
        <v>4.0252984491711163E-2</v>
      </c>
      <c r="BY86" s="480">
        <f t="shared" si="387"/>
        <v>4.0252984491711163E-2</v>
      </c>
      <c r="BZ86" s="480">
        <f t="shared" si="387"/>
        <v>4.0252984491711163E-2</v>
      </c>
      <c r="CA86" s="481">
        <f t="shared" si="387"/>
        <v>4.0252984491711163E-2</v>
      </c>
      <c r="CB86" s="480">
        <f t="shared" si="387"/>
        <v>4.0252984491711163E-2</v>
      </c>
      <c r="CC86" s="480">
        <f t="shared" si="387"/>
        <v>4.0252984491711163E-2</v>
      </c>
      <c r="CD86" s="480">
        <f t="shared" si="387"/>
        <v>4.0252984491711163E-2</v>
      </c>
      <c r="CE86" s="480">
        <f t="shared" si="387"/>
        <v>4.0252984491711163E-2</v>
      </c>
      <c r="CF86" s="480">
        <f t="shared" si="387"/>
        <v>4.0252984491711163E-2</v>
      </c>
      <c r="CG86" s="480">
        <f t="shared" si="387"/>
        <v>4.0252984491711163E-2</v>
      </c>
      <c r="CH86" s="480">
        <f t="shared" si="387"/>
        <v>4.0252984491711163E-2</v>
      </c>
      <c r="CI86" s="480">
        <f t="shared" si="387"/>
        <v>4.0252984491711163E-2</v>
      </c>
      <c r="CJ86" s="480">
        <f t="shared" si="387"/>
        <v>4.0252984491711163E-2</v>
      </c>
      <c r="CK86" s="480">
        <f t="shared" si="387"/>
        <v>4.0252984491711163E-2</v>
      </c>
      <c r="CL86" s="480">
        <f t="shared" si="387"/>
        <v>4.0252984491711163E-2</v>
      </c>
      <c r="CM86" s="481">
        <f t="shared" ref="CM86:CY86" si="388">+CL86</f>
        <v>4.0252984491711163E-2</v>
      </c>
      <c r="CN86" s="480">
        <f t="shared" si="388"/>
        <v>4.0252984491711163E-2</v>
      </c>
      <c r="CO86" s="480">
        <f t="shared" si="388"/>
        <v>4.0252984491711163E-2</v>
      </c>
      <c r="CP86" s="480">
        <f t="shared" si="388"/>
        <v>4.0252984491711163E-2</v>
      </c>
      <c r="CQ86" s="480">
        <f t="shared" si="388"/>
        <v>4.0252984491711163E-2</v>
      </c>
      <c r="CR86" s="480">
        <f t="shared" si="388"/>
        <v>4.0252984491711163E-2</v>
      </c>
      <c r="CS86" s="480">
        <f t="shared" si="388"/>
        <v>4.0252984491711163E-2</v>
      </c>
      <c r="CT86" s="480">
        <f t="shared" si="388"/>
        <v>4.0252984491711163E-2</v>
      </c>
      <c r="CU86" s="480">
        <f t="shared" si="388"/>
        <v>4.0252984491711163E-2</v>
      </c>
      <c r="CV86" s="480">
        <f t="shared" si="388"/>
        <v>4.0252984491711163E-2</v>
      </c>
      <c r="CW86" s="480">
        <f t="shared" si="388"/>
        <v>4.0252984491711163E-2</v>
      </c>
      <c r="CX86" s="480">
        <f t="shared" si="388"/>
        <v>4.0252984491711163E-2</v>
      </c>
      <c r="CY86" s="480">
        <f t="shared" si="388"/>
        <v>4.0252984491711163E-2</v>
      </c>
    </row>
    <row r="87" spans="1:103" x14ac:dyDescent="0.3">
      <c r="A87" s="295"/>
      <c r="B87" s="295"/>
      <c r="C87" s="296" t="s">
        <v>244</v>
      </c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297"/>
      <c r="P87" s="298">
        <f t="shared" ref="P87:AU87" si="389">-P80</f>
        <v>0</v>
      </c>
      <c r="Q87" s="298">
        <f t="shared" si="389"/>
        <v>0</v>
      </c>
      <c r="R87" s="298">
        <f t="shared" si="389"/>
        <v>0</v>
      </c>
      <c r="S87" s="298">
        <f t="shared" si="389"/>
        <v>0</v>
      </c>
      <c r="T87" s="298">
        <f t="shared" si="389"/>
        <v>-571.14</v>
      </c>
      <c r="U87" s="298">
        <f t="shared" si="389"/>
        <v>-1144.06</v>
      </c>
      <c r="V87" s="298">
        <f t="shared" si="389"/>
        <v>-1586.0800000000002</v>
      </c>
      <c r="W87" s="298">
        <f t="shared" si="389"/>
        <v>-1064.21</v>
      </c>
      <c r="X87" s="298">
        <f t="shared" si="389"/>
        <v>-1032.8699999999999</v>
      </c>
      <c r="Y87" s="298">
        <f t="shared" si="389"/>
        <v>-585.07000000000005</v>
      </c>
      <c r="Z87" s="298">
        <f t="shared" ref="Z87:AA87" si="390">-Z80</f>
        <v>-1356.68</v>
      </c>
      <c r="AA87" s="298">
        <f t="shared" si="390"/>
        <v>-1016.6899999999999</v>
      </c>
      <c r="AB87" s="298">
        <f t="shared" ref="AB87:AC87" si="391">-AB80</f>
        <v>-943.14</v>
      </c>
      <c r="AC87" s="299">
        <f t="shared" si="391"/>
        <v>-834.44</v>
      </c>
      <c r="AD87" s="298">
        <f t="shared" ref="AD87" si="392">-AD80</f>
        <v>-3029.2570434004388</v>
      </c>
      <c r="AE87" s="299">
        <f t="shared" si="389"/>
        <v>-1142.7704596670637</v>
      </c>
      <c r="AF87" s="298">
        <f t="shared" si="389"/>
        <v>-1324.9527207681867</v>
      </c>
      <c r="AG87" s="298">
        <f t="shared" si="389"/>
        <v>-1192.8532229716509</v>
      </c>
      <c r="AH87" s="298">
        <f t="shared" si="389"/>
        <v>-1140.4969711029719</v>
      </c>
      <c r="AI87" s="298">
        <f t="shared" si="389"/>
        <v>-3361.5270655131699</v>
      </c>
      <c r="AJ87" s="298">
        <f t="shared" si="389"/>
        <v>-1224.5591785578802</v>
      </c>
      <c r="AK87" s="298">
        <f t="shared" si="389"/>
        <v>-1892.1248622038527</v>
      </c>
      <c r="AL87" s="298">
        <f t="shared" si="389"/>
        <v>-2089.7663573526047</v>
      </c>
      <c r="AM87" s="298">
        <f t="shared" si="389"/>
        <v>-1339.8900974647111</v>
      </c>
      <c r="AN87" s="298">
        <f t="shared" si="389"/>
        <v>-1275.596532901139</v>
      </c>
      <c r="AO87" s="298">
        <f t="shared" si="389"/>
        <v>-1429.5045826322632</v>
      </c>
      <c r="AP87" s="298">
        <f t="shared" si="389"/>
        <v>-1205.4693743979162</v>
      </c>
      <c r="AQ87" s="299">
        <f t="shared" si="389"/>
        <v>-1285.7318689203832</v>
      </c>
      <c r="AR87" s="298">
        <f t="shared" si="389"/>
        <v>-3946.3534575953427</v>
      </c>
      <c r="AS87" s="298">
        <f t="shared" si="389"/>
        <v>-3793.1663269835371</v>
      </c>
      <c r="AT87" s="298">
        <f t="shared" si="389"/>
        <v>-3711.8550367065536</v>
      </c>
      <c r="AU87" s="298">
        <f t="shared" si="389"/>
        <v>-3950.1296747346396</v>
      </c>
      <c r="AV87" s="298">
        <f t="shared" ref="AV87:CA87" si="393">-AV80</f>
        <v>-3805.8978332349607</v>
      </c>
      <c r="AW87" s="298">
        <f t="shared" si="393"/>
        <v>-4652.1555911303549</v>
      </c>
      <c r="AX87" s="298">
        <f t="shared" si="393"/>
        <v>-4861.8744019826008</v>
      </c>
      <c r="AY87" s="298">
        <f t="shared" si="393"/>
        <v>-3929.0089268089769</v>
      </c>
      <c r="AZ87" s="298">
        <f t="shared" si="393"/>
        <v>-3865.7986788563849</v>
      </c>
      <c r="BA87" s="298">
        <f t="shared" si="393"/>
        <v>-4020.0548211704099</v>
      </c>
      <c r="BB87" s="298">
        <f t="shared" si="393"/>
        <v>-3775.5988139338006</v>
      </c>
      <c r="BC87" s="299">
        <f t="shared" si="393"/>
        <v>-3877.1194386442603</v>
      </c>
      <c r="BD87" s="298">
        <f t="shared" si="393"/>
        <v>-4038.3193776232729</v>
      </c>
      <c r="BE87" s="298">
        <f t="shared" si="393"/>
        <v>-3892.2216320962607</v>
      </c>
      <c r="BF87" s="298">
        <f t="shared" si="393"/>
        <v>-3793.5279937058576</v>
      </c>
      <c r="BG87" s="298">
        <f t="shared" si="393"/>
        <v>-4048.9465172427153</v>
      </c>
      <c r="BH87" s="298">
        <f t="shared" si="393"/>
        <v>-3910.0700164480631</v>
      </c>
      <c r="BI87" s="298">
        <f t="shared" si="393"/>
        <v>-6482.2406154668679</v>
      </c>
      <c r="BJ87" s="298">
        <f t="shared" si="393"/>
        <v>-6703.9908480803424</v>
      </c>
      <c r="BK87" s="298">
        <f t="shared" si="393"/>
        <v>-5541.3145267840146</v>
      </c>
      <c r="BL87" s="298">
        <f t="shared" si="393"/>
        <v>-5479.1710736231871</v>
      </c>
      <c r="BM87" s="298">
        <f t="shared" si="393"/>
        <v>-5633.2622331224366</v>
      </c>
      <c r="BN87" s="298">
        <f t="shared" si="393"/>
        <v>-5363.3478559671848</v>
      </c>
      <c r="BO87" s="299">
        <f t="shared" si="393"/>
        <v>-5498.1989375001995</v>
      </c>
      <c r="BP87" s="298">
        <f t="shared" si="393"/>
        <v>-5657.6605389472206</v>
      </c>
      <c r="BQ87" s="298">
        <f t="shared" si="393"/>
        <v>-5509.4128338274922</v>
      </c>
      <c r="BR87" s="298">
        <f t="shared" si="393"/>
        <v>-5383.0635148393885</v>
      </c>
      <c r="BS87" s="298">
        <f t="shared" si="393"/>
        <v>-5672.1042281710352</v>
      </c>
      <c r="BT87" s="298">
        <f t="shared" si="393"/>
        <v>-5531.0606348603578</v>
      </c>
      <c r="BU87" s="298">
        <f t="shared" si="393"/>
        <v>-6888.9347577954468</v>
      </c>
      <c r="BV87" s="298">
        <f t="shared" si="393"/>
        <v>-7129.4677875661237</v>
      </c>
      <c r="BW87" s="298">
        <f t="shared" si="393"/>
        <v>-5675.9021164770875</v>
      </c>
      <c r="BX87" s="298">
        <f t="shared" si="393"/>
        <v>-5623.4227104747051</v>
      </c>
      <c r="BY87" s="298">
        <f t="shared" si="393"/>
        <v>-5782.4066061179583</v>
      </c>
      <c r="BZ87" s="298">
        <f t="shared" si="393"/>
        <v>-5475.1748861573969</v>
      </c>
      <c r="CA87" s="299">
        <f t="shared" si="393"/>
        <v>-5641.2726638424319</v>
      </c>
      <c r="CB87" s="298">
        <f t="shared" ref="CB87:CY87" si="394">-CB80</f>
        <v>-5806.8025928657762</v>
      </c>
      <c r="CC87" s="298">
        <f t="shared" si="394"/>
        <v>-5661.8939869081532</v>
      </c>
      <c r="CD87" s="298">
        <f t="shared" si="394"/>
        <v>-5503.3330905993589</v>
      </c>
      <c r="CE87" s="298">
        <f t="shared" si="394"/>
        <v>-5821.2498064674146</v>
      </c>
      <c r="CF87" s="298">
        <f t="shared" si="394"/>
        <v>-5684.7514921024649</v>
      </c>
      <c r="CG87" s="298">
        <f t="shared" si="394"/>
        <v>-7396.2581747114818</v>
      </c>
      <c r="CH87" s="298">
        <f t="shared" si="394"/>
        <v>-7666.041052263934</v>
      </c>
      <c r="CI87" s="298">
        <f t="shared" si="394"/>
        <v>-5850.0572427344568</v>
      </c>
      <c r="CJ87" s="298">
        <f t="shared" si="394"/>
        <v>-5801.5787478489583</v>
      </c>
      <c r="CK87" s="298">
        <f t="shared" si="394"/>
        <v>-5961.8562330888199</v>
      </c>
      <c r="CL87" s="298">
        <f t="shared" si="394"/>
        <v>-5614.4432551659074</v>
      </c>
      <c r="CM87" s="299">
        <f t="shared" si="394"/>
        <v>-5830.4977695382795</v>
      </c>
      <c r="CN87" s="298">
        <f t="shared" si="394"/>
        <v>-6002.1518472626876</v>
      </c>
      <c r="CO87" s="298">
        <f t="shared" si="394"/>
        <v>-5851.9614414762973</v>
      </c>
      <c r="CP87" s="298">
        <f t="shared" si="394"/>
        <v>-5648.0664640151754</v>
      </c>
      <c r="CQ87" s="298">
        <f t="shared" si="394"/>
        <v>-6015.2634017260852</v>
      </c>
      <c r="CR87" s="298">
        <f t="shared" si="394"/>
        <v>-5883.5776350044453</v>
      </c>
      <c r="CS87" s="298">
        <f t="shared" si="394"/>
        <v>-8050.7172892699709</v>
      </c>
      <c r="CT87" s="298">
        <f t="shared" si="394"/>
        <v>-8352.0802719746171</v>
      </c>
      <c r="CU87" s="298">
        <f t="shared" si="394"/>
        <v>-6072.6125064033004</v>
      </c>
      <c r="CV87" s="298">
        <f t="shared" si="394"/>
        <v>-6034.6374102060199</v>
      </c>
      <c r="CW87" s="298">
        <f t="shared" si="394"/>
        <v>-6192.7638079155531</v>
      </c>
      <c r="CX87" s="298">
        <f t="shared" si="394"/>
        <v>-5799.0774673049573</v>
      </c>
      <c r="CY87" s="298">
        <f t="shared" si="394"/>
        <v>-6065.0562241337211</v>
      </c>
    </row>
    <row r="88" spans="1:103" x14ac:dyDescent="0.3">
      <c r="B88" s="1" t="s">
        <v>7</v>
      </c>
      <c r="C88" s="1"/>
      <c r="D88" s="2"/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AC88" s="191"/>
      <c r="AE88" s="191"/>
    </row>
    <row r="89" spans="1:103" x14ac:dyDescent="0.3">
      <c r="B89" s="1" t="s">
        <v>8</v>
      </c>
      <c r="C89" s="1"/>
      <c r="D89" s="115"/>
      <c r="E89" s="115">
        <v>0</v>
      </c>
      <c r="F89" s="115">
        <v>0</v>
      </c>
      <c r="G89" s="115">
        <v>0</v>
      </c>
      <c r="H89" s="115">
        <v>0</v>
      </c>
      <c r="I89" s="115">
        <v>0</v>
      </c>
      <c r="J89" s="115">
        <v>0</v>
      </c>
      <c r="K89" s="115">
        <v>0</v>
      </c>
      <c r="L89" s="115">
        <v>0</v>
      </c>
      <c r="M89" s="115">
        <v>0</v>
      </c>
      <c r="N89" s="115">
        <v>0</v>
      </c>
      <c r="O89" s="115">
        <v>0</v>
      </c>
      <c r="P89" s="115">
        <v>0</v>
      </c>
      <c r="Q89" s="115">
        <v>0</v>
      </c>
      <c r="R89" s="115">
        <v>0</v>
      </c>
      <c r="S89" s="115">
        <v>0</v>
      </c>
      <c r="T89" s="115">
        <v>0</v>
      </c>
      <c r="U89" s="115">
        <v>0</v>
      </c>
      <c r="V89" s="115">
        <v>0</v>
      </c>
      <c r="W89" s="115">
        <v>0</v>
      </c>
      <c r="X89" s="115">
        <v>0</v>
      </c>
      <c r="Y89" s="115">
        <v>0</v>
      </c>
      <c r="Z89" s="115">
        <v>0</v>
      </c>
      <c r="AA89" s="115">
        <v>0</v>
      </c>
      <c r="AB89" s="115">
        <v>0</v>
      </c>
      <c r="AC89" s="192">
        <v>0</v>
      </c>
      <c r="AD89" s="408">
        <v>0</v>
      </c>
      <c r="AE89" s="192">
        <f t="shared" ref="AE89:BS89" si="395">AD89</f>
        <v>0</v>
      </c>
      <c r="AF89" s="115">
        <f t="shared" si="395"/>
        <v>0</v>
      </c>
      <c r="AG89" s="115">
        <f t="shared" si="395"/>
        <v>0</v>
      </c>
      <c r="AH89" s="115">
        <f t="shared" si="395"/>
        <v>0</v>
      </c>
      <c r="AI89" s="115">
        <f t="shared" si="395"/>
        <v>0</v>
      </c>
      <c r="AJ89" s="115">
        <f t="shared" si="395"/>
        <v>0</v>
      </c>
      <c r="AK89" s="115">
        <f t="shared" si="395"/>
        <v>0</v>
      </c>
      <c r="AL89" s="115">
        <f t="shared" si="395"/>
        <v>0</v>
      </c>
      <c r="AM89" s="115">
        <f t="shared" si="395"/>
        <v>0</v>
      </c>
      <c r="AN89" s="115">
        <f t="shared" si="395"/>
        <v>0</v>
      </c>
      <c r="AO89" s="115">
        <f t="shared" si="395"/>
        <v>0</v>
      </c>
      <c r="AP89" s="115">
        <f t="shared" si="395"/>
        <v>0</v>
      </c>
      <c r="AQ89" s="192">
        <f t="shared" si="395"/>
        <v>0</v>
      </c>
      <c r="AR89" s="115">
        <f t="shared" si="395"/>
        <v>0</v>
      </c>
      <c r="AS89" s="115">
        <f t="shared" si="395"/>
        <v>0</v>
      </c>
      <c r="AT89" s="115">
        <f t="shared" si="395"/>
        <v>0</v>
      </c>
      <c r="AU89" s="115">
        <f t="shared" si="395"/>
        <v>0</v>
      </c>
      <c r="AV89" s="115">
        <f t="shared" si="395"/>
        <v>0</v>
      </c>
      <c r="AW89" s="115">
        <f t="shared" si="395"/>
        <v>0</v>
      </c>
      <c r="AX89" s="115">
        <f t="shared" si="395"/>
        <v>0</v>
      </c>
      <c r="AY89" s="115">
        <f t="shared" si="395"/>
        <v>0</v>
      </c>
      <c r="AZ89" s="115">
        <f t="shared" si="395"/>
        <v>0</v>
      </c>
      <c r="BA89" s="115">
        <f t="shared" si="395"/>
        <v>0</v>
      </c>
      <c r="BB89" s="115">
        <f t="shared" si="395"/>
        <v>0</v>
      </c>
      <c r="BC89" s="192">
        <f t="shared" si="395"/>
        <v>0</v>
      </c>
      <c r="BD89" s="115">
        <f t="shared" si="395"/>
        <v>0</v>
      </c>
      <c r="BE89" s="115">
        <f t="shared" si="395"/>
        <v>0</v>
      </c>
      <c r="BF89" s="115">
        <f t="shared" si="395"/>
        <v>0</v>
      </c>
      <c r="BG89" s="115">
        <f t="shared" si="395"/>
        <v>0</v>
      </c>
      <c r="BH89" s="115">
        <f t="shared" si="395"/>
        <v>0</v>
      </c>
      <c r="BI89" s="115">
        <f t="shared" si="395"/>
        <v>0</v>
      </c>
      <c r="BJ89" s="115">
        <f t="shared" si="395"/>
        <v>0</v>
      </c>
      <c r="BK89" s="115">
        <f t="shared" si="395"/>
        <v>0</v>
      </c>
      <c r="BL89" s="115">
        <f t="shared" si="395"/>
        <v>0</v>
      </c>
      <c r="BM89" s="115">
        <f t="shared" si="395"/>
        <v>0</v>
      </c>
      <c r="BN89" s="115">
        <f t="shared" si="395"/>
        <v>0</v>
      </c>
      <c r="BO89" s="192">
        <f t="shared" si="395"/>
        <v>0</v>
      </c>
      <c r="BP89" s="115">
        <f t="shared" si="395"/>
        <v>0</v>
      </c>
      <c r="BQ89" s="115">
        <f t="shared" si="395"/>
        <v>0</v>
      </c>
      <c r="BR89" s="115">
        <f t="shared" si="395"/>
        <v>0</v>
      </c>
      <c r="BS89" s="115">
        <f t="shared" si="395"/>
        <v>0</v>
      </c>
      <c r="BT89" s="115">
        <f t="shared" ref="BT89:CY89" si="396">BS89</f>
        <v>0</v>
      </c>
      <c r="BU89" s="115">
        <f t="shared" si="396"/>
        <v>0</v>
      </c>
      <c r="BV89" s="115">
        <f t="shared" si="396"/>
        <v>0</v>
      </c>
      <c r="BW89" s="115">
        <f t="shared" si="396"/>
        <v>0</v>
      </c>
      <c r="BX89" s="115">
        <f t="shared" si="396"/>
        <v>0</v>
      </c>
      <c r="BY89" s="115">
        <f t="shared" si="396"/>
        <v>0</v>
      </c>
      <c r="BZ89" s="115">
        <f t="shared" si="396"/>
        <v>0</v>
      </c>
      <c r="CA89" s="192">
        <f t="shared" si="396"/>
        <v>0</v>
      </c>
      <c r="CB89" s="115">
        <f t="shared" si="396"/>
        <v>0</v>
      </c>
      <c r="CC89" s="115">
        <f t="shared" si="396"/>
        <v>0</v>
      </c>
      <c r="CD89" s="115">
        <f t="shared" si="396"/>
        <v>0</v>
      </c>
      <c r="CE89" s="115">
        <f t="shared" si="396"/>
        <v>0</v>
      </c>
      <c r="CF89" s="115">
        <f t="shared" si="396"/>
        <v>0</v>
      </c>
      <c r="CG89" s="115">
        <f t="shared" si="396"/>
        <v>0</v>
      </c>
      <c r="CH89" s="115">
        <f t="shared" si="396"/>
        <v>0</v>
      </c>
      <c r="CI89" s="115">
        <f t="shared" si="396"/>
        <v>0</v>
      </c>
      <c r="CJ89" s="115">
        <f t="shared" si="396"/>
        <v>0</v>
      </c>
      <c r="CK89" s="115">
        <f t="shared" si="396"/>
        <v>0</v>
      </c>
      <c r="CL89" s="115">
        <f t="shared" si="396"/>
        <v>0</v>
      </c>
      <c r="CM89" s="192">
        <f t="shared" si="396"/>
        <v>0</v>
      </c>
      <c r="CN89" s="115">
        <f t="shared" si="396"/>
        <v>0</v>
      </c>
      <c r="CO89" s="115">
        <f t="shared" si="396"/>
        <v>0</v>
      </c>
      <c r="CP89" s="115">
        <f t="shared" si="396"/>
        <v>0</v>
      </c>
      <c r="CQ89" s="115">
        <f t="shared" si="396"/>
        <v>0</v>
      </c>
      <c r="CR89" s="115">
        <f t="shared" si="396"/>
        <v>0</v>
      </c>
      <c r="CS89" s="115">
        <f t="shared" si="396"/>
        <v>0</v>
      </c>
      <c r="CT89" s="115">
        <f t="shared" si="396"/>
        <v>0</v>
      </c>
      <c r="CU89" s="115">
        <f t="shared" si="396"/>
        <v>0</v>
      </c>
      <c r="CV89" s="115">
        <f t="shared" si="396"/>
        <v>0</v>
      </c>
      <c r="CW89" s="115">
        <f t="shared" si="396"/>
        <v>0</v>
      </c>
      <c r="CX89" s="115">
        <f t="shared" si="396"/>
        <v>0</v>
      </c>
      <c r="CY89" s="115">
        <f t="shared" si="396"/>
        <v>0</v>
      </c>
    </row>
    <row r="90" spans="1:103" x14ac:dyDescent="0.3">
      <c r="A90" s="5"/>
      <c r="B90" s="6" t="s">
        <v>9</v>
      </c>
      <c r="C90" s="6"/>
      <c r="D90" s="56"/>
      <c r="E90" s="55">
        <v>0</v>
      </c>
      <c r="F90" s="55">
        <f>F89</f>
        <v>0</v>
      </c>
      <c r="G90" s="55">
        <f t="shared" ref="G90:BR90" si="397">G89</f>
        <v>0</v>
      </c>
      <c r="H90" s="55">
        <f t="shared" ref="H90:O91" si="398">H89</f>
        <v>0</v>
      </c>
      <c r="I90" s="55">
        <f t="shared" si="398"/>
        <v>0</v>
      </c>
      <c r="J90" s="55">
        <f t="shared" si="398"/>
        <v>0</v>
      </c>
      <c r="K90" s="55">
        <f t="shared" si="398"/>
        <v>0</v>
      </c>
      <c r="L90" s="55">
        <f t="shared" si="398"/>
        <v>0</v>
      </c>
      <c r="M90" s="55">
        <f t="shared" si="398"/>
        <v>0</v>
      </c>
      <c r="N90" s="55">
        <f t="shared" si="398"/>
        <v>0</v>
      </c>
      <c r="O90" s="55">
        <f t="shared" si="398"/>
        <v>0</v>
      </c>
      <c r="P90" s="55">
        <f t="shared" ref="P90:Q90" si="399">P89</f>
        <v>0</v>
      </c>
      <c r="Q90" s="55">
        <f t="shared" si="399"/>
        <v>0</v>
      </c>
      <c r="R90" s="55">
        <f t="shared" ref="R90" si="400">R89</f>
        <v>0</v>
      </c>
      <c r="S90" s="55">
        <f t="shared" ref="S90:T90" si="401">S89</f>
        <v>0</v>
      </c>
      <c r="T90" s="55">
        <f t="shared" si="401"/>
        <v>0</v>
      </c>
      <c r="U90" s="55">
        <f t="shared" ref="U90:V90" si="402">U89</f>
        <v>0</v>
      </c>
      <c r="V90" s="55">
        <f t="shared" si="402"/>
        <v>0</v>
      </c>
      <c r="W90" s="55">
        <f t="shared" ref="W90:X90" si="403">W89</f>
        <v>0</v>
      </c>
      <c r="X90" s="55">
        <f t="shared" si="403"/>
        <v>0</v>
      </c>
      <c r="Y90" s="55">
        <f t="shared" ref="Y90:Z90" si="404">Y89</f>
        <v>0</v>
      </c>
      <c r="Z90" s="55">
        <f t="shared" si="404"/>
        <v>0</v>
      </c>
      <c r="AA90" s="55">
        <f t="shared" ref="AA90:AB90" si="405">AA89</f>
        <v>0</v>
      </c>
      <c r="AB90" s="55">
        <f t="shared" si="405"/>
        <v>0</v>
      </c>
      <c r="AC90" s="196">
        <f t="shared" ref="AC90" si="406">AC89</f>
        <v>0</v>
      </c>
      <c r="AD90" s="55">
        <f t="shared" ref="AD90" si="407">AD89</f>
        <v>0</v>
      </c>
      <c r="AE90" s="196">
        <f t="shared" si="397"/>
        <v>0</v>
      </c>
      <c r="AF90" s="55">
        <f t="shared" si="397"/>
        <v>0</v>
      </c>
      <c r="AG90" s="55">
        <f t="shared" si="397"/>
        <v>0</v>
      </c>
      <c r="AH90" s="55">
        <f t="shared" si="397"/>
        <v>0</v>
      </c>
      <c r="AI90" s="55">
        <f t="shared" si="397"/>
        <v>0</v>
      </c>
      <c r="AJ90" s="55">
        <f t="shared" si="397"/>
        <v>0</v>
      </c>
      <c r="AK90" s="55">
        <f t="shared" si="397"/>
        <v>0</v>
      </c>
      <c r="AL90" s="55">
        <f t="shared" si="397"/>
        <v>0</v>
      </c>
      <c r="AM90" s="55">
        <f t="shared" si="397"/>
        <v>0</v>
      </c>
      <c r="AN90" s="55">
        <f t="shared" si="397"/>
        <v>0</v>
      </c>
      <c r="AO90" s="55">
        <f t="shared" si="397"/>
        <v>0</v>
      </c>
      <c r="AP90" s="55">
        <f t="shared" si="397"/>
        <v>0</v>
      </c>
      <c r="AQ90" s="196">
        <f t="shared" si="397"/>
        <v>0</v>
      </c>
      <c r="AR90" s="55">
        <f t="shared" si="397"/>
        <v>0</v>
      </c>
      <c r="AS90" s="55">
        <f t="shared" si="397"/>
        <v>0</v>
      </c>
      <c r="AT90" s="55">
        <f t="shared" si="397"/>
        <v>0</v>
      </c>
      <c r="AU90" s="55">
        <f t="shared" si="397"/>
        <v>0</v>
      </c>
      <c r="AV90" s="55">
        <f t="shared" si="397"/>
        <v>0</v>
      </c>
      <c r="AW90" s="55">
        <f t="shared" si="397"/>
        <v>0</v>
      </c>
      <c r="AX90" s="55">
        <f t="shared" si="397"/>
        <v>0</v>
      </c>
      <c r="AY90" s="55">
        <f t="shared" si="397"/>
        <v>0</v>
      </c>
      <c r="AZ90" s="55">
        <f t="shared" si="397"/>
        <v>0</v>
      </c>
      <c r="BA90" s="55">
        <f t="shared" si="397"/>
        <v>0</v>
      </c>
      <c r="BB90" s="55">
        <f t="shared" si="397"/>
        <v>0</v>
      </c>
      <c r="BC90" s="196">
        <f t="shared" si="397"/>
        <v>0</v>
      </c>
      <c r="BD90" s="55">
        <f t="shared" si="397"/>
        <v>0</v>
      </c>
      <c r="BE90" s="55">
        <f t="shared" si="397"/>
        <v>0</v>
      </c>
      <c r="BF90" s="55">
        <f t="shared" si="397"/>
        <v>0</v>
      </c>
      <c r="BG90" s="55">
        <f t="shared" si="397"/>
        <v>0</v>
      </c>
      <c r="BH90" s="55">
        <f t="shared" si="397"/>
        <v>0</v>
      </c>
      <c r="BI90" s="55">
        <f t="shared" si="397"/>
        <v>0</v>
      </c>
      <c r="BJ90" s="55">
        <f t="shared" si="397"/>
        <v>0</v>
      </c>
      <c r="BK90" s="55">
        <f t="shared" si="397"/>
        <v>0</v>
      </c>
      <c r="BL90" s="55">
        <f t="shared" si="397"/>
        <v>0</v>
      </c>
      <c r="BM90" s="55">
        <f t="shared" si="397"/>
        <v>0</v>
      </c>
      <c r="BN90" s="55">
        <f t="shared" si="397"/>
        <v>0</v>
      </c>
      <c r="BO90" s="196">
        <f t="shared" si="397"/>
        <v>0</v>
      </c>
      <c r="BP90" s="55">
        <f t="shared" si="397"/>
        <v>0</v>
      </c>
      <c r="BQ90" s="55">
        <f t="shared" si="397"/>
        <v>0</v>
      </c>
      <c r="BR90" s="55">
        <f t="shared" si="397"/>
        <v>0</v>
      </c>
      <c r="BS90" s="55">
        <f t="shared" ref="BS90:CY90" si="408">BS89</f>
        <v>0</v>
      </c>
      <c r="BT90" s="55">
        <f t="shared" si="408"/>
        <v>0</v>
      </c>
      <c r="BU90" s="55">
        <f t="shared" si="408"/>
        <v>0</v>
      </c>
      <c r="BV90" s="55">
        <f t="shared" si="408"/>
        <v>0</v>
      </c>
      <c r="BW90" s="55">
        <f t="shared" si="408"/>
        <v>0</v>
      </c>
      <c r="BX90" s="55">
        <f t="shared" si="408"/>
        <v>0</v>
      </c>
      <c r="BY90" s="55">
        <f t="shared" si="408"/>
        <v>0</v>
      </c>
      <c r="BZ90" s="55">
        <f t="shared" si="408"/>
        <v>0</v>
      </c>
      <c r="CA90" s="196">
        <f t="shared" si="408"/>
        <v>0</v>
      </c>
      <c r="CB90" s="55">
        <f t="shared" si="408"/>
        <v>0</v>
      </c>
      <c r="CC90" s="55">
        <f t="shared" si="408"/>
        <v>0</v>
      </c>
      <c r="CD90" s="55">
        <f t="shared" si="408"/>
        <v>0</v>
      </c>
      <c r="CE90" s="55">
        <f t="shared" si="408"/>
        <v>0</v>
      </c>
      <c r="CF90" s="55">
        <f t="shared" si="408"/>
        <v>0</v>
      </c>
      <c r="CG90" s="55">
        <f t="shared" si="408"/>
        <v>0</v>
      </c>
      <c r="CH90" s="55">
        <f t="shared" si="408"/>
        <v>0</v>
      </c>
      <c r="CI90" s="55">
        <f t="shared" si="408"/>
        <v>0</v>
      </c>
      <c r="CJ90" s="55">
        <f t="shared" si="408"/>
        <v>0</v>
      </c>
      <c r="CK90" s="55">
        <f t="shared" si="408"/>
        <v>0</v>
      </c>
      <c r="CL90" s="55">
        <f t="shared" si="408"/>
        <v>0</v>
      </c>
      <c r="CM90" s="196">
        <f t="shared" si="408"/>
        <v>0</v>
      </c>
      <c r="CN90" s="55">
        <f t="shared" si="408"/>
        <v>0</v>
      </c>
      <c r="CO90" s="55">
        <f t="shared" si="408"/>
        <v>0</v>
      </c>
      <c r="CP90" s="55">
        <f t="shared" si="408"/>
        <v>0</v>
      </c>
      <c r="CQ90" s="55">
        <f t="shared" si="408"/>
        <v>0</v>
      </c>
      <c r="CR90" s="55">
        <f t="shared" si="408"/>
        <v>0</v>
      </c>
      <c r="CS90" s="55">
        <f t="shared" si="408"/>
        <v>0</v>
      </c>
      <c r="CT90" s="55">
        <f t="shared" si="408"/>
        <v>0</v>
      </c>
      <c r="CU90" s="55">
        <f t="shared" si="408"/>
        <v>0</v>
      </c>
      <c r="CV90" s="55">
        <f t="shared" si="408"/>
        <v>0</v>
      </c>
      <c r="CW90" s="55">
        <f t="shared" si="408"/>
        <v>0</v>
      </c>
      <c r="CX90" s="55">
        <f t="shared" si="408"/>
        <v>0</v>
      </c>
      <c r="CY90" s="55">
        <f t="shared" si="408"/>
        <v>0</v>
      </c>
    </row>
    <row r="91" spans="1:103" x14ac:dyDescent="0.3">
      <c r="A91" s="5"/>
      <c r="B91" s="6" t="s">
        <v>10</v>
      </c>
      <c r="C91" s="6"/>
      <c r="D91" s="56"/>
      <c r="E91" s="55">
        <f t="shared" ref="E91:BH91" si="409">E90</f>
        <v>0</v>
      </c>
      <c r="F91" s="55">
        <f t="shared" si="409"/>
        <v>0</v>
      </c>
      <c r="G91" s="55">
        <f t="shared" si="409"/>
        <v>0</v>
      </c>
      <c r="H91" s="55">
        <f t="shared" si="398"/>
        <v>0</v>
      </c>
      <c r="I91" s="55">
        <f t="shared" si="398"/>
        <v>0</v>
      </c>
      <c r="J91" s="55">
        <f t="shared" si="398"/>
        <v>0</v>
      </c>
      <c r="K91" s="55">
        <f t="shared" si="398"/>
        <v>0</v>
      </c>
      <c r="L91" s="55">
        <f t="shared" si="398"/>
        <v>0</v>
      </c>
      <c r="M91" s="55">
        <f t="shared" si="398"/>
        <v>0</v>
      </c>
      <c r="N91" s="55">
        <f t="shared" si="398"/>
        <v>0</v>
      </c>
      <c r="O91" s="55">
        <f t="shared" si="398"/>
        <v>0</v>
      </c>
      <c r="P91" s="55">
        <f t="shared" ref="P91:Q91" si="410">P90</f>
        <v>0</v>
      </c>
      <c r="Q91" s="55">
        <f t="shared" si="410"/>
        <v>0</v>
      </c>
      <c r="R91" s="55">
        <f t="shared" ref="R91" si="411">R90</f>
        <v>0</v>
      </c>
      <c r="S91" s="55">
        <f t="shared" ref="S91:T91" si="412">S90</f>
        <v>0</v>
      </c>
      <c r="T91" s="55">
        <f t="shared" si="412"/>
        <v>0</v>
      </c>
      <c r="U91" s="55">
        <f t="shared" ref="U91:V91" si="413">U90</f>
        <v>0</v>
      </c>
      <c r="V91" s="55">
        <f t="shared" si="413"/>
        <v>0</v>
      </c>
      <c r="W91" s="55">
        <f t="shared" ref="W91:X91" si="414">W90</f>
        <v>0</v>
      </c>
      <c r="X91" s="55">
        <f t="shared" si="414"/>
        <v>0</v>
      </c>
      <c r="Y91" s="55">
        <f t="shared" ref="Y91:Z91" si="415">Y90</f>
        <v>0</v>
      </c>
      <c r="Z91" s="55">
        <f t="shared" si="415"/>
        <v>0</v>
      </c>
      <c r="AA91" s="55">
        <f t="shared" ref="AA91:AB91" si="416">AA90</f>
        <v>0</v>
      </c>
      <c r="AB91" s="55">
        <f t="shared" si="416"/>
        <v>0</v>
      </c>
      <c r="AC91" s="196">
        <f t="shared" ref="AC91" si="417">AC90</f>
        <v>0</v>
      </c>
      <c r="AD91" s="55">
        <f t="shared" ref="AD91" si="418">AD90</f>
        <v>0</v>
      </c>
      <c r="AE91" s="196">
        <f t="shared" si="409"/>
        <v>0</v>
      </c>
      <c r="AF91" s="55">
        <f t="shared" si="409"/>
        <v>0</v>
      </c>
      <c r="AG91" s="55">
        <f t="shared" si="409"/>
        <v>0</v>
      </c>
      <c r="AH91" s="55">
        <f t="shared" si="409"/>
        <v>0</v>
      </c>
      <c r="AI91" s="55">
        <f t="shared" si="409"/>
        <v>0</v>
      </c>
      <c r="AJ91" s="55">
        <f t="shared" si="409"/>
        <v>0</v>
      </c>
      <c r="AK91" s="55">
        <f t="shared" si="409"/>
        <v>0</v>
      </c>
      <c r="AL91" s="55">
        <f t="shared" si="409"/>
        <v>0</v>
      </c>
      <c r="AM91" s="55">
        <f t="shared" si="409"/>
        <v>0</v>
      </c>
      <c r="AN91" s="55">
        <f t="shared" si="409"/>
        <v>0</v>
      </c>
      <c r="AO91" s="55">
        <f t="shared" si="409"/>
        <v>0</v>
      </c>
      <c r="AP91" s="55">
        <f t="shared" si="409"/>
        <v>0</v>
      </c>
      <c r="AQ91" s="196">
        <f t="shared" si="409"/>
        <v>0</v>
      </c>
      <c r="AR91" s="55">
        <f t="shared" si="409"/>
        <v>0</v>
      </c>
      <c r="AS91" s="55">
        <f t="shared" si="409"/>
        <v>0</v>
      </c>
      <c r="AT91" s="55">
        <f t="shared" si="409"/>
        <v>0</v>
      </c>
      <c r="AU91" s="55">
        <f t="shared" si="409"/>
        <v>0</v>
      </c>
      <c r="AV91" s="55">
        <f t="shared" si="409"/>
        <v>0</v>
      </c>
      <c r="AW91" s="55">
        <f t="shared" si="409"/>
        <v>0</v>
      </c>
      <c r="AX91" s="55">
        <f t="shared" si="409"/>
        <v>0</v>
      </c>
      <c r="AY91" s="55">
        <f t="shared" si="409"/>
        <v>0</v>
      </c>
      <c r="AZ91" s="55">
        <f t="shared" si="409"/>
        <v>0</v>
      </c>
      <c r="BA91" s="55">
        <f t="shared" si="409"/>
        <v>0</v>
      </c>
      <c r="BB91" s="55">
        <f t="shared" si="409"/>
        <v>0</v>
      </c>
      <c r="BC91" s="196">
        <f t="shared" si="409"/>
        <v>0</v>
      </c>
      <c r="BD91" s="55">
        <f t="shared" si="409"/>
        <v>0</v>
      </c>
      <c r="BE91" s="55">
        <f t="shared" si="409"/>
        <v>0</v>
      </c>
      <c r="BF91" s="55">
        <f t="shared" si="409"/>
        <v>0</v>
      </c>
      <c r="BG91" s="55">
        <f t="shared" si="409"/>
        <v>0</v>
      </c>
      <c r="BH91" s="55">
        <f t="shared" si="409"/>
        <v>0</v>
      </c>
      <c r="BI91" s="55">
        <f t="shared" ref="BI91:CY91" si="419">BI90</f>
        <v>0</v>
      </c>
      <c r="BJ91" s="55">
        <f t="shared" si="419"/>
        <v>0</v>
      </c>
      <c r="BK91" s="55">
        <f t="shared" si="419"/>
        <v>0</v>
      </c>
      <c r="BL91" s="55">
        <f t="shared" si="419"/>
        <v>0</v>
      </c>
      <c r="BM91" s="55">
        <f t="shared" si="419"/>
        <v>0</v>
      </c>
      <c r="BN91" s="55">
        <f t="shared" si="419"/>
        <v>0</v>
      </c>
      <c r="BO91" s="196">
        <f t="shared" si="419"/>
        <v>0</v>
      </c>
      <c r="BP91" s="55">
        <f t="shared" si="419"/>
        <v>0</v>
      </c>
      <c r="BQ91" s="55">
        <f t="shared" si="419"/>
        <v>0</v>
      </c>
      <c r="BR91" s="55">
        <f t="shared" si="419"/>
        <v>0</v>
      </c>
      <c r="BS91" s="55">
        <f t="shared" si="419"/>
        <v>0</v>
      </c>
      <c r="BT91" s="55">
        <f t="shared" si="419"/>
        <v>0</v>
      </c>
      <c r="BU91" s="55">
        <f t="shared" si="419"/>
        <v>0</v>
      </c>
      <c r="BV91" s="55">
        <f t="shared" si="419"/>
        <v>0</v>
      </c>
      <c r="BW91" s="55">
        <f t="shared" si="419"/>
        <v>0</v>
      </c>
      <c r="BX91" s="55">
        <f t="shared" si="419"/>
        <v>0</v>
      </c>
      <c r="BY91" s="55">
        <f t="shared" si="419"/>
        <v>0</v>
      </c>
      <c r="BZ91" s="55">
        <f t="shared" si="419"/>
        <v>0</v>
      </c>
      <c r="CA91" s="196">
        <f t="shared" si="419"/>
        <v>0</v>
      </c>
      <c r="CB91" s="55">
        <f t="shared" si="419"/>
        <v>0</v>
      </c>
      <c r="CC91" s="55">
        <f t="shared" si="419"/>
        <v>0</v>
      </c>
      <c r="CD91" s="55">
        <f t="shared" si="419"/>
        <v>0</v>
      </c>
      <c r="CE91" s="55">
        <f t="shared" si="419"/>
        <v>0</v>
      </c>
      <c r="CF91" s="55">
        <f t="shared" si="419"/>
        <v>0</v>
      </c>
      <c r="CG91" s="55">
        <f t="shared" si="419"/>
        <v>0</v>
      </c>
      <c r="CH91" s="55">
        <f t="shared" si="419"/>
        <v>0</v>
      </c>
      <c r="CI91" s="55">
        <f t="shared" si="419"/>
        <v>0</v>
      </c>
      <c r="CJ91" s="55">
        <f t="shared" si="419"/>
        <v>0</v>
      </c>
      <c r="CK91" s="55">
        <f t="shared" si="419"/>
        <v>0</v>
      </c>
      <c r="CL91" s="55">
        <f t="shared" si="419"/>
        <v>0</v>
      </c>
      <c r="CM91" s="196">
        <f t="shared" si="419"/>
        <v>0</v>
      </c>
      <c r="CN91" s="55">
        <f t="shared" si="419"/>
        <v>0</v>
      </c>
      <c r="CO91" s="55">
        <f t="shared" si="419"/>
        <v>0</v>
      </c>
      <c r="CP91" s="55">
        <f t="shared" si="419"/>
        <v>0</v>
      </c>
      <c r="CQ91" s="55">
        <f t="shared" si="419"/>
        <v>0</v>
      </c>
      <c r="CR91" s="55">
        <f t="shared" si="419"/>
        <v>0</v>
      </c>
      <c r="CS91" s="55">
        <f t="shared" si="419"/>
        <v>0</v>
      </c>
      <c r="CT91" s="55">
        <f t="shared" si="419"/>
        <v>0</v>
      </c>
      <c r="CU91" s="55">
        <f t="shared" si="419"/>
        <v>0</v>
      </c>
      <c r="CV91" s="55">
        <f t="shared" si="419"/>
        <v>0</v>
      </c>
      <c r="CW91" s="55">
        <f t="shared" si="419"/>
        <v>0</v>
      </c>
      <c r="CX91" s="55">
        <f t="shared" si="419"/>
        <v>0</v>
      </c>
      <c r="CY91" s="55">
        <f t="shared" si="419"/>
        <v>0</v>
      </c>
    </row>
    <row r="92" spans="1:103" s="3" customFormat="1" x14ac:dyDescent="0.3">
      <c r="B92" s="4" t="s">
        <v>11</v>
      </c>
      <c r="C92" s="4"/>
      <c r="D92" s="56"/>
      <c r="E92" s="56">
        <f t="shared" ref="E92:AJ92" si="420">E84+E91</f>
        <v>0</v>
      </c>
      <c r="F92" s="56">
        <f t="shared" si="420"/>
        <v>0</v>
      </c>
      <c r="G92" s="56">
        <f t="shared" si="420"/>
        <v>0</v>
      </c>
      <c r="H92" s="56">
        <f t="shared" si="420"/>
        <v>0</v>
      </c>
      <c r="I92" s="56">
        <f t="shared" si="420"/>
        <v>0</v>
      </c>
      <c r="J92" s="56">
        <f t="shared" si="420"/>
        <v>0</v>
      </c>
      <c r="K92" s="56">
        <f t="shared" si="420"/>
        <v>0</v>
      </c>
      <c r="L92" s="56">
        <f t="shared" si="420"/>
        <v>0</v>
      </c>
      <c r="M92" s="56">
        <f t="shared" si="420"/>
        <v>0</v>
      </c>
      <c r="N92" s="56">
        <f t="shared" si="420"/>
        <v>0</v>
      </c>
      <c r="O92" s="56">
        <f t="shared" si="420"/>
        <v>0</v>
      </c>
      <c r="P92" s="56">
        <f t="shared" si="420"/>
        <v>0</v>
      </c>
      <c r="Q92" s="56">
        <f t="shared" si="420"/>
        <v>0</v>
      </c>
      <c r="R92" s="56">
        <f t="shared" si="420"/>
        <v>0</v>
      </c>
      <c r="S92" s="56">
        <f t="shared" si="420"/>
        <v>0</v>
      </c>
      <c r="T92" s="56">
        <f t="shared" si="420"/>
        <v>-571.14</v>
      </c>
      <c r="U92" s="56">
        <f t="shared" si="420"/>
        <v>-774.06</v>
      </c>
      <c r="V92" s="56">
        <f t="shared" si="420"/>
        <v>-1076.0800000000002</v>
      </c>
      <c r="W92" s="56">
        <f t="shared" si="420"/>
        <v>-1064.21</v>
      </c>
      <c r="X92" s="56">
        <f t="shared" si="420"/>
        <v>617.13000000000011</v>
      </c>
      <c r="Y92" s="56">
        <f t="shared" si="420"/>
        <v>3359.93</v>
      </c>
      <c r="Z92" s="56">
        <f t="shared" ref="Z92:AA92" si="421">Z84+Z91</f>
        <v>3386.26</v>
      </c>
      <c r="AA92" s="56">
        <f t="shared" si="421"/>
        <v>-296.68999999999994</v>
      </c>
      <c r="AB92" s="56">
        <f t="shared" ref="AB92:AC92" si="422">AB84+AB91</f>
        <v>761.86</v>
      </c>
      <c r="AC92" s="193">
        <f t="shared" si="422"/>
        <v>-38.440000000000055</v>
      </c>
      <c r="AD92" s="56">
        <f t="shared" ref="AD92" si="423">AD84+AD91</f>
        <v>-694.25704340043876</v>
      </c>
      <c r="AE92" s="193">
        <f t="shared" si="420"/>
        <v>3537.2295403329363</v>
      </c>
      <c r="AF92" s="56">
        <f t="shared" si="420"/>
        <v>3937.4337078032413</v>
      </c>
      <c r="AG92" s="56">
        <f t="shared" si="420"/>
        <v>4631.3467770283487</v>
      </c>
      <c r="AH92" s="56">
        <f t="shared" si="420"/>
        <v>3383.0230288970279</v>
      </c>
      <c r="AI92" s="56">
        <f t="shared" si="420"/>
        <v>2818.5036087725439</v>
      </c>
      <c r="AJ92" s="56">
        <f t="shared" si="420"/>
        <v>5187.2192260135471</v>
      </c>
      <c r="AK92" s="56">
        <f t="shared" ref="AK92:BP92" si="424">AK84+AK91</f>
        <v>17416.528238596147</v>
      </c>
      <c r="AL92" s="56">
        <f t="shared" si="424"/>
        <v>17842.697868293108</v>
      </c>
      <c r="AM92" s="56">
        <f t="shared" si="424"/>
        <v>5156.445681863288</v>
      </c>
      <c r="AN92" s="56">
        <f t="shared" si="424"/>
        <v>6118.620588331316</v>
      </c>
      <c r="AO92" s="56">
        <f t="shared" si="424"/>
        <v>5984.2239209830041</v>
      </c>
      <c r="AP92" s="56">
        <f t="shared" si="424"/>
        <v>4932.1521416852829</v>
      </c>
      <c r="AQ92" s="193">
        <f t="shared" si="424"/>
        <v>6431.4466661505421</v>
      </c>
      <c r="AR92" s="56">
        <f t="shared" si="424"/>
        <v>3731.1266813163829</v>
      </c>
      <c r="AS92" s="56">
        <f t="shared" si="424"/>
        <v>4066.9561349204923</v>
      </c>
      <c r="AT92" s="56">
        <f t="shared" si="424"/>
        <v>2464.4047117778273</v>
      </c>
      <c r="AU92" s="56">
        <f t="shared" si="424"/>
        <v>3806.9372352702912</v>
      </c>
      <c r="AV92" s="56">
        <f t="shared" si="424"/>
        <v>4165.9774656521522</v>
      </c>
      <c r="AW92" s="56">
        <f t="shared" si="424"/>
        <v>19195.154496471423</v>
      </c>
      <c r="AX92" s="56">
        <f t="shared" si="424"/>
        <v>19753.655595540167</v>
      </c>
      <c r="AY92" s="56">
        <f t="shared" si="424"/>
        <v>3963.2506493590654</v>
      </c>
      <c r="AZ92" s="56">
        <f t="shared" si="424"/>
        <v>5117.7083000655985</v>
      </c>
      <c r="BA92" s="56">
        <f t="shared" si="424"/>
        <v>5080.7693661827798</v>
      </c>
      <c r="BB92" s="56">
        <f t="shared" si="424"/>
        <v>3980.9672545184985</v>
      </c>
      <c r="BC92" s="193">
        <f t="shared" si="424"/>
        <v>5246.0229739631104</v>
      </c>
      <c r="BD92" s="56">
        <f t="shared" si="424"/>
        <v>5357.2140237488838</v>
      </c>
      <c r="BE92" s="56">
        <f t="shared" si="424"/>
        <v>5731.3157948693542</v>
      </c>
      <c r="BF92" s="56">
        <f t="shared" si="424"/>
        <v>4036.2449299640566</v>
      </c>
      <c r="BG92" s="56">
        <f t="shared" si="424"/>
        <v>5465.6432384424352</v>
      </c>
      <c r="BH92" s="56">
        <f t="shared" si="424"/>
        <v>5909.0909523697692</v>
      </c>
      <c r="BI92" s="56">
        <f t="shared" si="424"/>
        <v>23463.943696579787</v>
      </c>
      <c r="BJ92" s="56">
        <f t="shared" si="424"/>
        <v>24584.51973914765</v>
      </c>
      <c r="BK92" s="56">
        <f t="shared" si="424"/>
        <v>3916.5237335955562</v>
      </c>
      <c r="BL92" s="56">
        <f t="shared" si="424"/>
        <v>5508.2527377788865</v>
      </c>
      <c r="BM92" s="56">
        <f t="shared" si="424"/>
        <v>5620.605755812835</v>
      </c>
      <c r="BN92" s="56">
        <f t="shared" si="424"/>
        <v>3948.9136082748018</v>
      </c>
      <c r="BO92" s="193">
        <f t="shared" si="424"/>
        <v>5719.854873008795</v>
      </c>
      <c r="BP92" s="56">
        <f t="shared" si="424"/>
        <v>5874.814146662794</v>
      </c>
      <c r="BQ92" s="56">
        <f t="shared" ref="BQ92:CV92" si="425">BQ84+BQ91</f>
        <v>6090.0819775385135</v>
      </c>
      <c r="BR92" s="56">
        <f t="shared" si="425"/>
        <v>4077.8002186343083</v>
      </c>
      <c r="BS92" s="56">
        <f t="shared" si="425"/>
        <v>6292.3388830456224</v>
      </c>
      <c r="BT92" s="56">
        <f t="shared" si="425"/>
        <v>6141.0602694448162</v>
      </c>
      <c r="BU92" s="56">
        <f t="shared" si="425"/>
        <v>30557.942777272623</v>
      </c>
      <c r="BV92" s="56">
        <f t="shared" si="425"/>
        <v>32573.449728965687</v>
      </c>
      <c r="BW92" s="56">
        <f t="shared" si="425"/>
        <v>5572.7409914378213</v>
      </c>
      <c r="BX92" s="56">
        <f t="shared" si="425"/>
        <v>8074.7655954767451</v>
      </c>
      <c r="BY92" s="56">
        <f t="shared" si="425"/>
        <v>7967.2436024268545</v>
      </c>
      <c r="BZ92" s="56">
        <f t="shared" si="425"/>
        <v>5914.8473401157444</v>
      </c>
      <c r="CA92" s="193">
        <f t="shared" si="425"/>
        <v>8461.8282102430749</v>
      </c>
      <c r="CB92" s="56">
        <f t="shared" si="425"/>
        <v>7978.9655727742693</v>
      </c>
      <c r="CC92" s="56">
        <f t="shared" si="425"/>
        <v>8844.5245354060025</v>
      </c>
      <c r="CD92" s="56">
        <f t="shared" si="425"/>
        <v>6243.1245099256357</v>
      </c>
      <c r="CE92" s="56">
        <f t="shared" si="425"/>
        <v>8674.3264668140619</v>
      </c>
      <c r="CF92" s="56">
        <f t="shared" si="425"/>
        <v>8635.6238781644806</v>
      </c>
      <c r="CG92" s="56">
        <f t="shared" si="425"/>
        <v>40095.315883669842</v>
      </c>
      <c r="CH92" s="56">
        <f t="shared" si="425"/>
        <v>41394.114031898513</v>
      </c>
      <c r="CI92" s="56">
        <f t="shared" si="425"/>
        <v>7960.8727370952465</v>
      </c>
      <c r="CJ92" s="56">
        <f t="shared" si="425"/>
        <v>11333.072935073287</v>
      </c>
      <c r="CK92" s="56">
        <f t="shared" si="425"/>
        <v>10749.271349303126</v>
      </c>
      <c r="CL92" s="56">
        <f t="shared" si="425"/>
        <v>8367.1041143753173</v>
      </c>
      <c r="CM92" s="193">
        <f t="shared" si="425"/>
        <v>11677.685622689547</v>
      </c>
      <c r="CN92" s="56">
        <f t="shared" si="425"/>
        <v>11172.647470533968</v>
      </c>
      <c r="CO92" s="56">
        <f t="shared" si="425"/>
        <v>12144.843594987731</v>
      </c>
      <c r="CP92" s="56">
        <f t="shared" si="425"/>
        <v>8958.2947497105415</v>
      </c>
      <c r="CQ92" s="56">
        <f t="shared" si="425"/>
        <v>11697.309792412307</v>
      </c>
      <c r="CR92" s="56">
        <f t="shared" si="425"/>
        <v>11893.467959781992</v>
      </c>
      <c r="CS92" s="56">
        <f t="shared" si="425"/>
        <v>52563.102006655754</v>
      </c>
      <c r="CT92" s="56">
        <f t="shared" si="425"/>
        <v>52540.668262148487</v>
      </c>
      <c r="CU92" s="56">
        <f t="shared" si="425"/>
        <v>11484.653966431093</v>
      </c>
      <c r="CV92" s="56">
        <f t="shared" si="425"/>
        <v>15065.370280502058</v>
      </c>
      <c r="CW92" s="56">
        <f t="shared" ref="CW92:CY92" si="426">CW84+CW91</f>
        <v>14606.380147455038</v>
      </c>
      <c r="CX92" s="56">
        <f t="shared" si="426"/>
        <v>11824.048461489294</v>
      </c>
      <c r="CY92" s="56">
        <f t="shared" si="426"/>
        <v>15425.008814429455</v>
      </c>
    </row>
    <row r="93" spans="1:103" x14ac:dyDescent="0.3">
      <c r="B93" s="1"/>
      <c r="C93" s="1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194"/>
      <c r="AD93" s="58"/>
      <c r="AE93" s="194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194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194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194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194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194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</row>
    <row r="94" spans="1:103" x14ac:dyDescent="0.3">
      <c r="A94" s="30"/>
      <c r="B94" s="66"/>
      <c r="C94" s="66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197"/>
      <c r="AD94" s="67"/>
      <c r="AE94" s="19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19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19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19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19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19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</row>
    <row r="95" spans="1:103" s="5" customFormat="1" x14ac:dyDescent="0.3">
      <c r="A95"/>
      <c r="B95" s="1"/>
      <c r="C95" s="1"/>
      <c r="D95" s="2"/>
      <c r="E95" s="2"/>
      <c r="F95"/>
      <c r="G95" s="2"/>
      <c r="H95" s="2"/>
      <c r="I95" s="2"/>
      <c r="J95" s="2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91"/>
      <c r="AD95"/>
      <c r="AE95" s="191"/>
      <c r="AF95"/>
      <c r="AG95"/>
      <c r="AH95"/>
      <c r="AI95"/>
      <c r="AJ95"/>
      <c r="AK95"/>
      <c r="AL95"/>
      <c r="AM95"/>
      <c r="AN95"/>
      <c r="AO95"/>
      <c r="AP95"/>
      <c r="AQ95" s="191"/>
      <c r="AR95"/>
      <c r="AS95"/>
      <c r="AT95"/>
      <c r="AU95"/>
      <c r="AV95"/>
      <c r="AW95"/>
      <c r="AX95"/>
      <c r="AY95"/>
      <c r="AZ95"/>
      <c r="BA95"/>
      <c r="BB95"/>
      <c r="BC95" s="191"/>
      <c r="BD95"/>
      <c r="BE95"/>
      <c r="BF95"/>
      <c r="BG95"/>
      <c r="BH95"/>
      <c r="BI95"/>
      <c r="BJ95"/>
      <c r="BK95"/>
      <c r="BL95"/>
      <c r="BM95"/>
      <c r="BN95"/>
      <c r="BO95" s="191"/>
      <c r="BP95"/>
      <c r="BQ95"/>
      <c r="BR95"/>
      <c r="BS95"/>
      <c r="BT95"/>
      <c r="BU95"/>
      <c r="BV95"/>
      <c r="BW95"/>
      <c r="BX95"/>
      <c r="BY95"/>
      <c r="BZ95"/>
      <c r="CA95" s="191"/>
      <c r="CB95"/>
      <c r="CC95"/>
      <c r="CD95"/>
      <c r="CE95"/>
      <c r="CF95"/>
      <c r="CG95"/>
      <c r="CH95"/>
      <c r="CI95"/>
      <c r="CJ95"/>
      <c r="CK95"/>
      <c r="CL95"/>
      <c r="CM95" s="191"/>
      <c r="CN95"/>
      <c r="CO95"/>
      <c r="CP95"/>
      <c r="CQ95"/>
      <c r="CR95"/>
      <c r="CS95"/>
      <c r="CT95"/>
      <c r="CU95"/>
      <c r="CV95"/>
      <c r="CW95"/>
      <c r="CX95"/>
      <c r="CY95"/>
    </row>
    <row r="96" spans="1:103" s="64" customFormat="1" x14ac:dyDescent="0.3">
      <c r="A96"/>
      <c r="B96" s="1" t="s">
        <v>12</v>
      </c>
      <c r="C96" s="1"/>
      <c r="D96" s="2"/>
      <c r="E96" s="2"/>
      <c r="F96"/>
      <c r="G96" s="2"/>
      <c r="H96" s="2"/>
      <c r="I96" s="2"/>
      <c r="J96" s="2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91"/>
      <c r="AD96"/>
      <c r="AE96" s="191"/>
      <c r="AF96"/>
      <c r="AG96"/>
      <c r="AH96"/>
      <c r="AI96"/>
      <c r="AJ96"/>
      <c r="AK96"/>
      <c r="AL96"/>
      <c r="AM96"/>
      <c r="AN96"/>
      <c r="AO96"/>
      <c r="AP96"/>
      <c r="AQ96" s="191"/>
      <c r="AR96"/>
      <c r="AS96"/>
      <c r="AT96"/>
      <c r="AU96"/>
      <c r="AV96"/>
      <c r="AW96"/>
      <c r="AX96"/>
      <c r="AY96"/>
      <c r="AZ96"/>
      <c r="BA96"/>
      <c r="BB96"/>
      <c r="BC96" s="191"/>
      <c r="BD96"/>
      <c r="BE96"/>
      <c r="BF96"/>
      <c r="BG96"/>
      <c r="BH96"/>
      <c r="BI96"/>
      <c r="BJ96"/>
      <c r="BK96"/>
      <c r="BL96"/>
      <c r="BM96"/>
      <c r="BN96"/>
      <c r="BO96" s="191"/>
      <c r="BP96"/>
      <c r="BQ96"/>
      <c r="BR96"/>
      <c r="BS96"/>
      <c r="BT96"/>
      <c r="BU96"/>
      <c r="BV96"/>
      <c r="BW96"/>
      <c r="BX96"/>
      <c r="BY96"/>
      <c r="BZ96"/>
      <c r="CA96" s="191"/>
      <c r="CB96"/>
      <c r="CC96"/>
      <c r="CD96"/>
      <c r="CE96"/>
      <c r="CF96"/>
      <c r="CG96"/>
      <c r="CH96"/>
      <c r="CI96"/>
      <c r="CJ96"/>
      <c r="CK96"/>
      <c r="CL96"/>
      <c r="CM96" s="191"/>
      <c r="CN96"/>
      <c r="CO96"/>
      <c r="CP96"/>
      <c r="CQ96"/>
      <c r="CR96"/>
      <c r="CS96"/>
      <c r="CT96"/>
      <c r="CU96"/>
      <c r="CV96"/>
      <c r="CW96"/>
      <c r="CX96"/>
      <c r="CY96"/>
    </row>
    <row r="97" spans="1:103" x14ac:dyDescent="0.3">
      <c r="B97" s="1" t="s">
        <v>13</v>
      </c>
      <c r="C97" s="1"/>
      <c r="D97" s="2"/>
      <c r="E97" s="2"/>
      <c r="G97" s="2"/>
      <c r="H97" s="2"/>
      <c r="I97" s="2"/>
      <c r="J97" s="2"/>
      <c r="AC97" s="191"/>
      <c r="AE97" s="191"/>
    </row>
    <row r="98" spans="1:103" x14ac:dyDescent="0.3">
      <c r="B98" s="1" t="s">
        <v>14</v>
      </c>
      <c r="C98" s="1"/>
      <c r="D98" s="2"/>
      <c r="E98" s="2"/>
      <c r="G98" s="2"/>
      <c r="H98" s="2"/>
      <c r="I98" s="2"/>
      <c r="J98" s="2"/>
      <c r="AC98" s="191"/>
      <c r="AE98" s="191"/>
    </row>
    <row r="99" spans="1:103" s="3" customFormat="1" x14ac:dyDescent="0.3">
      <c r="A99"/>
      <c r="B99" s="1" t="s">
        <v>289</v>
      </c>
      <c r="C99" s="1"/>
      <c r="D99" s="113"/>
      <c r="E99" s="115">
        <v>0</v>
      </c>
      <c r="F99">
        <v>0</v>
      </c>
      <c r="G99">
        <v>0</v>
      </c>
      <c r="H99" s="115">
        <v>0</v>
      </c>
      <c r="I99" s="115">
        <v>0</v>
      </c>
      <c r="J99" s="115">
        <v>0</v>
      </c>
      <c r="K99" s="115">
        <v>0</v>
      </c>
      <c r="L99" s="115">
        <v>0</v>
      </c>
      <c r="M99" s="115">
        <v>0</v>
      </c>
      <c r="N99" s="115">
        <v>0</v>
      </c>
      <c r="O99" s="115">
        <v>0</v>
      </c>
      <c r="P99" s="115"/>
      <c r="Q99" s="115"/>
      <c r="R99" s="115"/>
      <c r="S99" s="115"/>
      <c r="T99" s="115"/>
      <c r="U99" s="115">
        <v>1278.3900000000001</v>
      </c>
      <c r="V99" s="115">
        <v>-222.65</v>
      </c>
      <c r="W99" s="115">
        <v>551.46</v>
      </c>
      <c r="X99" s="115">
        <v>307.57</v>
      </c>
      <c r="Y99" s="115">
        <v>1460.56</v>
      </c>
      <c r="Z99" s="115">
        <v>2286.3000000000002</v>
      </c>
      <c r="AA99" s="115">
        <v>10.72</v>
      </c>
      <c r="AB99" s="115">
        <v>120.46</v>
      </c>
      <c r="AC99" s="192">
        <v>601.62</v>
      </c>
      <c r="AD99" s="9">
        <f t="shared" ref="AD99:BD99" si="427">+AC99+AD146</f>
        <v>132.26968705600206</v>
      </c>
      <c r="AE99" s="192">
        <f t="shared" si="427"/>
        <v>1008.1152355487498</v>
      </c>
      <c r="AF99" s="115">
        <f t="shared" si="427"/>
        <v>2136.804216957486</v>
      </c>
      <c r="AG99" s="115">
        <f t="shared" si="427"/>
        <v>3496.9836835549645</v>
      </c>
      <c r="AH99" s="115">
        <f t="shared" si="427"/>
        <v>4597.368013338446</v>
      </c>
      <c r="AI99" s="115">
        <f t="shared" si="427"/>
        <v>5326.9545439827489</v>
      </c>
      <c r="AJ99" s="115">
        <f t="shared" si="427"/>
        <v>6861.8439336089605</v>
      </c>
      <c r="AK99" s="115">
        <f t="shared" si="427"/>
        <v>10996.926964798498</v>
      </c>
      <c r="AL99" s="115">
        <f t="shared" si="427"/>
        <v>16271.95627041232</v>
      </c>
      <c r="AM99" s="115">
        <f t="shared" si="427"/>
        <v>18920.700746514325</v>
      </c>
      <c r="AN99" s="115">
        <f t="shared" si="427"/>
        <v>20738.807472942914</v>
      </c>
      <c r="AO99" s="115">
        <f t="shared" si="427"/>
        <v>22527.694322138756</v>
      </c>
      <c r="AP99" s="115">
        <f t="shared" si="427"/>
        <v>24128.210700147149</v>
      </c>
      <c r="AQ99" s="192">
        <f t="shared" si="427"/>
        <v>25926.607225018073</v>
      </c>
      <c r="AR99" s="115">
        <f t="shared" si="427"/>
        <v>27028.604301144282</v>
      </c>
      <c r="AS99" s="115">
        <f t="shared" si="427"/>
        <v>28253.894487844202</v>
      </c>
      <c r="AT99" s="115">
        <f t="shared" si="427"/>
        <v>29125.965652406161</v>
      </c>
      <c r="AU99" s="115">
        <f t="shared" si="427"/>
        <v>30123.92863004687</v>
      </c>
      <c r="AV99" s="115">
        <f t="shared" si="427"/>
        <v>31364.304707596861</v>
      </c>
      <c r="AW99" s="115">
        <f t="shared" si="427"/>
        <v>35741.24087320501</v>
      </c>
      <c r="AX99" s="115">
        <f t="shared" si="427"/>
        <v>41569.839931974973</v>
      </c>
      <c r="AY99" s="115">
        <f t="shared" si="427"/>
        <v>44159.376203324602</v>
      </c>
      <c r="AZ99" s="115">
        <f t="shared" si="427"/>
        <v>45675.440608070385</v>
      </c>
      <c r="BA99" s="115">
        <f t="shared" si="427"/>
        <v>47192.722790857515</v>
      </c>
      <c r="BB99" s="115">
        <f t="shared" si="427"/>
        <v>48541.222934870719</v>
      </c>
      <c r="BC99" s="192">
        <f t="shared" si="427"/>
        <v>49949.286083371968</v>
      </c>
      <c r="BD99" s="115">
        <f t="shared" si="427"/>
        <v>51538.165140846002</v>
      </c>
      <c r="BE99" s="115">
        <f t="shared" ref="BE99:CJ99" si="428">+BD99+BE146</f>
        <v>53251.189013613053</v>
      </c>
      <c r="BF99" s="115">
        <f t="shared" si="428"/>
        <v>54623.190865793797</v>
      </c>
      <c r="BG99" s="115">
        <f t="shared" si="428"/>
        <v>56090.776339024007</v>
      </c>
      <c r="BH99" s="115">
        <f t="shared" si="428"/>
        <v>57845.343271541089</v>
      </c>
      <c r="BI99" s="115">
        <f t="shared" si="428"/>
        <v>63134.088285201258</v>
      </c>
      <c r="BJ99" s="115">
        <f t="shared" si="428"/>
        <v>70392.303949015361</v>
      </c>
      <c r="BK99" s="115">
        <f t="shared" si="428"/>
        <v>73343.013985570375</v>
      </c>
      <c r="BL99" s="115">
        <f t="shared" si="428"/>
        <v>74974.500060139777</v>
      </c>
      <c r="BM99" s="115">
        <f t="shared" si="428"/>
        <v>76654.002512663603</v>
      </c>
      <c r="BN99" s="115">
        <f t="shared" si="428"/>
        <v>78034.450191381999</v>
      </c>
      <c r="BO99" s="192">
        <f t="shared" si="428"/>
        <v>79530.247221077065</v>
      </c>
      <c r="BP99" s="115">
        <f t="shared" si="428"/>
        <v>81277.244345344501</v>
      </c>
      <c r="BQ99" s="115">
        <f t="shared" si="428"/>
        <v>83101.408121758941</v>
      </c>
      <c r="BR99" s="115">
        <f t="shared" si="428"/>
        <v>84531.027543895776</v>
      </c>
      <c r="BS99" s="115">
        <f t="shared" si="428"/>
        <v>86191.72973536927</v>
      </c>
      <c r="BT99" s="115">
        <f t="shared" si="428"/>
        <v>88019.425483263869</v>
      </c>
      <c r="BU99" s="115">
        <f t="shared" si="428"/>
        <v>94969.927350299462</v>
      </c>
      <c r="BV99" s="115">
        <f t="shared" si="428"/>
        <v>104594.1569996227</v>
      </c>
      <c r="BW99" s="115">
        <f t="shared" si="428"/>
        <v>108516.64152354524</v>
      </c>
      <c r="BX99" s="115">
        <f t="shared" si="428"/>
        <v>110902.30382048745</v>
      </c>
      <c r="BY99" s="115">
        <f t="shared" si="428"/>
        <v>113277.80968949317</v>
      </c>
      <c r="BZ99" s="115">
        <f t="shared" si="428"/>
        <v>115308.9622123572</v>
      </c>
      <c r="CA99" s="192">
        <f t="shared" si="428"/>
        <v>117576.3375264248</v>
      </c>
      <c r="CB99" s="115">
        <f t="shared" si="428"/>
        <v>119944.67285688188</v>
      </c>
      <c r="CC99" s="115">
        <f t="shared" si="428"/>
        <v>122589.71794882353</v>
      </c>
      <c r="CD99" s="115">
        <f t="shared" si="428"/>
        <v>124721.52365127842</v>
      </c>
      <c r="CE99" s="115">
        <f t="shared" si="428"/>
        <v>127049.67882284493</v>
      </c>
      <c r="CF99" s="115">
        <f t="shared" si="428"/>
        <v>129618.32297848546</v>
      </c>
      <c r="CG99" s="115">
        <f t="shared" si="428"/>
        <v>138852.69217876994</v>
      </c>
      <c r="CH99" s="115">
        <f t="shared" si="428"/>
        <v>151075.36747987286</v>
      </c>
      <c r="CI99" s="115">
        <f t="shared" si="428"/>
        <v>156305.97956346319</v>
      </c>
      <c r="CJ99" s="115">
        <f t="shared" si="428"/>
        <v>159662.60212861505</v>
      </c>
      <c r="CK99" s="115">
        <f t="shared" ref="CK99:CY99" si="429">+CJ99+CK146</f>
        <v>162870.60439237716</v>
      </c>
      <c r="CL99" s="115">
        <f t="shared" si="429"/>
        <v>165703.03433305409</v>
      </c>
      <c r="CM99" s="192">
        <f t="shared" si="429"/>
        <v>168853.60692592233</v>
      </c>
      <c r="CN99" s="115">
        <f t="shared" si="429"/>
        <v>172170.048469851</v>
      </c>
      <c r="CO99" s="115">
        <f t="shared" si="429"/>
        <v>175813.81240703189</v>
      </c>
      <c r="CP99" s="115">
        <f t="shared" si="429"/>
        <v>178834.18212557284</v>
      </c>
      <c r="CQ99" s="115">
        <f t="shared" si="429"/>
        <v>181988.77683582919</v>
      </c>
      <c r="CR99" s="115">
        <f t="shared" si="429"/>
        <v>185526.91719512446</v>
      </c>
      <c r="CS99" s="115">
        <f t="shared" si="429"/>
        <v>197757.75058370846</v>
      </c>
      <c r="CT99" s="115">
        <f t="shared" si="429"/>
        <v>213272.8341097066</v>
      </c>
      <c r="CU99" s="115">
        <f t="shared" si="429"/>
        <v>220317.26981842017</v>
      </c>
      <c r="CV99" s="115">
        <f t="shared" si="429"/>
        <v>224776.43361726854</v>
      </c>
      <c r="CW99" s="115">
        <f t="shared" si="429"/>
        <v>229145.08041080687</v>
      </c>
      <c r="CX99" s="115">
        <f t="shared" si="429"/>
        <v>233090.14008164467</v>
      </c>
      <c r="CY99" s="115">
        <f t="shared" si="429"/>
        <v>237283.40273755806</v>
      </c>
    </row>
    <row r="100" spans="1:103" x14ac:dyDescent="0.3">
      <c r="B100" s="1"/>
      <c r="C100" s="1"/>
      <c r="D100" s="113"/>
      <c r="E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92"/>
      <c r="AD100" s="164"/>
      <c r="AE100" s="192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92"/>
      <c r="AR100" s="115"/>
      <c r="AS100" s="115"/>
      <c r="AT100" s="115"/>
      <c r="AU100" s="115"/>
      <c r="AV100" s="115"/>
      <c r="AW100" s="115"/>
      <c r="AX100" s="115"/>
      <c r="AY100" s="115"/>
      <c r="AZ100" s="115"/>
      <c r="BA100" s="115"/>
      <c r="BB100" s="115"/>
      <c r="BC100" s="192"/>
      <c r="BD100" s="115"/>
      <c r="BE100" s="115"/>
      <c r="BF100" s="115"/>
      <c r="BG100" s="115"/>
      <c r="BH100" s="115"/>
      <c r="BI100" s="115"/>
      <c r="BJ100" s="115"/>
      <c r="BK100" s="115"/>
      <c r="BL100" s="115"/>
      <c r="BM100" s="115"/>
      <c r="BN100" s="115"/>
      <c r="BO100" s="192"/>
      <c r="BP100" s="115"/>
      <c r="BQ100" s="115"/>
      <c r="BR100" s="115"/>
      <c r="BS100" s="115"/>
      <c r="BT100" s="115"/>
      <c r="BU100" s="115"/>
      <c r="BV100" s="115"/>
      <c r="BW100" s="115"/>
      <c r="BX100" s="115"/>
      <c r="BY100" s="115"/>
      <c r="BZ100" s="115"/>
      <c r="CA100" s="192"/>
      <c r="CB100" s="115"/>
      <c r="CC100" s="115"/>
      <c r="CD100" s="115"/>
      <c r="CE100" s="115"/>
      <c r="CF100" s="115"/>
      <c r="CG100" s="115"/>
      <c r="CH100" s="115"/>
      <c r="CI100" s="115"/>
      <c r="CJ100" s="115"/>
      <c r="CK100" s="115"/>
      <c r="CL100" s="115"/>
      <c r="CM100" s="192"/>
      <c r="CN100" s="115"/>
      <c r="CO100" s="115"/>
      <c r="CP100" s="115"/>
      <c r="CQ100" s="115"/>
      <c r="CR100" s="115"/>
      <c r="CS100" s="115"/>
      <c r="CT100" s="115"/>
      <c r="CU100" s="115"/>
      <c r="CV100" s="115"/>
      <c r="CW100" s="115"/>
      <c r="CX100" s="115"/>
      <c r="CY100" s="115"/>
    </row>
    <row r="101" spans="1:103" x14ac:dyDescent="0.3">
      <c r="B101" s="1"/>
      <c r="C101" s="1"/>
      <c r="D101" s="113"/>
      <c r="E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92"/>
      <c r="AD101" s="164"/>
      <c r="AE101" s="192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P101" s="115"/>
      <c r="AQ101" s="192"/>
      <c r="AR101" s="115"/>
      <c r="AS101" s="115"/>
      <c r="AT101" s="115"/>
      <c r="AU101" s="115"/>
      <c r="AV101" s="115"/>
      <c r="AW101" s="115"/>
      <c r="AX101" s="115"/>
      <c r="AY101" s="115"/>
      <c r="AZ101" s="115"/>
      <c r="BA101" s="115"/>
      <c r="BB101" s="115"/>
      <c r="BC101" s="192"/>
      <c r="BD101" s="115"/>
      <c r="BE101" s="115"/>
      <c r="BF101" s="115"/>
      <c r="BG101" s="115"/>
      <c r="BH101" s="115"/>
      <c r="BI101" s="115"/>
      <c r="BJ101" s="115"/>
      <c r="BK101" s="115"/>
      <c r="BL101" s="115"/>
      <c r="BM101" s="115"/>
      <c r="BN101" s="115"/>
      <c r="BO101" s="192"/>
      <c r="BP101" s="115"/>
      <c r="BQ101" s="115"/>
      <c r="BR101" s="115"/>
      <c r="BS101" s="115"/>
      <c r="BT101" s="115"/>
      <c r="BU101" s="115"/>
      <c r="BV101" s="115"/>
      <c r="BW101" s="115"/>
      <c r="BX101" s="115"/>
      <c r="BY101" s="115"/>
      <c r="BZ101" s="115"/>
      <c r="CA101" s="192"/>
      <c r="CB101" s="115"/>
      <c r="CC101" s="115"/>
      <c r="CD101" s="115"/>
      <c r="CE101" s="115"/>
      <c r="CF101" s="115"/>
      <c r="CG101" s="115"/>
      <c r="CH101" s="115"/>
      <c r="CI101" s="115"/>
      <c r="CJ101" s="115"/>
      <c r="CK101" s="115"/>
      <c r="CL101" s="115"/>
      <c r="CM101" s="192"/>
      <c r="CN101" s="115"/>
      <c r="CO101" s="115"/>
      <c r="CP101" s="115"/>
      <c r="CQ101" s="115"/>
      <c r="CR101" s="115"/>
      <c r="CS101" s="115"/>
      <c r="CT101" s="115"/>
      <c r="CU101" s="115"/>
      <c r="CV101" s="115"/>
      <c r="CW101" s="115"/>
      <c r="CX101" s="115"/>
      <c r="CY101" s="115"/>
    </row>
    <row r="102" spans="1:103" x14ac:dyDescent="0.3">
      <c r="B102" s="1"/>
      <c r="C102" s="1"/>
      <c r="D102" s="113"/>
      <c r="E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92"/>
      <c r="AD102" s="9"/>
      <c r="AE102" s="192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92"/>
      <c r="AR102" s="115"/>
      <c r="AS102" s="115"/>
      <c r="AT102" s="115"/>
      <c r="AU102" s="115"/>
      <c r="AV102" s="115"/>
      <c r="AW102" s="115"/>
      <c r="AX102" s="115"/>
      <c r="AY102" s="115"/>
      <c r="AZ102" s="115"/>
      <c r="BA102" s="115"/>
      <c r="BB102" s="115"/>
      <c r="BC102" s="192"/>
      <c r="BD102" s="115"/>
      <c r="BE102" s="115"/>
      <c r="BF102" s="115"/>
      <c r="BG102" s="115"/>
      <c r="BH102" s="115"/>
      <c r="BI102" s="115"/>
      <c r="BJ102" s="115"/>
      <c r="BK102" s="115"/>
      <c r="BL102" s="115"/>
      <c r="BM102" s="115"/>
      <c r="BN102" s="115"/>
      <c r="BO102" s="192"/>
      <c r="BP102" s="115"/>
      <c r="BQ102" s="115"/>
      <c r="BR102" s="115"/>
      <c r="BS102" s="115"/>
      <c r="BT102" s="115"/>
      <c r="BU102" s="115"/>
      <c r="BV102" s="115"/>
      <c r="BW102" s="115"/>
      <c r="BX102" s="115"/>
      <c r="BY102" s="115"/>
      <c r="BZ102" s="115"/>
      <c r="CA102" s="192"/>
      <c r="CB102" s="115"/>
      <c r="CC102" s="115"/>
      <c r="CD102" s="115"/>
      <c r="CE102" s="115"/>
      <c r="CF102" s="115"/>
      <c r="CG102" s="115"/>
      <c r="CH102" s="115"/>
      <c r="CI102" s="115"/>
      <c r="CJ102" s="115"/>
      <c r="CK102" s="115"/>
      <c r="CL102" s="115"/>
      <c r="CM102" s="192"/>
      <c r="CN102" s="115"/>
      <c r="CO102" s="115"/>
      <c r="CP102" s="115"/>
      <c r="CQ102" s="115"/>
      <c r="CR102" s="115"/>
      <c r="CS102" s="115"/>
      <c r="CT102" s="115"/>
      <c r="CU102" s="115"/>
      <c r="CV102" s="115"/>
      <c r="CW102" s="115"/>
      <c r="CX102" s="115"/>
      <c r="CY102" s="115"/>
    </row>
    <row r="103" spans="1:103" x14ac:dyDescent="0.3">
      <c r="A103" s="3"/>
      <c r="B103" s="4" t="s">
        <v>15</v>
      </c>
      <c r="C103" s="4"/>
      <c r="D103" s="56"/>
      <c r="E103" s="56">
        <f t="shared" ref="E103:O103" si="430">SUM(E99:E101)</f>
        <v>0</v>
      </c>
      <c r="F103" s="56">
        <f t="shared" si="430"/>
        <v>0</v>
      </c>
      <c r="G103" s="56">
        <f t="shared" si="430"/>
        <v>0</v>
      </c>
      <c r="H103" s="56">
        <f t="shared" si="430"/>
        <v>0</v>
      </c>
      <c r="I103" s="56">
        <f t="shared" si="430"/>
        <v>0</v>
      </c>
      <c r="J103" s="56">
        <f t="shared" si="430"/>
        <v>0</v>
      </c>
      <c r="K103" s="56">
        <f t="shared" si="430"/>
        <v>0</v>
      </c>
      <c r="L103" s="56">
        <f t="shared" si="430"/>
        <v>0</v>
      </c>
      <c r="M103" s="56">
        <f t="shared" si="430"/>
        <v>0</v>
      </c>
      <c r="N103" s="56">
        <f t="shared" si="430"/>
        <v>0</v>
      </c>
      <c r="O103" s="56">
        <f t="shared" si="430"/>
        <v>0</v>
      </c>
      <c r="P103" s="56">
        <f>SUM(P99:P102)</f>
        <v>0</v>
      </c>
      <c r="Q103" s="56">
        <f t="shared" ref="Q103:U103" si="431">SUM(Q99:Q102)</f>
        <v>0</v>
      </c>
      <c r="R103" s="56">
        <f t="shared" si="431"/>
        <v>0</v>
      </c>
      <c r="S103" s="56">
        <f t="shared" si="431"/>
        <v>0</v>
      </c>
      <c r="T103" s="56">
        <f t="shared" si="431"/>
        <v>0</v>
      </c>
      <c r="U103" s="56">
        <f t="shared" si="431"/>
        <v>1278.3900000000001</v>
      </c>
      <c r="V103" s="56">
        <f t="shared" ref="V103:W103" si="432">SUM(V99:V102)</f>
        <v>-222.65</v>
      </c>
      <c r="W103" s="56">
        <f t="shared" si="432"/>
        <v>551.46</v>
      </c>
      <c r="X103" s="56">
        <f t="shared" ref="X103:Y103" si="433">SUM(X99:X102)</f>
        <v>307.57</v>
      </c>
      <c r="Y103" s="56">
        <f t="shared" si="433"/>
        <v>1460.56</v>
      </c>
      <c r="Z103" s="56">
        <f t="shared" ref="Z103:AA103" si="434">SUM(Z99:Z102)</f>
        <v>2286.3000000000002</v>
      </c>
      <c r="AA103" s="56">
        <f t="shared" si="434"/>
        <v>10.72</v>
      </c>
      <c r="AB103" s="56">
        <f t="shared" ref="AB103:AC103" si="435">SUM(AB99:AB102)</f>
        <v>120.46</v>
      </c>
      <c r="AC103" s="193">
        <f t="shared" si="435"/>
        <v>601.62</v>
      </c>
      <c r="AD103" s="56">
        <f t="shared" ref="AD103" si="436">SUM(AD99:AD102)</f>
        <v>132.26968705600206</v>
      </c>
      <c r="AE103" s="193">
        <f t="shared" ref="AE103" si="437">SUM(AE99:AE102)</f>
        <v>1008.1152355487498</v>
      </c>
      <c r="AF103" s="56">
        <f t="shared" ref="AF103" si="438">SUM(AF99:AF102)</f>
        <v>2136.804216957486</v>
      </c>
      <c r="AG103" s="56">
        <f t="shared" ref="AG103" si="439">SUM(AG99:AG102)</f>
        <v>3496.9836835549645</v>
      </c>
      <c r="AH103" s="56">
        <f t="shared" ref="AH103" si="440">SUM(AH99:AH102)</f>
        <v>4597.368013338446</v>
      </c>
      <c r="AI103" s="56">
        <f t="shared" ref="AI103" si="441">SUM(AI99:AI102)</f>
        <v>5326.9545439827489</v>
      </c>
      <c r="AJ103" s="56">
        <f t="shared" ref="AJ103" si="442">SUM(AJ99:AJ102)</f>
        <v>6861.8439336089605</v>
      </c>
      <c r="AK103" s="56">
        <f t="shared" ref="AK103" si="443">SUM(AK99:AK102)</f>
        <v>10996.926964798498</v>
      </c>
      <c r="AL103" s="56">
        <f t="shared" ref="AL103" si="444">SUM(AL99:AL102)</f>
        <v>16271.95627041232</v>
      </c>
      <c r="AM103" s="56">
        <f t="shared" ref="AM103" si="445">SUM(AM99:AM102)</f>
        <v>18920.700746514325</v>
      </c>
      <c r="AN103" s="56">
        <f t="shared" ref="AN103" si="446">SUM(AN99:AN102)</f>
        <v>20738.807472942914</v>
      </c>
      <c r="AO103" s="56">
        <f t="shared" ref="AO103" si="447">SUM(AO99:AO102)</f>
        <v>22527.694322138756</v>
      </c>
      <c r="AP103" s="56">
        <f t="shared" ref="AP103" si="448">SUM(AP99:AP102)</f>
        <v>24128.210700147149</v>
      </c>
      <c r="AQ103" s="193">
        <f t="shared" ref="AQ103" si="449">SUM(AQ99:AQ102)</f>
        <v>25926.607225018073</v>
      </c>
      <c r="AR103" s="56">
        <f t="shared" ref="AR103" si="450">SUM(AR99:AR102)</f>
        <v>27028.604301144282</v>
      </c>
      <c r="AS103" s="56">
        <f t="shared" ref="AS103" si="451">SUM(AS99:AS102)</f>
        <v>28253.894487844202</v>
      </c>
      <c r="AT103" s="56">
        <f t="shared" ref="AT103" si="452">SUM(AT99:AT102)</f>
        <v>29125.965652406161</v>
      </c>
      <c r="AU103" s="56">
        <f t="shared" ref="AU103" si="453">SUM(AU99:AU102)</f>
        <v>30123.92863004687</v>
      </c>
      <c r="AV103" s="56">
        <f t="shared" ref="AV103" si="454">SUM(AV99:AV102)</f>
        <v>31364.304707596861</v>
      </c>
      <c r="AW103" s="56">
        <f t="shared" ref="AW103" si="455">SUM(AW99:AW102)</f>
        <v>35741.24087320501</v>
      </c>
      <c r="AX103" s="56">
        <f t="shared" ref="AX103" si="456">SUM(AX99:AX102)</f>
        <v>41569.839931974973</v>
      </c>
      <c r="AY103" s="56">
        <f t="shared" ref="AY103" si="457">SUM(AY99:AY102)</f>
        <v>44159.376203324602</v>
      </c>
      <c r="AZ103" s="56">
        <f t="shared" ref="AZ103" si="458">SUM(AZ99:AZ102)</f>
        <v>45675.440608070385</v>
      </c>
      <c r="BA103" s="56">
        <f t="shared" ref="BA103" si="459">SUM(BA99:BA102)</f>
        <v>47192.722790857515</v>
      </c>
      <c r="BB103" s="56">
        <f t="shared" ref="BB103" si="460">SUM(BB99:BB102)</f>
        <v>48541.222934870719</v>
      </c>
      <c r="BC103" s="193">
        <f t="shared" ref="BC103" si="461">SUM(BC99:BC102)</f>
        <v>49949.286083371968</v>
      </c>
      <c r="BD103" s="56">
        <f t="shared" ref="BD103" si="462">SUM(BD99:BD102)</f>
        <v>51538.165140846002</v>
      </c>
      <c r="BE103" s="56">
        <f t="shared" ref="BE103" si="463">SUM(BE99:BE102)</f>
        <v>53251.189013613053</v>
      </c>
      <c r="BF103" s="56">
        <f t="shared" ref="BF103" si="464">SUM(BF99:BF102)</f>
        <v>54623.190865793797</v>
      </c>
      <c r="BG103" s="56">
        <f t="shared" ref="BG103" si="465">SUM(BG99:BG102)</f>
        <v>56090.776339024007</v>
      </c>
      <c r="BH103" s="56">
        <f t="shared" ref="BH103" si="466">SUM(BH99:BH102)</f>
        <v>57845.343271541089</v>
      </c>
      <c r="BI103" s="56">
        <f t="shared" ref="BI103" si="467">SUM(BI99:BI102)</f>
        <v>63134.088285201258</v>
      </c>
      <c r="BJ103" s="56">
        <f t="shared" ref="BJ103" si="468">SUM(BJ99:BJ102)</f>
        <v>70392.303949015361</v>
      </c>
      <c r="BK103" s="56">
        <f t="shared" ref="BK103" si="469">SUM(BK99:BK102)</f>
        <v>73343.013985570375</v>
      </c>
      <c r="BL103" s="56">
        <f t="shared" ref="BL103" si="470">SUM(BL99:BL102)</f>
        <v>74974.500060139777</v>
      </c>
      <c r="BM103" s="56">
        <f t="shared" ref="BM103" si="471">SUM(BM99:BM102)</f>
        <v>76654.002512663603</v>
      </c>
      <c r="BN103" s="56">
        <f t="shared" ref="BN103" si="472">SUM(BN99:BN102)</f>
        <v>78034.450191381999</v>
      </c>
      <c r="BO103" s="193">
        <f t="shared" ref="BO103" si="473">SUM(BO99:BO102)</f>
        <v>79530.247221077065</v>
      </c>
      <c r="BP103" s="56">
        <f t="shared" ref="BP103" si="474">SUM(BP99:BP102)</f>
        <v>81277.244345344501</v>
      </c>
      <c r="BQ103" s="56">
        <f t="shared" ref="BQ103" si="475">SUM(BQ99:BQ102)</f>
        <v>83101.408121758941</v>
      </c>
      <c r="BR103" s="56">
        <f t="shared" ref="BR103" si="476">SUM(BR99:BR102)</f>
        <v>84531.027543895776</v>
      </c>
      <c r="BS103" s="56">
        <f t="shared" ref="BS103" si="477">SUM(BS99:BS102)</f>
        <v>86191.72973536927</v>
      </c>
      <c r="BT103" s="56">
        <f t="shared" ref="BT103" si="478">SUM(BT99:BT102)</f>
        <v>88019.425483263869</v>
      </c>
      <c r="BU103" s="56">
        <f t="shared" ref="BU103" si="479">SUM(BU99:BU102)</f>
        <v>94969.927350299462</v>
      </c>
      <c r="BV103" s="56">
        <f t="shared" ref="BV103" si="480">SUM(BV99:BV102)</f>
        <v>104594.1569996227</v>
      </c>
      <c r="BW103" s="56">
        <f t="shared" ref="BW103" si="481">SUM(BW99:BW102)</f>
        <v>108516.64152354524</v>
      </c>
      <c r="BX103" s="56">
        <f t="shared" ref="BX103" si="482">SUM(BX99:BX102)</f>
        <v>110902.30382048745</v>
      </c>
      <c r="BY103" s="56">
        <f t="shared" ref="BY103" si="483">SUM(BY99:BY102)</f>
        <v>113277.80968949317</v>
      </c>
      <c r="BZ103" s="56">
        <f t="shared" ref="BZ103" si="484">SUM(BZ99:BZ102)</f>
        <v>115308.9622123572</v>
      </c>
      <c r="CA103" s="193">
        <f t="shared" ref="CA103" si="485">SUM(CA99:CA102)</f>
        <v>117576.3375264248</v>
      </c>
      <c r="CB103" s="56">
        <f t="shared" ref="CB103" si="486">SUM(CB99:CB102)</f>
        <v>119944.67285688188</v>
      </c>
      <c r="CC103" s="56">
        <f t="shared" ref="CC103" si="487">SUM(CC99:CC102)</f>
        <v>122589.71794882353</v>
      </c>
      <c r="CD103" s="56">
        <f t="shared" ref="CD103" si="488">SUM(CD99:CD102)</f>
        <v>124721.52365127842</v>
      </c>
      <c r="CE103" s="56">
        <f t="shared" ref="CE103" si="489">SUM(CE99:CE102)</f>
        <v>127049.67882284493</v>
      </c>
      <c r="CF103" s="56">
        <f t="shared" ref="CF103" si="490">SUM(CF99:CF102)</f>
        <v>129618.32297848546</v>
      </c>
      <c r="CG103" s="56">
        <f t="shared" ref="CG103" si="491">SUM(CG99:CG102)</f>
        <v>138852.69217876994</v>
      </c>
      <c r="CH103" s="56">
        <f t="shared" ref="CH103" si="492">SUM(CH99:CH102)</f>
        <v>151075.36747987286</v>
      </c>
      <c r="CI103" s="56">
        <f t="shared" ref="CI103" si="493">SUM(CI99:CI102)</f>
        <v>156305.97956346319</v>
      </c>
      <c r="CJ103" s="56">
        <f t="shared" ref="CJ103" si="494">SUM(CJ99:CJ102)</f>
        <v>159662.60212861505</v>
      </c>
      <c r="CK103" s="56">
        <f t="shared" ref="CK103" si="495">SUM(CK99:CK102)</f>
        <v>162870.60439237716</v>
      </c>
      <c r="CL103" s="56">
        <f t="shared" ref="CL103" si="496">SUM(CL99:CL102)</f>
        <v>165703.03433305409</v>
      </c>
      <c r="CM103" s="193">
        <f t="shared" ref="CM103" si="497">SUM(CM99:CM102)</f>
        <v>168853.60692592233</v>
      </c>
      <c r="CN103" s="56">
        <f t="shared" ref="CN103" si="498">SUM(CN99:CN102)</f>
        <v>172170.048469851</v>
      </c>
      <c r="CO103" s="56">
        <f t="shared" ref="CO103" si="499">SUM(CO99:CO102)</f>
        <v>175813.81240703189</v>
      </c>
      <c r="CP103" s="56">
        <f t="shared" ref="CP103" si="500">SUM(CP99:CP102)</f>
        <v>178834.18212557284</v>
      </c>
      <c r="CQ103" s="56">
        <f t="shared" ref="CQ103" si="501">SUM(CQ99:CQ102)</f>
        <v>181988.77683582919</v>
      </c>
      <c r="CR103" s="56">
        <f t="shared" ref="CR103" si="502">SUM(CR99:CR102)</f>
        <v>185526.91719512446</v>
      </c>
      <c r="CS103" s="56">
        <f t="shared" ref="CS103" si="503">SUM(CS99:CS102)</f>
        <v>197757.75058370846</v>
      </c>
      <c r="CT103" s="56">
        <f t="shared" ref="CT103" si="504">SUM(CT99:CT102)</f>
        <v>213272.8341097066</v>
      </c>
      <c r="CU103" s="56">
        <f t="shared" ref="CU103" si="505">SUM(CU99:CU102)</f>
        <v>220317.26981842017</v>
      </c>
      <c r="CV103" s="56">
        <f t="shared" ref="CV103" si="506">SUM(CV99:CV102)</f>
        <v>224776.43361726854</v>
      </c>
      <c r="CW103" s="56">
        <f t="shared" ref="CW103" si="507">SUM(CW99:CW102)</f>
        <v>229145.08041080687</v>
      </c>
      <c r="CX103" s="56">
        <f t="shared" ref="CX103" si="508">SUM(CX99:CX102)</f>
        <v>233090.14008164467</v>
      </c>
      <c r="CY103" s="56">
        <f t="shared" ref="CY103" si="509">SUM(CY99:CY102)</f>
        <v>237283.40273755806</v>
      </c>
    </row>
    <row r="104" spans="1:103" s="409" customFormat="1" x14ac:dyDescent="0.3">
      <c r="B104" s="410"/>
      <c r="C104" s="410" t="s">
        <v>255</v>
      </c>
      <c r="D104" s="411"/>
      <c r="E104" s="411"/>
      <c r="F104" s="411"/>
      <c r="G104" s="411"/>
      <c r="H104" s="411"/>
      <c r="I104" s="411"/>
      <c r="J104" s="411"/>
      <c r="K104" s="411"/>
      <c r="L104" s="411"/>
      <c r="M104" s="411"/>
      <c r="N104" s="411"/>
      <c r="O104" s="411"/>
      <c r="P104" s="411">
        <f>+SUM(P99:P100)</f>
        <v>0</v>
      </c>
      <c r="Q104" s="411">
        <f>+SUM(Q99:Q100)</f>
        <v>0</v>
      </c>
      <c r="R104" s="411">
        <f>+SUM(R99:R100)</f>
        <v>0</v>
      </c>
      <c r="S104" s="411">
        <f>+SUM(S99:S100)</f>
        <v>0</v>
      </c>
      <c r="T104" s="411">
        <f>+SUM(T99:T100)*0.3</f>
        <v>0</v>
      </c>
      <c r="U104" s="411">
        <f t="shared" ref="U104:CF104" si="510">+SUM(U99:U100)*0.3</f>
        <v>383.517</v>
      </c>
      <c r="V104" s="411">
        <f t="shared" si="510"/>
        <v>-66.795000000000002</v>
      </c>
      <c r="W104" s="411">
        <f t="shared" si="510"/>
        <v>165.43800000000002</v>
      </c>
      <c r="X104" s="411">
        <f t="shared" si="510"/>
        <v>92.271000000000001</v>
      </c>
      <c r="Y104" s="411">
        <f t="shared" ref="Y104:Z104" si="511">+SUM(Y99:Y100)*0.3</f>
        <v>438.16799999999995</v>
      </c>
      <c r="Z104" s="411">
        <f t="shared" si="511"/>
        <v>685.89</v>
      </c>
      <c r="AA104" s="411">
        <f t="shared" ref="AA104:AB104" si="512">+SUM(AA99:AA100)*0.3</f>
        <v>3.2160000000000002</v>
      </c>
      <c r="AB104" s="411">
        <f t="shared" si="512"/>
        <v>36.137999999999998</v>
      </c>
      <c r="AC104" s="412">
        <f t="shared" ref="AC104" si="513">+SUM(AC99:AC100)*0.3</f>
        <v>180.48599999999999</v>
      </c>
      <c r="AD104" s="411">
        <f t="shared" ref="AD104" si="514">+SUM(AD99:AD100)*0.3</f>
        <v>39.680906116800614</v>
      </c>
      <c r="AE104" s="412">
        <f t="shared" si="510"/>
        <v>302.43457066462491</v>
      </c>
      <c r="AF104" s="411">
        <f t="shared" si="510"/>
        <v>641.04126508724573</v>
      </c>
      <c r="AG104" s="411">
        <f t="shared" si="510"/>
        <v>1049.0951050664894</v>
      </c>
      <c r="AH104" s="411">
        <f t="shared" si="510"/>
        <v>1379.2104040015338</v>
      </c>
      <c r="AI104" s="411">
        <f t="shared" si="510"/>
        <v>1598.0863631948246</v>
      </c>
      <c r="AJ104" s="411">
        <f t="shared" si="510"/>
        <v>2058.553180082688</v>
      </c>
      <c r="AK104" s="411">
        <f t="shared" si="510"/>
        <v>3299.0780894395493</v>
      </c>
      <c r="AL104" s="411">
        <f t="shared" si="510"/>
        <v>4881.586881123696</v>
      </c>
      <c r="AM104" s="411">
        <f t="shared" si="510"/>
        <v>5676.2102239542974</v>
      </c>
      <c r="AN104" s="411">
        <f t="shared" si="510"/>
        <v>6221.6422418828743</v>
      </c>
      <c r="AO104" s="411">
        <f t="shared" si="510"/>
        <v>6758.3082966416268</v>
      </c>
      <c r="AP104" s="411">
        <f t="shared" si="510"/>
        <v>7238.463210044144</v>
      </c>
      <c r="AQ104" s="412">
        <f t="shared" si="510"/>
        <v>7777.9821675054218</v>
      </c>
      <c r="AR104" s="411">
        <f t="shared" si="510"/>
        <v>8108.5812903432843</v>
      </c>
      <c r="AS104" s="411">
        <f t="shared" si="510"/>
        <v>8476.1683463532609</v>
      </c>
      <c r="AT104" s="411">
        <f t="shared" si="510"/>
        <v>8737.7896957218472</v>
      </c>
      <c r="AU104" s="411">
        <f t="shared" si="510"/>
        <v>9037.17858901406</v>
      </c>
      <c r="AV104" s="411">
        <f t="shared" si="510"/>
        <v>9409.2914122790571</v>
      </c>
      <c r="AW104" s="411">
        <f t="shared" si="510"/>
        <v>10722.372261961502</v>
      </c>
      <c r="AX104" s="411">
        <f t="shared" si="510"/>
        <v>12470.951979592492</v>
      </c>
      <c r="AY104" s="411">
        <f t="shared" si="510"/>
        <v>13247.812860997381</v>
      </c>
      <c r="AZ104" s="411">
        <f t="shared" si="510"/>
        <v>13702.632182421115</v>
      </c>
      <c r="BA104" s="411">
        <f t="shared" si="510"/>
        <v>14157.816837257255</v>
      </c>
      <c r="BB104" s="411">
        <f t="shared" si="510"/>
        <v>14562.366880461215</v>
      </c>
      <c r="BC104" s="412">
        <f t="shared" si="510"/>
        <v>14984.78582501159</v>
      </c>
      <c r="BD104" s="411">
        <f t="shared" si="510"/>
        <v>15461.4495422538</v>
      </c>
      <c r="BE104" s="411">
        <f t="shared" si="510"/>
        <v>15975.356704083915</v>
      </c>
      <c r="BF104" s="411">
        <f t="shared" si="510"/>
        <v>16386.957259738138</v>
      </c>
      <c r="BG104" s="411">
        <f t="shared" si="510"/>
        <v>16827.232901707201</v>
      </c>
      <c r="BH104" s="411">
        <f t="shared" si="510"/>
        <v>17353.602981462325</v>
      </c>
      <c r="BI104" s="411">
        <f t="shared" si="510"/>
        <v>18940.226485560375</v>
      </c>
      <c r="BJ104" s="411">
        <f t="shared" si="510"/>
        <v>21117.691184704607</v>
      </c>
      <c r="BK104" s="411">
        <f t="shared" si="510"/>
        <v>22002.904195671112</v>
      </c>
      <c r="BL104" s="411">
        <f t="shared" si="510"/>
        <v>22492.350018041932</v>
      </c>
      <c r="BM104" s="411">
        <f t="shared" si="510"/>
        <v>22996.200753799079</v>
      </c>
      <c r="BN104" s="411">
        <f t="shared" si="510"/>
        <v>23410.335057414599</v>
      </c>
      <c r="BO104" s="412">
        <f t="shared" si="510"/>
        <v>23859.07416632312</v>
      </c>
      <c r="BP104" s="411">
        <f t="shared" si="510"/>
        <v>24383.173303603351</v>
      </c>
      <c r="BQ104" s="411">
        <f t="shared" si="510"/>
        <v>24930.422436527682</v>
      </c>
      <c r="BR104" s="411">
        <f t="shared" si="510"/>
        <v>25359.308263168732</v>
      </c>
      <c r="BS104" s="411">
        <f t="shared" si="510"/>
        <v>25857.518920610779</v>
      </c>
      <c r="BT104" s="411">
        <f t="shared" si="510"/>
        <v>26405.827644979159</v>
      </c>
      <c r="BU104" s="411">
        <f t="shared" si="510"/>
        <v>28490.978205089839</v>
      </c>
      <c r="BV104" s="411">
        <f t="shared" si="510"/>
        <v>31378.247099886808</v>
      </c>
      <c r="BW104" s="411">
        <f t="shared" si="510"/>
        <v>32554.99245706357</v>
      </c>
      <c r="BX104" s="411">
        <f t="shared" si="510"/>
        <v>33270.69114614623</v>
      </c>
      <c r="BY104" s="411">
        <f t="shared" si="510"/>
        <v>33983.342906847945</v>
      </c>
      <c r="BZ104" s="411">
        <f t="shared" si="510"/>
        <v>34592.688663707158</v>
      </c>
      <c r="CA104" s="412">
        <f t="shared" si="510"/>
        <v>35272.901257927442</v>
      </c>
      <c r="CB104" s="411">
        <f t="shared" si="510"/>
        <v>35983.401857064564</v>
      </c>
      <c r="CC104" s="411">
        <f t="shared" si="510"/>
        <v>36776.915384647058</v>
      </c>
      <c r="CD104" s="411">
        <f t="shared" si="510"/>
        <v>37416.457095383521</v>
      </c>
      <c r="CE104" s="411">
        <f t="shared" si="510"/>
        <v>38114.903646853476</v>
      </c>
      <c r="CF104" s="411">
        <f t="shared" si="510"/>
        <v>38885.496893545635</v>
      </c>
      <c r="CG104" s="411">
        <f t="shared" ref="CG104:CY104" si="515">+SUM(CG99:CG100)*0.3</f>
        <v>41655.807653630982</v>
      </c>
      <c r="CH104" s="411">
        <f t="shared" si="515"/>
        <v>45322.610243961855</v>
      </c>
      <c r="CI104" s="411">
        <f t="shared" si="515"/>
        <v>46891.793869038956</v>
      </c>
      <c r="CJ104" s="411">
        <f t="shared" si="515"/>
        <v>47898.780638584511</v>
      </c>
      <c r="CK104" s="411">
        <f t="shared" si="515"/>
        <v>48861.181317713148</v>
      </c>
      <c r="CL104" s="411">
        <f t="shared" si="515"/>
        <v>49710.910299916228</v>
      </c>
      <c r="CM104" s="412">
        <f t="shared" si="515"/>
        <v>50656.0820777767</v>
      </c>
      <c r="CN104" s="411">
        <f t="shared" si="515"/>
        <v>51651.014540955301</v>
      </c>
      <c r="CO104" s="411">
        <f t="shared" si="515"/>
        <v>52744.143722109562</v>
      </c>
      <c r="CP104" s="411">
        <f t="shared" si="515"/>
        <v>53650.254637671853</v>
      </c>
      <c r="CQ104" s="411">
        <f t="shared" si="515"/>
        <v>54596.633050748758</v>
      </c>
      <c r="CR104" s="411">
        <f t="shared" si="515"/>
        <v>55658.075158537336</v>
      </c>
      <c r="CS104" s="411">
        <f t="shared" si="515"/>
        <v>59327.325175112535</v>
      </c>
      <c r="CT104" s="411">
        <f t="shared" si="515"/>
        <v>63981.85023291198</v>
      </c>
      <c r="CU104" s="411">
        <f t="shared" si="515"/>
        <v>66095.180945526052</v>
      </c>
      <c r="CV104" s="411">
        <f t="shared" si="515"/>
        <v>67432.93008518056</v>
      </c>
      <c r="CW104" s="411">
        <f t="shared" si="515"/>
        <v>68743.524123242052</v>
      </c>
      <c r="CX104" s="411">
        <f t="shared" si="515"/>
        <v>69927.042024493392</v>
      </c>
      <c r="CY104" s="411">
        <f t="shared" si="515"/>
        <v>71185.020821267419</v>
      </c>
    </row>
    <row r="105" spans="1:103" x14ac:dyDescent="0.3">
      <c r="B105" s="1"/>
      <c r="C105" s="1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194"/>
      <c r="AD105" s="58"/>
      <c r="AE105" s="194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194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194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194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194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194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</row>
    <row r="106" spans="1:103" x14ac:dyDescent="0.3">
      <c r="B106" s="1" t="s">
        <v>16</v>
      </c>
      <c r="C106" s="1"/>
      <c r="D106" s="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AC106" s="191"/>
      <c r="AE106" s="191"/>
    </row>
    <row r="107" spans="1:103" x14ac:dyDescent="0.3">
      <c r="B107" s="1" t="s">
        <v>17</v>
      </c>
      <c r="C107" s="1"/>
      <c r="D107" s="113"/>
      <c r="E107" s="113">
        <v>0</v>
      </c>
      <c r="F107" s="115">
        <v>0</v>
      </c>
      <c r="G107" s="115">
        <v>0</v>
      </c>
      <c r="H107" s="115">
        <v>0</v>
      </c>
      <c r="I107" s="115">
        <v>0</v>
      </c>
      <c r="J107" s="115">
        <v>0</v>
      </c>
      <c r="K107" s="115">
        <v>0</v>
      </c>
      <c r="L107" s="115">
        <v>0</v>
      </c>
      <c r="M107" s="115">
        <v>0</v>
      </c>
      <c r="N107" s="115">
        <v>0</v>
      </c>
      <c r="O107" s="115">
        <v>0</v>
      </c>
      <c r="P107" s="115">
        <v>0</v>
      </c>
      <c r="Q107" s="115">
        <v>0</v>
      </c>
      <c r="R107" s="115">
        <v>0</v>
      </c>
      <c r="S107" s="115">
        <v>0</v>
      </c>
      <c r="T107" s="115">
        <v>0</v>
      </c>
      <c r="U107" s="115">
        <v>0</v>
      </c>
      <c r="V107" s="115">
        <v>0</v>
      </c>
      <c r="W107" s="115">
        <v>0</v>
      </c>
      <c r="X107" s="115">
        <v>200</v>
      </c>
      <c r="Y107" s="115">
        <v>0</v>
      </c>
      <c r="Z107" s="115">
        <v>0</v>
      </c>
      <c r="AA107" s="115">
        <v>200</v>
      </c>
      <c r="AB107" s="115">
        <v>380</v>
      </c>
      <c r="AC107" s="192">
        <v>380</v>
      </c>
      <c r="AD107" s="115">
        <f t="shared" ref="AD107:BI107" si="516">(AD109*AD12)/30.4333</f>
        <v>155.09326954355919</v>
      </c>
      <c r="AE107" s="192">
        <f t="shared" si="516"/>
        <v>340.4165831506935</v>
      </c>
      <c r="AF107" s="113">
        <f t="shared" si="516"/>
        <v>392.95771408292893</v>
      </c>
      <c r="AG107" s="113">
        <f t="shared" si="516"/>
        <v>422.18228059395466</v>
      </c>
      <c r="AH107" s="113">
        <f t="shared" si="516"/>
        <v>336.70485947958321</v>
      </c>
      <c r="AI107" s="113">
        <f t="shared" si="516"/>
        <v>452.66941146704426</v>
      </c>
      <c r="AJ107" s="113">
        <f t="shared" si="516"/>
        <v>473.94578964489551</v>
      </c>
      <c r="AK107" s="113">
        <f t="shared" si="516"/>
        <v>1563.8212300342059</v>
      </c>
      <c r="AL107" s="113">
        <f t="shared" si="516"/>
        <v>1641.6012849083077</v>
      </c>
      <c r="AM107" s="113">
        <f t="shared" si="516"/>
        <v>539.79051336529392</v>
      </c>
      <c r="AN107" s="113">
        <f t="shared" si="516"/>
        <v>557.26996343610438</v>
      </c>
      <c r="AO107" s="113">
        <f t="shared" si="516"/>
        <v>563.65029053517026</v>
      </c>
      <c r="AP107" s="113">
        <f t="shared" si="516"/>
        <v>442.77955503236251</v>
      </c>
      <c r="AQ107" s="192">
        <f t="shared" si="516"/>
        <v>573.81703000659934</v>
      </c>
      <c r="AR107" s="113">
        <f t="shared" si="516"/>
        <v>591.15795827530712</v>
      </c>
      <c r="AS107" s="113">
        <f t="shared" si="516"/>
        <v>585.95461205153367</v>
      </c>
      <c r="AT107" s="113">
        <f t="shared" si="516"/>
        <v>453.20486102291773</v>
      </c>
      <c r="AU107" s="113">
        <f t="shared" si="516"/>
        <v>597.32305396329855</v>
      </c>
      <c r="AV107" s="113">
        <f t="shared" si="516"/>
        <v>606.74021610895807</v>
      </c>
      <c r="AW107" s="113">
        <f t="shared" si="516"/>
        <v>1988.3503994422313</v>
      </c>
      <c r="AX107" s="113">
        <f t="shared" si="516"/>
        <v>2085.8480193343194</v>
      </c>
      <c r="AY107" s="113">
        <f t="shared" si="516"/>
        <v>685.2869427924112</v>
      </c>
      <c r="AZ107" s="113">
        <f t="shared" si="516"/>
        <v>704.53502806631468</v>
      </c>
      <c r="BA107" s="113">
        <f t="shared" si="516"/>
        <v>711.48365513402575</v>
      </c>
      <c r="BB107" s="113">
        <f t="shared" si="516"/>
        <v>557.27368747635671</v>
      </c>
      <c r="BC107" s="192">
        <f t="shared" si="516"/>
        <v>723.01743116403827</v>
      </c>
      <c r="BD107" s="113">
        <f t="shared" si="516"/>
        <v>741.30258081465752</v>
      </c>
      <c r="BE107" s="113">
        <f t="shared" si="516"/>
        <v>747.67344650839811</v>
      </c>
      <c r="BF107" s="113">
        <f t="shared" si="516"/>
        <v>586.54507331687398</v>
      </c>
      <c r="BG107" s="113">
        <f t="shared" si="516"/>
        <v>758.65257161939883</v>
      </c>
      <c r="BH107" s="113">
        <f t="shared" si="516"/>
        <v>776.81292481324044</v>
      </c>
      <c r="BI107" s="113">
        <f t="shared" si="516"/>
        <v>2527.2510201270084</v>
      </c>
      <c r="BJ107" s="113">
        <f t="shared" ref="BJ107:CO107" si="517">(BJ109*BJ12)/30.4333</f>
        <v>2644.3912780572191</v>
      </c>
      <c r="BK107" s="113">
        <f t="shared" si="517"/>
        <v>868.63836158087531</v>
      </c>
      <c r="BL107" s="113">
        <f t="shared" si="517"/>
        <v>889.62810834512038</v>
      </c>
      <c r="BM107" s="113">
        <f t="shared" si="517"/>
        <v>896.30738256514178</v>
      </c>
      <c r="BN107" s="113">
        <f t="shared" si="517"/>
        <v>700.53378632918009</v>
      </c>
      <c r="BO107" s="192">
        <f t="shared" si="517"/>
        <v>920.69321853677047</v>
      </c>
      <c r="BP107" s="113">
        <f t="shared" si="517"/>
        <v>936.14033826818172</v>
      </c>
      <c r="BQ107" s="113">
        <f t="shared" si="517"/>
        <v>939.00115511529236</v>
      </c>
      <c r="BR107" s="113">
        <f t="shared" si="517"/>
        <v>732.72179856874322</v>
      </c>
      <c r="BS107" s="113">
        <f t="shared" si="517"/>
        <v>959.72127200892692</v>
      </c>
      <c r="BT107" s="113">
        <f t="shared" si="517"/>
        <v>974.34360494778946</v>
      </c>
      <c r="BU107" s="113">
        <f t="shared" si="517"/>
        <v>3191.2245710939842</v>
      </c>
      <c r="BV107" s="113">
        <f t="shared" si="517"/>
        <v>3339.02984046044</v>
      </c>
      <c r="BW107" s="113">
        <f t="shared" si="517"/>
        <v>1088.3676139692648</v>
      </c>
      <c r="BX107" s="113">
        <f t="shared" si="517"/>
        <v>1125.1349956700881</v>
      </c>
      <c r="BY107" s="113">
        <f t="shared" si="517"/>
        <v>1139.8022073924249</v>
      </c>
      <c r="BZ107" s="113">
        <f t="shared" si="517"/>
        <v>883.10388656312409</v>
      </c>
      <c r="CA107" s="192">
        <f t="shared" si="517"/>
        <v>1154.277035568437</v>
      </c>
      <c r="CB107" s="113">
        <f t="shared" si="517"/>
        <v>1179.631376943642</v>
      </c>
      <c r="CC107" s="113">
        <f t="shared" si="517"/>
        <v>1187.9436456238188</v>
      </c>
      <c r="CD107" s="113">
        <f t="shared" si="517"/>
        <v>929.07529614658984</v>
      </c>
      <c r="CE107" s="113">
        <f t="shared" si="517"/>
        <v>1203.218064624303</v>
      </c>
      <c r="CF107" s="113">
        <f t="shared" si="517"/>
        <v>1225.2610724331071</v>
      </c>
      <c r="CG107" s="113">
        <f t="shared" si="517"/>
        <v>4019.4866372495617</v>
      </c>
      <c r="CH107" s="113">
        <f t="shared" si="517"/>
        <v>4215.0455457161806</v>
      </c>
      <c r="CI107" s="113">
        <f t="shared" si="517"/>
        <v>1372.6952832544134</v>
      </c>
      <c r="CJ107" s="113">
        <f t="shared" si="517"/>
        <v>1415.9945986245305</v>
      </c>
      <c r="CK107" s="113">
        <f t="shared" si="517"/>
        <v>1432.7737396533382</v>
      </c>
      <c r="CL107" s="113">
        <f t="shared" si="517"/>
        <v>1110.4750332890339</v>
      </c>
      <c r="CM107" s="192">
        <f t="shared" si="517"/>
        <v>1463.2081272276448</v>
      </c>
      <c r="CN107" s="113">
        <f t="shared" si="517"/>
        <v>1498.5608244592026</v>
      </c>
      <c r="CO107" s="113">
        <f t="shared" si="517"/>
        <v>1498.2499657746137</v>
      </c>
      <c r="CP107" s="113">
        <f t="shared" ref="CP107:CY107" si="518">(CP109*CP12)/30.4333</f>
        <v>1165.3686721467971</v>
      </c>
      <c r="CQ107" s="113">
        <f t="shared" si="518"/>
        <v>1519.9668996141418</v>
      </c>
      <c r="CR107" s="113">
        <f t="shared" si="518"/>
        <v>1549.8669282534668</v>
      </c>
      <c r="CS107" s="113">
        <f t="shared" si="518"/>
        <v>5087.9641416661925</v>
      </c>
      <c r="CT107" s="113">
        <f t="shared" si="518"/>
        <v>5335.0810943125398</v>
      </c>
      <c r="CU107" s="113">
        <f t="shared" si="518"/>
        <v>1736.0415755282897</v>
      </c>
      <c r="CV107" s="113">
        <f t="shared" si="518"/>
        <v>1796.4888608305723</v>
      </c>
      <c r="CW107" s="113">
        <f t="shared" si="518"/>
        <v>1809.7561115287872</v>
      </c>
      <c r="CX107" s="113">
        <f t="shared" si="518"/>
        <v>1411.9109791377675</v>
      </c>
      <c r="CY107" s="113">
        <f t="shared" si="518"/>
        <v>1846.1509675531752</v>
      </c>
    </row>
    <row r="108" spans="1:103" x14ac:dyDescent="0.3">
      <c r="A108" s="5"/>
      <c r="B108" s="6" t="s">
        <v>18</v>
      </c>
      <c r="C108" s="6"/>
      <c r="D108" s="55"/>
      <c r="E108" s="55">
        <f t="shared" ref="E108" si="519">E107</f>
        <v>0</v>
      </c>
      <c r="F108" s="55">
        <f>F107</f>
        <v>0</v>
      </c>
      <c r="G108" s="55">
        <f>G107</f>
        <v>0</v>
      </c>
      <c r="H108" s="55">
        <f t="shared" ref="H108:BR108" si="520">H107</f>
        <v>0</v>
      </c>
      <c r="I108" s="55">
        <f t="shared" ref="I108:O108" si="521">I107</f>
        <v>0</v>
      </c>
      <c r="J108" s="55">
        <f t="shared" si="521"/>
        <v>0</v>
      </c>
      <c r="K108" s="55">
        <f t="shared" si="521"/>
        <v>0</v>
      </c>
      <c r="L108" s="55">
        <f t="shared" si="521"/>
        <v>0</v>
      </c>
      <c r="M108" s="55">
        <f t="shared" si="521"/>
        <v>0</v>
      </c>
      <c r="N108" s="55">
        <f t="shared" si="521"/>
        <v>0</v>
      </c>
      <c r="O108" s="55">
        <f t="shared" si="521"/>
        <v>0</v>
      </c>
      <c r="P108" s="55">
        <f t="shared" ref="P108:Q108" si="522">P107</f>
        <v>0</v>
      </c>
      <c r="Q108" s="55">
        <f t="shared" si="522"/>
        <v>0</v>
      </c>
      <c r="R108" s="55">
        <f t="shared" ref="R108:S108" si="523">R107</f>
        <v>0</v>
      </c>
      <c r="S108" s="55">
        <f t="shared" si="523"/>
        <v>0</v>
      </c>
      <c r="T108" s="55">
        <f t="shared" ref="T108:U108" si="524">T107</f>
        <v>0</v>
      </c>
      <c r="U108" s="55">
        <f t="shared" si="524"/>
        <v>0</v>
      </c>
      <c r="V108" s="55">
        <f t="shared" ref="V108:W108" si="525">V107</f>
        <v>0</v>
      </c>
      <c r="W108" s="55">
        <f t="shared" si="525"/>
        <v>0</v>
      </c>
      <c r="X108" s="55">
        <f t="shared" ref="X108:Y108" si="526">X107</f>
        <v>200</v>
      </c>
      <c r="Y108" s="55">
        <f t="shared" si="526"/>
        <v>0</v>
      </c>
      <c r="Z108" s="55">
        <f t="shared" ref="Z108:AA108" si="527">Z107</f>
        <v>0</v>
      </c>
      <c r="AA108" s="55">
        <f t="shared" si="527"/>
        <v>200</v>
      </c>
      <c r="AB108" s="55">
        <f t="shared" ref="AB108:AC108" si="528">AB107</f>
        <v>380</v>
      </c>
      <c r="AC108" s="196">
        <f t="shared" si="528"/>
        <v>380</v>
      </c>
      <c r="AD108" s="55">
        <f t="shared" ref="AD108" si="529">AD107</f>
        <v>155.09326954355919</v>
      </c>
      <c r="AE108" s="196">
        <f t="shared" si="520"/>
        <v>340.4165831506935</v>
      </c>
      <c r="AF108" s="55">
        <f t="shared" si="520"/>
        <v>392.95771408292893</v>
      </c>
      <c r="AG108" s="55">
        <f t="shared" si="520"/>
        <v>422.18228059395466</v>
      </c>
      <c r="AH108" s="55">
        <f t="shared" si="520"/>
        <v>336.70485947958321</v>
      </c>
      <c r="AI108" s="55">
        <f t="shared" si="520"/>
        <v>452.66941146704426</v>
      </c>
      <c r="AJ108" s="55">
        <f t="shared" si="520"/>
        <v>473.94578964489551</v>
      </c>
      <c r="AK108" s="55">
        <f t="shared" si="520"/>
        <v>1563.8212300342059</v>
      </c>
      <c r="AL108" s="55">
        <f t="shared" si="520"/>
        <v>1641.6012849083077</v>
      </c>
      <c r="AM108" s="55">
        <f t="shared" si="520"/>
        <v>539.79051336529392</v>
      </c>
      <c r="AN108" s="55">
        <f t="shared" si="520"/>
        <v>557.26996343610438</v>
      </c>
      <c r="AO108" s="55">
        <f t="shared" si="520"/>
        <v>563.65029053517026</v>
      </c>
      <c r="AP108" s="55">
        <f t="shared" si="520"/>
        <v>442.77955503236251</v>
      </c>
      <c r="AQ108" s="196">
        <f t="shared" si="520"/>
        <v>573.81703000659934</v>
      </c>
      <c r="AR108" s="55">
        <f t="shared" si="520"/>
        <v>591.15795827530712</v>
      </c>
      <c r="AS108" s="55">
        <f t="shared" si="520"/>
        <v>585.95461205153367</v>
      </c>
      <c r="AT108" s="55">
        <f t="shared" si="520"/>
        <v>453.20486102291773</v>
      </c>
      <c r="AU108" s="55">
        <f t="shared" si="520"/>
        <v>597.32305396329855</v>
      </c>
      <c r="AV108" s="55">
        <f t="shared" si="520"/>
        <v>606.74021610895807</v>
      </c>
      <c r="AW108" s="55">
        <f t="shared" si="520"/>
        <v>1988.3503994422313</v>
      </c>
      <c r="AX108" s="55">
        <f t="shared" si="520"/>
        <v>2085.8480193343194</v>
      </c>
      <c r="AY108" s="55">
        <f t="shared" si="520"/>
        <v>685.2869427924112</v>
      </c>
      <c r="AZ108" s="55">
        <f t="shared" si="520"/>
        <v>704.53502806631468</v>
      </c>
      <c r="BA108" s="55">
        <f t="shared" si="520"/>
        <v>711.48365513402575</v>
      </c>
      <c r="BB108" s="55">
        <f t="shared" si="520"/>
        <v>557.27368747635671</v>
      </c>
      <c r="BC108" s="196">
        <f t="shared" si="520"/>
        <v>723.01743116403827</v>
      </c>
      <c r="BD108" s="55">
        <f t="shared" si="520"/>
        <v>741.30258081465752</v>
      </c>
      <c r="BE108" s="55">
        <f t="shared" si="520"/>
        <v>747.67344650839811</v>
      </c>
      <c r="BF108" s="55">
        <f t="shared" si="520"/>
        <v>586.54507331687398</v>
      </c>
      <c r="BG108" s="55">
        <f t="shared" si="520"/>
        <v>758.65257161939883</v>
      </c>
      <c r="BH108" s="55">
        <f t="shared" si="520"/>
        <v>776.81292481324044</v>
      </c>
      <c r="BI108" s="55">
        <f t="shared" si="520"/>
        <v>2527.2510201270084</v>
      </c>
      <c r="BJ108" s="55">
        <f t="shared" si="520"/>
        <v>2644.3912780572191</v>
      </c>
      <c r="BK108" s="55">
        <f t="shared" si="520"/>
        <v>868.63836158087531</v>
      </c>
      <c r="BL108" s="55">
        <f t="shared" si="520"/>
        <v>889.62810834512038</v>
      </c>
      <c r="BM108" s="55">
        <f t="shared" si="520"/>
        <v>896.30738256514178</v>
      </c>
      <c r="BN108" s="55">
        <f t="shared" si="520"/>
        <v>700.53378632918009</v>
      </c>
      <c r="BO108" s="196">
        <f t="shared" si="520"/>
        <v>920.69321853677047</v>
      </c>
      <c r="BP108" s="55">
        <f t="shared" si="520"/>
        <v>936.14033826818172</v>
      </c>
      <c r="BQ108" s="55">
        <f t="shared" si="520"/>
        <v>939.00115511529236</v>
      </c>
      <c r="BR108" s="55">
        <f t="shared" si="520"/>
        <v>732.72179856874322</v>
      </c>
      <c r="BS108" s="55">
        <f t="shared" ref="BS108:CY108" si="530">BS107</f>
        <v>959.72127200892692</v>
      </c>
      <c r="BT108" s="55">
        <f t="shared" si="530"/>
        <v>974.34360494778946</v>
      </c>
      <c r="BU108" s="55">
        <f t="shared" si="530"/>
        <v>3191.2245710939842</v>
      </c>
      <c r="BV108" s="55">
        <f t="shared" si="530"/>
        <v>3339.02984046044</v>
      </c>
      <c r="BW108" s="55">
        <f t="shared" si="530"/>
        <v>1088.3676139692648</v>
      </c>
      <c r="BX108" s="55">
        <f t="shared" si="530"/>
        <v>1125.1349956700881</v>
      </c>
      <c r="BY108" s="55">
        <f t="shared" si="530"/>
        <v>1139.8022073924249</v>
      </c>
      <c r="BZ108" s="55">
        <f t="shared" si="530"/>
        <v>883.10388656312409</v>
      </c>
      <c r="CA108" s="196">
        <f t="shared" si="530"/>
        <v>1154.277035568437</v>
      </c>
      <c r="CB108" s="55">
        <f t="shared" si="530"/>
        <v>1179.631376943642</v>
      </c>
      <c r="CC108" s="55">
        <f t="shared" si="530"/>
        <v>1187.9436456238188</v>
      </c>
      <c r="CD108" s="55">
        <f t="shared" si="530"/>
        <v>929.07529614658984</v>
      </c>
      <c r="CE108" s="55">
        <f t="shared" si="530"/>
        <v>1203.218064624303</v>
      </c>
      <c r="CF108" s="55">
        <f t="shared" si="530"/>
        <v>1225.2610724331071</v>
      </c>
      <c r="CG108" s="55">
        <f t="shared" si="530"/>
        <v>4019.4866372495617</v>
      </c>
      <c r="CH108" s="55">
        <f t="shared" si="530"/>
        <v>4215.0455457161806</v>
      </c>
      <c r="CI108" s="55">
        <f t="shared" si="530"/>
        <v>1372.6952832544134</v>
      </c>
      <c r="CJ108" s="55">
        <f t="shared" si="530"/>
        <v>1415.9945986245305</v>
      </c>
      <c r="CK108" s="55">
        <f t="shared" si="530"/>
        <v>1432.7737396533382</v>
      </c>
      <c r="CL108" s="55">
        <f t="shared" si="530"/>
        <v>1110.4750332890339</v>
      </c>
      <c r="CM108" s="196">
        <f t="shared" si="530"/>
        <v>1463.2081272276448</v>
      </c>
      <c r="CN108" s="55">
        <f t="shared" si="530"/>
        <v>1498.5608244592026</v>
      </c>
      <c r="CO108" s="55">
        <f t="shared" si="530"/>
        <v>1498.2499657746137</v>
      </c>
      <c r="CP108" s="55">
        <f t="shared" si="530"/>
        <v>1165.3686721467971</v>
      </c>
      <c r="CQ108" s="55">
        <f t="shared" si="530"/>
        <v>1519.9668996141418</v>
      </c>
      <c r="CR108" s="55">
        <f t="shared" si="530"/>
        <v>1549.8669282534668</v>
      </c>
      <c r="CS108" s="55">
        <f t="shared" si="530"/>
        <v>5087.9641416661925</v>
      </c>
      <c r="CT108" s="55">
        <f t="shared" si="530"/>
        <v>5335.0810943125398</v>
      </c>
      <c r="CU108" s="55">
        <f t="shared" si="530"/>
        <v>1736.0415755282897</v>
      </c>
      <c r="CV108" s="55">
        <f t="shared" si="530"/>
        <v>1796.4888608305723</v>
      </c>
      <c r="CW108" s="55">
        <f t="shared" si="530"/>
        <v>1809.7561115287872</v>
      </c>
      <c r="CX108" s="55">
        <f t="shared" si="530"/>
        <v>1411.9109791377675</v>
      </c>
      <c r="CY108" s="55">
        <f t="shared" si="530"/>
        <v>1846.1509675531752</v>
      </c>
    </row>
    <row r="109" spans="1:103" x14ac:dyDescent="0.3">
      <c r="A109" s="64"/>
      <c r="B109" s="61"/>
      <c r="C109" s="62" t="s">
        <v>150</v>
      </c>
      <c r="D109" s="63"/>
      <c r="E109" s="63">
        <f t="shared" ref="E109:AC109" si="531">IFERROR(AVERAGE(D107:E107)/(E12/30.4333), 0)</f>
        <v>0</v>
      </c>
      <c r="F109" s="63">
        <f t="shared" si="531"/>
        <v>0</v>
      </c>
      <c r="G109" s="63">
        <f t="shared" si="531"/>
        <v>0</v>
      </c>
      <c r="H109" s="63">
        <f t="shared" si="531"/>
        <v>0</v>
      </c>
      <c r="I109" s="63">
        <f t="shared" si="531"/>
        <v>0</v>
      </c>
      <c r="J109" s="63">
        <f t="shared" si="531"/>
        <v>0</v>
      </c>
      <c r="K109" s="63">
        <f t="shared" si="531"/>
        <v>0</v>
      </c>
      <c r="L109" s="63">
        <f t="shared" si="531"/>
        <v>0</v>
      </c>
      <c r="M109" s="63">
        <f t="shared" si="531"/>
        <v>0</v>
      </c>
      <c r="N109" s="63">
        <f t="shared" si="531"/>
        <v>0</v>
      </c>
      <c r="O109" s="63">
        <f t="shared" si="531"/>
        <v>0</v>
      </c>
      <c r="P109" s="63">
        <f t="shared" si="531"/>
        <v>0</v>
      </c>
      <c r="Q109" s="63">
        <f t="shared" si="531"/>
        <v>0</v>
      </c>
      <c r="R109" s="63">
        <f t="shared" si="531"/>
        <v>0</v>
      </c>
      <c r="S109" s="63">
        <f t="shared" si="531"/>
        <v>0</v>
      </c>
      <c r="T109" s="63">
        <f t="shared" si="531"/>
        <v>0</v>
      </c>
      <c r="U109" s="63">
        <f t="shared" si="531"/>
        <v>0</v>
      </c>
      <c r="V109" s="63">
        <f t="shared" si="531"/>
        <v>0</v>
      </c>
      <c r="W109" s="63">
        <f t="shared" si="531"/>
        <v>0</v>
      </c>
      <c r="X109" s="63">
        <f t="shared" si="531"/>
        <v>1.844442424242424</v>
      </c>
      <c r="Y109" s="63">
        <f t="shared" si="531"/>
        <v>0.77143979721166034</v>
      </c>
      <c r="Z109" s="63">
        <f t="shared" si="531"/>
        <v>0</v>
      </c>
      <c r="AA109" s="63">
        <f t="shared" si="531"/>
        <v>4.2268472222222222</v>
      </c>
      <c r="AB109" s="63">
        <f t="shared" si="531"/>
        <v>5.1763384164222872</v>
      </c>
      <c r="AC109" s="198">
        <f t="shared" si="531"/>
        <v>14.27735061728395</v>
      </c>
      <c r="AD109" s="636">
        <v>2</v>
      </c>
      <c r="AE109" s="198">
        <f t="shared" ref="AE109:BS109" si="532">AD109</f>
        <v>2</v>
      </c>
      <c r="AF109" s="63">
        <f t="shared" si="532"/>
        <v>2</v>
      </c>
      <c r="AG109" s="63">
        <f t="shared" si="532"/>
        <v>2</v>
      </c>
      <c r="AH109" s="63">
        <f t="shared" si="532"/>
        <v>2</v>
      </c>
      <c r="AI109" s="63">
        <f t="shared" si="532"/>
        <v>2</v>
      </c>
      <c r="AJ109" s="63">
        <f t="shared" si="532"/>
        <v>2</v>
      </c>
      <c r="AK109" s="63">
        <f t="shared" si="532"/>
        <v>2</v>
      </c>
      <c r="AL109" s="63">
        <f t="shared" si="532"/>
        <v>2</v>
      </c>
      <c r="AM109" s="63">
        <f t="shared" si="532"/>
        <v>2</v>
      </c>
      <c r="AN109" s="63">
        <f t="shared" si="532"/>
        <v>2</v>
      </c>
      <c r="AO109" s="63">
        <f t="shared" si="532"/>
        <v>2</v>
      </c>
      <c r="AP109" s="63">
        <f t="shared" si="532"/>
        <v>2</v>
      </c>
      <c r="AQ109" s="198">
        <f t="shared" si="532"/>
        <v>2</v>
      </c>
      <c r="AR109" s="63">
        <f t="shared" si="532"/>
        <v>2</v>
      </c>
      <c r="AS109" s="63">
        <f t="shared" si="532"/>
        <v>2</v>
      </c>
      <c r="AT109" s="63">
        <f t="shared" si="532"/>
        <v>2</v>
      </c>
      <c r="AU109" s="63">
        <f t="shared" si="532"/>
        <v>2</v>
      </c>
      <c r="AV109" s="63">
        <f t="shared" si="532"/>
        <v>2</v>
      </c>
      <c r="AW109" s="63">
        <f t="shared" si="532"/>
        <v>2</v>
      </c>
      <c r="AX109" s="63">
        <f t="shared" si="532"/>
        <v>2</v>
      </c>
      <c r="AY109" s="63">
        <f t="shared" si="532"/>
        <v>2</v>
      </c>
      <c r="AZ109" s="63">
        <f t="shared" si="532"/>
        <v>2</v>
      </c>
      <c r="BA109" s="63">
        <f t="shared" si="532"/>
        <v>2</v>
      </c>
      <c r="BB109" s="63">
        <f t="shared" si="532"/>
        <v>2</v>
      </c>
      <c r="BC109" s="198">
        <f t="shared" si="532"/>
        <v>2</v>
      </c>
      <c r="BD109" s="63">
        <f t="shared" si="532"/>
        <v>2</v>
      </c>
      <c r="BE109" s="63">
        <f t="shared" si="532"/>
        <v>2</v>
      </c>
      <c r="BF109" s="63">
        <f t="shared" si="532"/>
        <v>2</v>
      </c>
      <c r="BG109" s="63">
        <f t="shared" si="532"/>
        <v>2</v>
      </c>
      <c r="BH109" s="63">
        <f t="shared" si="532"/>
        <v>2</v>
      </c>
      <c r="BI109" s="63">
        <f t="shared" si="532"/>
        <v>2</v>
      </c>
      <c r="BJ109" s="63">
        <f t="shared" si="532"/>
        <v>2</v>
      </c>
      <c r="BK109" s="63">
        <f t="shared" si="532"/>
        <v>2</v>
      </c>
      <c r="BL109" s="63">
        <f t="shared" si="532"/>
        <v>2</v>
      </c>
      <c r="BM109" s="63">
        <f t="shared" si="532"/>
        <v>2</v>
      </c>
      <c r="BN109" s="63">
        <f t="shared" si="532"/>
        <v>2</v>
      </c>
      <c r="BO109" s="198">
        <f t="shared" si="532"/>
        <v>2</v>
      </c>
      <c r="BP109" s="63">
        <f t="shared" si="532"/>
        <v>2</v>
      </c>
      <c r="BQ109" s="63">
        <f t="shared" si="532"/>
        <v>2</v>
      </c>
      <c r="BR109" s="63">
        <f t="shared" si="532"/>
        <v>2</v>
      </c>
      <c r="BS109" s="63">
        <f t="shared" si="532"/>
        <v>2</v>
      </c>
      <c r="BT109" s="63">
        <f t="shared" ref="BT109:CY109" si="533">BS109</f>
        <v>2</v>
      </c>
      <c r="BU109" s="63">
        <f t="shared" si="533"/>
        <v>2</v>
      </c>
      <c r="BV109" s="63">
        <f t="shared" si="533"/>
        <v>2</v>
      </c>
      <c r="BW109" s="63">
        <f t="shared" si="533"/>
        <v>2</v>
      </c>
      <c r="BX109" s="63">
        <f t="shared" si="533"/>
        <v>2</v>
      </c>
      <c r="BY109" s="63">
        <f t="shared" si="533"/>
        <v>2</v>
      </c>
      <c r="BZ109" s="63">
        <f t="shared" si="533"/>
        <v>2</v>
      </c>
      <c r="CA109" s="198">
        <f t="shared" si="533"/>
        <v>2</v>
      </c>
      <c r="CB109" s="63">
        <f t="shared" si="533"/>
        <v>2</v>
      </c>
      <c r="CC109" s="63">
        <f t="shared" si="533"/>
        <v>2</v>
      </c>
      <c r="CD109" s="63">
        <f t="shared" si="533"/>
        <v>2</v>
      </c>
      <c r="CE109" s="63">
        <f t="shared" si="533"/>
        <v>2</v>
      </c>
      <c r="CF109" s="63">
        <f t="shared" si="533"/>
        <v>2</v>
      </c>
      <c r="CG109" s="63">
        <f t="shared" si="533"/>
        <v>2</v>
      </c>
      <c r="CH109" s="63">
        <f t="shared" si="533"/>
        <v>2</v>
      </c>
      <c r="CI109" s="63">
        <f t="shared" si="533"/>
        <v>2</v>
      </c>
      <c r="CJ109" s="63">
        <f t="shared" si="533"/>
        <v>2</v>
      </c>
      <c r="CK109" s="63">
        <f t="shared" si="533"/>
        <v>2</v>
      </c>
      <c r="CL109" s="63">
        <f t="shared" si="533"/>
        <v>2</v>
      </c>
      <c r="CM109" s="198">
        <f t="shared" si="533"/>
        <v>2</v>
      </c>
      <c r="CN109" s="63">
        <f t="shared" si="533"/>
        <v>2</v>
      </c>
      <c r="CO109" s="63">
        <f t="shared" si="533"/>
        <v>2</v>
      </c>
      <c r="CP109" s="63">
        <f t="shared" si="533"/>
        <v>2</v>
      </c>
      <c r="CQ109" s="63">
        <f t="shared" si="533"/>
        <v>2</v>
      </c>
      <c r="CR109" s="63">
        <f t="shared" si="533"/>
        <v>2</v>
      </c>
      <c r="CS109" s="63">
        <f t="shared" si="533"/>
        <v>2</v>
      </c>
      <c r="CT109" s="63">
        <f t="shared" si="533"/>
        <v>2</v>
      </c>
      <c r="CU109" s="63">
        <f t="shared" si="533"/>
        <v>2</v>
      </c>
      <c r="CV109" s="63">
        <f t="shared" si="533"/>
        <v>2</v>
      </c>
      <c r="CW109" s="63">
        <f t="shared" si="533"/>
        <v>2</v>
      </c>
      <c r="CX109" s="63">
        <f t="shared" si="533"/>
        <v>2</v>
      </c>
      <c r="CY109" s="63">
        <f t="shared" si="533"/>
        <v>2</v>
      </c>
    </row>
    <row r="110" spans="1:103" x14ac:dyDescent="0.3">
      <c r="B110" s="1" t="s">
        <v>206</v>
      </c>
      <c r="C110" s="1"/>
      <c r="D110" s="58"/>
      <c r="E110" s="58" t="s">
        <v>149</v>
      </c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77"/>
      <c r="AD110" s="52"/>
      <c r="AE110" s="191"/>
    </row>
    <row r="111" spans="1:103" x14ac:dyDescent="0.3">
      <c r="B111" s="1" t="s">
        <v>207</v>
      </c>
      <c r="C111" s="1"/>
      <c r="D111" s="58"/>
      <c r="E111" s="58"/>
      <c r="G111" s="52"/>
      <c r="H111" s="115">
        <v>0</v>
      </c>
      <c r="I111" s="115">
        <v>0</v>
      </c>
      <c r="J111" s="115">
        <v>0</v>
      </c>
      <c r="K111" s="115">
        <v>0</v>
      </c>
      <c r="L111" s="115">
        <v>0</v>
      </c>
      <c r="M111" s="115">
        <v>0</v>
      </c>
      <c r="N111" s="115">
        <v>0</v>
      </c>
      <c r="O111" s="115">
        <v>0</v>
      </c>
      <c r="P111" s="115">
        <v>0</v>
      </c>
      <c r="Q111" s="115">
        <v>0</v>
      </c>
      <c r="R111" s="115">
        <v>0</v>
      </c>
      <c r="S111" s="115">
        <v>0</v>
      </c>
      <c r="T111" s="115">
        <v>0</v>
      </c>
      <c r="U111" s="115">
        <v>0</v>
      </c>
      <c r="V111" s="115">
        <v>0</v>
      </c>
      <c r="W111" s="115">
        <v>0</v>
      </c>
      <c r="X111" s="115">
        <v>0</v>
      </c>
      <c r="Y111" s="115">
        <v>0</v>
      </c>
      <c r="Z111" s="115">
        <v>0</v>
      </c>
      <c r="AA111" s="115">
        <v>0</v>
      </c>
      <c r="AB111" s="115">
        <v>0</v>
      </c>
      <c r="AC111" s="192">
        <v>0</v>
      </c>
      <c r="AD111" s="637">
        <f t="shared" ref="AD111" si="534">AC111</f>
        <v>0</v>
      </c>
      <c r="AE111" s="192">
        <f t="shared" ref="AE111:CA111" si="535">AD111</f>
        <v>0</v>
      </c>
      <c r="AF111" s="115">
        <f t="shared" si="535"/>
        <v>0</v>
      </c>
      <c r="AG111" s="115">
        <f t="shared" si="535"/>
        <v>0</v>
      </c>
      <c r="AH111" s="115">
        <f t="shared" si="535"/>
        <v>0</v>
      </c>
      <c r="AI111" s="115">
        <f t="shared" si="535"/>
        <v>0</v>
      </c>
      <c r="AJ111" s="115">
        <f t="shared" si="535"/>
        <v>0</v>
      </c>
      <c r="AK111" s="115">
        <f t="shared" si="535"/>
        <v>0</v>
      </c>
      <c r="AL111" s="115">
        <f t="shared" si="535"/>
        <v>0</v>
      </c>
      <c r="AM111" s="115">
        <f t="shared" si="535"/>
        <v>0</v>
      </c>
      <c r="AN111" s="115">
        <f t="shared" si="535"/>
        <v>0</v>
      </c>
      <c r="AO111" s="115">
        <f t="shared" si="535"/>
        <v>0</v>
      </c>
      <c r="AP111" s="115">
        <f t="shared" si="535"/>
        <v>0</v>
      </c>
      <c r="AQ111" s="192">
        <f t="shared" si="535"/>
        <v>0</v>
      </c>
      <c r="AR111" s="115">
        <f t="shared" si="535"/>
        <v>0</v>
      </c>
      <c r="AS111" s="115">
        <f t="shared" si="535"/>
        <v>0</v>
      </c>
      <c r="AT111" s="115">
        <f t="shared" si="535"/>
        <v>0</v>
      </c>
      <c r="AU111" s="115">
        <f t="shared" si="535"/>
        <v>0</v>
      </c>
      <c r="AV111" s="115">
        <f t="shared" si="535"/>
        <v>0</v>
      </c>
      <c r="AW111" s="115">
        <f t="shared" si="535"/>
        <v>0</v>
      </c>
      <c r="AX111" s="115">
        <f t="shared" si="535"/>
        <v>0</v>
      </c>
      <c r="AY111" s="115">
        <f t="shared" si="535"/>
        <v>0</v>
      </c>
      <c r="AZ111" s="115">
        <f t="shared" si="535"/>
        <v>0</v>
      </c>
      <c r="BA111" s="115">
        <f t="shared" si="535"/>
        <v>0</v>
      </c>
      <c r="BB111" s="115">
        <f t="shared" si="535"/>
        <v>0</v>
      </c>
      <c r="BC111" s="192">
        <f t="shared" si="535"/>
        <v>0</v>
      </c>
      <c r="BD111" s="115">
        <f t="shared" si="535"/>
        <v>0</v>
      </c>
      <c r="BE111" s="115">
        <f t="shared" si="535"/>
        <v>0</v>
      </c>
      <c r="BF111" s="115">
        <f t="shared" si="535"/>
        <v>0</v>
      </c>
      <c r="BG111" s="115">
        <f t="shared" si="535"/>
        <v>0</v>
      </c>
      <c r="BH111" s="115">
        <f t="shared" si="535"/>
        <v>0</v>
      </c>
      <c r="BI111" s="115">
        <f t="shared" si="535"/>
        <v>0</v>
      </c>
      <c r="BJ111" s="115">
        <f t="shared" si="535"/>
        <v>0</v>
      </c>
      <c r="BK111" s="115">
        <f t="shared" si="535"/>
        <v>0</v>
      </c>
      <c r="BL111" s="115">
        <f t="shared" si="535"/>
        <v>0</v>
      </c>
      <c r="BM111" s="115">
        <f t="shared" si="535"/>
        <v>0</v>
      </c>
      <c r="BN111" s="115">
        <f t="shared" si="535"/>
        <v>0</v>
      </c>
      <c r="BO111" s="192">
        <f t="shared" si="535"/>
        <v>0</v>
      </c>
      <c r="BP111" s="115">
        <f t="shared" si="535"/>
        <v>0</v>
      </c>
      <c r="BQ111" s="115">
        <f t="shared" si="535"/>
        <v>0</v>
      </c>
      <c r="BR111" s="115">
        <f t="shared" si="535"/>
        <v>0</v>
      </c>
      <c r="BS111" s="115">
        <f t="shared" si="535"/>
        <v>0</v>
      </c>
      <c r="BT111" s="115">
        <f t="shared" si="535"/>
        <v>0</v>
      </c>
      <c r="BU111" s="115">
        <f t="shared" si="535"/>
        <v>0</v>
      </c>
      <c r="BV111" s="115">
        <f t="shared" si="535"/>
        <v>0</v>
      </c>
      <c r="BW111" s="115">
        <f t="shared" si="535"/>
        <v>0</v>
      </c>
      <c r="BX111" s="115">
        <f t="shared" si="535"/>
        <v>0</v>
      </c>
      <c r="BY111" s="115">
        <f t="shared" si="535"/>
        <v>0</v>
      </c>
      <c r="BZ111" s="115">
        <f t="shared" si="535"/>
        <v>0</v>
      </c>
      <c r="CA111" s="192">
        <f t="shared" si="535"/>
        <v>0</v>
      </c>
      <c r="CB111" s="115">
        <f t="shared" ref="CB111:CY111" si="536">CA111</f>
        <v>0</v>
      </c>
      <c r="CC111" s="115">
        <f t="shared" si="536"/>
        <v>0</v>
      </c>
      <c r="CD111" s="115">
        <f t="shared" si="536"/>
        <v>0</v>
      </c>
      <c r="CE111" s="115">
        <f t="shared" si="536"/>
        <v>0</v>
      </c>
      <c r="CF111" s="115">
        <f t="shared" si="536"/>
        <v>0</v>
      </c>
      <c r="CG111" s="115">
        <f t="shared" si="536"/>
        <v>0</v>
      </c>
      <c r="CH111" s="115">
        <f t="shared" si="536"/>
        <v>0</v>
      </c>
      <c r="CI111" s="115">
        <f t="shared" si="536"/>
        <v>0</v>
      </c>
      <c r="CJ111" s="115">
        <f t="shared" si="536"/>
        <v>0</v>
      </c>
      <c r="CK111" s="115">
        <f t="shared" si="536"/>
        <v>0</v>
      </c>
      <c r="CL111" s="115">
        <f t="shared" si="536"/>
        <v>0</v>
      </c>
      <c r="CM111" s="192">
        <f t="shared" si="536"/>
        <v>0</v>
      </c>
      <c r="CN111" s="115">
        <f t="shared" si="536"/>
        <v>0</v>
      </c>
      <c r="CO111" s="115">
        <f t="shared" si="536"/>
        <v>0</v>
      </c>
      <c r="CP111" s="115">
        <f t="shared" si="536"/>
        <v>0</v>
      </c>
      <c r="CQ111" s="115">
        <f t="shared" si="536"/>
        <v>0</v>
      </c>
      <c r="CR111" s="115">
        <f t="shared" si="536"/>
        <v>0</v>
      </c>
      <c r="CS111" s="115">
        <f t="shared" si="536"/>
        <v>0</v>
      </c>
      <c r="CT111" s="115">
        <f t="shared" si="536"/>
        <v>0</v>
      </c>
      <c r="CU111" s="115">
        <f t="shared" si="536"/>
        <v>0</v>
      </c>
      <c r="CV111" s="115">
        <f t="shared" si="536"/>
        <v>0</v>
      </c>
      <c r="CW111" s="115">
        <f t="shared" si="536"/>
        <v>0</v>
      </c>
      <c r="CX111" s="115">
        <f t="shared" si="536"/>
        <v>0</v>
      </c>
      <c r="CY111" s="115">
        <f t="shared" si="536"/>
        <v>0</v>
      </c>
    </row>
    <row r="112" spans="1:103" x14ac:dyDescent="0.3">
      <c r="B112" s="1" t="s">
        <v>256</v>
      </c>
      <c r="C112" s="1"/>
      <c r="D112" s="58"/>
      <c r="E112" s="58"/>
      <c r="G112" s="52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>
        <v>0</v>
      </c>
      <c r="V112" s="115">
        <v>0</v>
      </c>
      <c r="W112" s="115">
        <v>0</v>
      </c>
      <c r="X112" s="115">
        <v>0</v>
      </c>
      <c r="Y112" s="115">
        <v>0</v>
      </c>
      <c r="Z112" s="115">
        <v>0</v>
      </c>
      <c r="AA112" s="115">
        <v>0</v>
      </c>
      <c r="AB112" s="115">
        <v>0</v>
      </c>
      <c r="AC112" s="192">
        <v>0</v>
      </c>
      <c r="AD112" s="637"/>
      <c r="AE112" s="192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92"/>
      <c r="AR112" s="115"/>
      <c r="AS112" s="115"/>
      <c r="AT112" s="115"/>
      <c r="AU112" s="115"/>
      <c r="AV112" s="115"/>
      <c r="AW112" s="115"/>
      <c r="AX112" s="115"/>
      <c r="AY112" s="115"/>
      <c r="AZ112" s="115"/>
      <c r="BA112" s="115"/>
      <c r="BB112" s="115"/>
      <c r="BC112" s="192"/>
      <c r="BD112" s="115"/>
      <c r="BE112" s="115"/>
      <c r="BF112" s="115"/>
      <c r="BG112" s="115"/>
      <c r="BH112" s="115"/>
      <c r="BI112" s="115"/>
      <c r="BJ112" s="115"/>
      <c r="BK112" s="115"/>
      <c r="BL112" s="115"/>
      <c r="BM112" s="115"/>
      <c r="BN112" s="115"/>
      <c r="BO112" s="192"/>
      <c r="BP112" s="115"/>
      <c r="BQ112" s="115"/>
      <c r="BR112" s="115"/>
      <c r="BS112" s="115"/>
      <c r="BT112" s="115"/>
      <c r="BU112" s="115"/>
      <c r="BV112" s="115"/>
      <c r="BW112" s="115"/>
      <c r="BX112" s="115"/>
      <c r="BY112" s="115"/>
      <c r="BZ112" s="115"/>
      <c r="CA112" s="192"/>
      <c r="CB112" s="115"/>
      <c r="CC112" s="115"/>
      <c r="CD112" s="115"/>
      <c r="CE112" s="115"/>
      <c r="CF112" s="115"/>
      <c r="CG112" s="115"/>
      <c r="CH112" s="115"/>
      <c r="CI112" s="115"/>
      <c r="CJ112" s="115"/>
      <c r="CK112" s="115"/>
      <c r="CL112" s="115"/>
      <c r="CM112" s="192"/>
      <c r="CN112" s="115"/>
      <c r="CO112" s="115"/>
      <c r="CP112" s="115"/>
      <c r="CQ112" s="115"/>
      <c r="CR112" s="115"/>
      <c r="CS112" s="115"/>
      <c r="CT112" s="115"/>
      <c r="CU112" s="115"/>
      <c r="CV112" s="115"/>
      <c r="CW112" s="115"/>
      <c r="CX112" s="115"/>
      <c r="CY112" s="115"/>
    </row>
    <row r="113" spans="1:103" x14ac:dyDescent="0.3">
      <c r="B113" s="1" t="s">
        <v>209</v>
      </c>
      <c r="C113" s="1"/>
      <c r="D113" s="58"/>
      <c r="E113" s="58"/>
      <c r="G113" s="52"/>
      <c r="H113" s="115">
        <v>0</v>
      </c>
      <c r="I113" s="115">
        <v>0</v>
      </c>
      <c r="J113" s="115">
        <v>0</v>
      </c>
      <c r="K113" s="115">
        <v>0</v>
      </c>
      <c r="L113" s="115">
        <v>0</v>
      </c>
      <c r="M113" s="115">
        <v>0</v>
      </c>
      <c r="N113" s="115">
        <v>0</v>
      </c>
      <c r="O113" s="115">
        <v>0</v>
      </c>
      <c r="P113" s="115">
        <v>0</v>
      </c>
      <c r="Q113" s="115">
        <v>0</v>
      </c>
      <c r="R113" s="115">
        <v>0</v>
      </c>
      <c r="S113" s="115">
        <v>0</v>
      </c>
      <c r="T113" s="115">
        <v>0</v>
      </c>
      <c r="U113" s="115">
        <v>0</v>
      </c>
      <c r="V113" s="115">
        <v>0</v>
      </c>
      <c r="W113" s="115">
        <v>0</v>
      </c>
      <c r="X113" s="115">
        <v>150</v>
      </c>
      <c r="Y113" s="115">
        <v>0</v>
      </c>
      <c r="Z113" s="115">
        <v>0</v>
      </c>
      <c r="AA113" s="115">
        <v>0</v>
      </c>
      <c r="AB113" s="115">
        <v>400</v>
      </c>
      <c r="AC113" s="192">
        <v>0</v>
      </c>
      <c r="AD113" s="637">
        <v>0</v>
      </c>
      <c r="AE113" s="192">
        <v>0</v>
      </c>
      <c r="AF113" s="115">
        <v>0</v>
      </c>
      <c r="AG113" s="115">
        <v>0</v>
      </c>
      <c r="AH113" s="115">
        <v>0</v>
      </c>
      <c r="AI113" s="115">
        <v>0</v>
      </c>
      <c r="AJ113" s="115">
        <v>0</v>
      </c>
      <c r="AK113" s="115">
        <v>0</v>
      </c>
      <c r="AL113" s="115">
        <v>0</v>
      </c>
      <c r="AM113" s="115">
        <v>0</v>
      </c>
      <c r="AN113" s="115">
        <v>0</v>
      </c>
      <c r="AO113" s="115">
        <v>0</v>
      </c>
      <c r="AP113" s="115">
        <v>0</v>
      </c>
      <c r="AQ113" s="192">
        <v>0</v>
      </c>
      <c r="AR113" s="115">
        <v>0</v>
      </c>
      <c r="AS113" s="115">
        <v>0</v>
      </c>
      <c r="AT113" s="115">
        <v>0</v>
      </c>
      <c r="AU113" s="115">
        <v>0</v>
      </c>
      <c r="AV113" s="115">
        <v>0</v>
      </c>
      <c r="AW113" s="115">
        <v>0</v>
      </c>
      <c r="AX113" s="115">
        <v>0</v>
      </c>
      <c r="AY113" s="115">
        <v>0</v>
      </c>
      <c r="AZ113" s="115">
        <v>0</v>
      </c>
      <c r="BA113" s="115">
        <v>0</v>
      </c>
      <c r="BB113" s="115">
        <v>0</v>
      </c>
      <c r="BC113" s="192">
        <v>0</v>
      </c>
      <c r="BD113" s="115">
        <v>0</v>
      </c>
      <c r="BE113" s="115">
        <v>0</v>
      </c>
      <c r="BF113" s="115">
        <v>0</v>
      </c>
      <c r="BG113" s="115">
        <v>0</v>
      </c>
      <c r="BH113" s="115">
        <v>0</v>
      </c>
      <c r="BI113" s="115">
        <v>0</v>
      </c>
      <c r="BJ113" s="115">
        <v>0</v>
      </c>
      <c r="BK113" s="115">
        <v>0</v>
      </c>
      <c r="BL113" s="115">
        <v>0</v>
      </c>
      <c r="BM113" s="115">
        <v>0</v>
      </c>
      <c r="BN113" s="115">
        <v>0</v>
      </c>
      <c r="BO113" s="192">
        <v>0</v>
      </c>
      <c r="BP113" s="115">
        <v>0</v>
      </c>
      <c r="BQ113" s="115">
        <v>0</v>
      </c>
      <c r="BR113" s="115">
        <v>0</v>
      </c>
      <c r="BS113" s="115">
        <v>0</v>
      </c>
      <c r="BT113" s="115">
        <v>0</v>
      </c>
      <c r="BU113" s="115">
        <v>0</v>
      </c>
      <c r="BV113" s="115">
        <v>0</v>
      </c>
      <c r="BW113" s="115">
        <v>0</v>
      </c>
      <c r="BX113" s="115">
        <v>0</v>
      </c>
      <c r="BY113" s="115">
        <v>0</v>
      </c>
      <c r="BZ113" s="115">
        <v>0</v>
      </c>
      <c r="CA113" s="192">
        <v>0</v>
      </c>
      <c r="CB113" s="115">
        <v>0</v>
      </c>
      <c r="CC113" s="115">
        <v>0</v>
      </c>
      <c r="CD113" s="115">
        <v>0</v>
      </c>
      <c r="CE113" s="115">
        <v>0</v>
      </c>
      <c r="CF113" s="115">
        <v>0</v>
      </c>
      <c r="CG113" s="115">
        <v>0</v>
      </c>
      <c r="CH113" s="115">
        <v>0</v>
      </c>
      <c r="CI113" s="115">
        <v>0</v>
      </c>
      <c r="CJ113" s="115">
        <v>0</v>
      </c>
      <c r="CK113" s="115">
        <v>0</v>
      </c>
      <c r="CL113" s="115">
        <v>0</v>
      </c>
      <c r="CM113" s="192">
        <v>0</v>
      </c>
      <c r="CN113" s="115">
        <v>0</v>
      </c>
      <c r="CO113" s="115">
        <v>0</v>
      </c>
      <c r="CP113" s="115">
        <v>0</v>
      </c>
      <c r="CQ113" s="115">
        <v>0</v>
      </c>
      <c r="CR113" s="115">
        <v>0</v>
      </c>
      <c r="CS113" s="115">
        <v>0</v>
      </c>
      <c r="CT113" s="115">
        <v>0</v>
      </c>
      <c r="CU113" s="115">
        <v>0</v>
      </c>
      <c r="CV113" s="115">
        <v>0</v>
      </c>
      <c r="CW113" s="115">
        <v>0</v>
      </c>
      <c r="CX113" s="115">
        <v>0</v>
      </c>
      <c r="CY113" s="115">
        <v>0</v>
      </c>
    </row>
    <row r="114" spans="1:103" s="56" customFormat="1" x14ac:dyDescent="0.3">
      <c r="B114" s="56" t="s">
        <v>208</v>
      </c>
      <c r="H114" s="56">
        <f t="shared" ref="H114:N114" si="537">+SUM(H111:H113)</f>
        <v>0</v>
      </c>
      <c r="I114" s="56">
        <f t="shared" si="537"/>
        <v>0</v>
      </c>
      <c r="J114" s="56">
        <f t="shared" si="537"/>
        <v>0</v>
      </c>
      <c r="K114" s="56">
        <f t="shared" si="537"/>
        <v>0</v>
      </c>
      <c r="L114" s="56">
        <f t="shared" si="537"/>
        <v>0</v>
      </c>
      <c r="M114" s="56">
        <f t="shared" si="537"/>
        <v>0</v>
      </c>
      <c r="N114" s="56">
        <f t="shared" si="537"/>
        <v>0</v>
      </c>
      <c r="O114" s="56">
        <f t="shared" ref="O114:S114" si="538">+SUM(O111:O113)</f>
        <v>0</v>
      </c>
      <c r="P114" s="56">
        <f>+SUM(P111:P113)</f>
        <v>0</v>
      </c>
      <c r="Q114" s="56">
        <f t="shared" si="538"/>
        <v>0</v>
      </c>
      <c r="R114" s="56">
        <f t="shared" si="538"/>
        <v>0</v>
      </c>
      <c r="S114" s="56">
        <f t="shared" si="538"/>
        <v>0</v>
      </c>
      <c r="T114" s="56">
        <f t="shared" ref="T114:U114" si="539">+SUM(T111:T113)</f>
        <v>0</v>
      </c>
      <c r="U114" s="56">
        <f t="shared" si="539"/>
        <v>0</v>
      </c>
      <c r="V114" s="56">
        <f t="shared" ref="V114:W114" si="540">+SUM(V111:V113)</f>
        <v>0</v>
      </c>
      <c r="W114" s="56">
        <f t="shared" si="540"/>
        <v>0</v>
      </c>
      <c r="X114" s="56">
        <f t="shared" ref="X114:Y114" si="541">+SUM(X111:X113)</f>
        <v>150</v>
      </c>
      <c r="Y114" s="56">
        <f t="shared" si="541"/>
        <v>0</v>
      </c>
      <c r="Z114" s="56">
        <f t="shared" ref="Z114:AA114" si="542">+SUM(Z111:Z113)</f>
        <v>0</v>
      </c>
      <c r="AA114" s="56">
        <f t="shared" si="542"/>
        <v>0</v>
      </c>
      <c r="AB114" s="56">
        <f t="shared" ref="AB114:AC114" si="543">+SUM(AB111:AB113)</f>
        <v>400</v>
      </c>
      <c r="AC114" s="193">
        <f t="shared" si="543"/>
        <v>0</v>
      </c>
      <c r="AD114" s="56">
        <f t="shared" ref="AD114" si="544">+SUM(AD111:AD113)</f>
        <v>0</v>
      </c>
      <c r="AE114" s="193">
        <f t="shared" ref="AE114:BA114" si="545">+SUM(AE111:AE113)</f>
        <v>0</v>
      </c>
      <c r="AF114" s="56">
        <f t="shared" si="545"/>
        <v>0</v>
      </c>
      <c r="AG114" s="56">
        <f t="shared" si="545"/>
        <v>0</v>
      </c>
      <c r="AH114" s="56">
        <f t="shared" si="545"/>
        <v>0</v>
      </c>
      <c r="AI114" s="56">
        <f t="shared" si="545"/>
        <v>0</v>
      </c>
      <c r="AJ114" s="56">
        <f t="shared" si="545"/>
        <v>0</v>
      </c>
      <c r="AK114" s="56">
        <f t="shared" si="545"/>
        <v>0</v>
      </c>
      <c r="AL114" s="56">
        <f t="shared" si="545"/>
        <v>0</v>
      </c>
      <c r="AM114" s="56">
        <f t="shared" si="545"/>
        <v>0</v>
      </c>
      <c r="AN114" s="56">
        <f t="shared" si="545"/>
        <v>0</v>
      </c>
      <c r="AO114" s="56">
        <f t="shared" si="545"/>
        <v>0</v>
      </c>
      <c r="AP114" s="56">
        <f t="shared" si="545"/>
        <v>0</v>
      </c>
      <c r="AQ114" s="193">
        <f t="shared" si="545"/>
        <v>0</v>
      </c>
      <c r="AR114" s="56">
        <f t="shared" si="545"/>
        <v>0</v>
      </c>
      <c r="AS114" s="56">
        <f t="shared" si="545"/>
        <v>0</v>
      </c>
      <c r="AT114" s="56">
        <f t="shared" si="545"/>
        <v>0</v>
      </c>
      <c r="AU114" s="56">
        <f t="shared" si="545"/>
        <v>0</v>
      </c>
      <c r="AV114" s="56">
        <f t="shared" si="545"/>
        <v>0</v>
      </c>
      <c r="AW114" s="56">
        <f t="shared" si="545"/>
        <v>0</v>
      </c>
      <c r="AX114" s="56">
        <f t="shared" si="545"/>
        <v>0</v>
      </c>
      <c r="AY114" s="56">
        <f t="shared" si="545"/>
        <v>0</v>
      </c>
      <c r="AZ114" s="56">
        <f t="shared" si="545"/>
        <v>0</v>
      </c>
      <c r="BA114" s="56">
        <f t="shared" si="545"/>
        <v>0</v>
      </c>
      <c r="BB114" s="56">
        <f t="shared" ref="BB114:BT114" si="546">+SUM(BB111:BB113)</f>
        <v>0</v>
      </c>
      <c r="BC114" s="193">
        <f t="shared" si="546"/>
        <v>0</v>
      </c>
      <c r="BD114" s="56">
        <f t="shared" si="546"/>
        <v>0</v>
      </c>
      <c r="BE114" s="56">
        <f t="shared" si="546"/>
        <v>0</v>
      </c>
      <c r="BF114" s="56">
        <f t="shared" si="546"/>
        <v>0</v>
      </c>
      <c r="BG114" s="56">
        <f t="shared" si="546"/>
        <v>0</v>
      </c>
      <c r="BH114" s="56">
        <f t="shared" si="546"/>
        <v>0</v>
      </c>
      <c r="BI114" s="56">
        <f t="shared" si="546"/>
        <v>0</v>
      </c>
      <c r="BJ114" s="56">
        <f t="shared" si="546"/>
        <v>0</v>
      </c>
      <c r="BK114" s="56">
        <f t="shared" si="546"/>
        <v>0</v>
      </c>
      <c r="BL114" s="56">
        <f t="shared" si="546"/>
        <v>0</v>
      </c>
      <c r="BM114" s="56">
        <f t="shared" si="546"/>
        <v>0</v>
      </c>
      <c r="BN114" s="56">
        <f t="shared" si="546"/>
        <v>0</v>
      </c>
      <c r="BO114" s="193">
        <f t="shared" si="546"/>
        <v>0</v>
      </c>
      <c r="BP114" s="56">
        <f t="shared" si="546"/>
        <v>0</v>
      </c>
      <c r="BQ114" s="56">
        <f t="shared" si="546"/>
        <v>0</v>
      </c>
      <c r="BR114" s="56">
        <f t="shared" si="546"/>
        <v>0</v>
      </c>
      <c r="BS114" s="56">
        <f t="shared" si="546"/>
        <v>0</v>
      </c>
      <c r="BT114" s="56">
        <f t="shared" si="546"/>
        <v>0</v>
      </c>
      <c r="BU114" s="56">
        <f t="shared" ref="BU114:CY114" si="547">+SUM(BU111:BU113)</f>
        <v>0</v>
      </c>
      <c r="BV114" s="56">
        <f t="shared" si="547"/>
        <v>0</v>
      </c>
      <c r="BW114" s="56">
        <f t="shared" si="547"/>
        <v>0</v>
      </c>
      <c r="BX114" s="56">
        <f t="shared" si="547"/>
        <v>0</v>
      </c>
      <c r="BY114" s="56">
        <f t="shared" si="547"/>
        <v>0</v>
      </c>
      <c r="BZ114" s="56">
        <f t="shared" si="547"/>
        <v>0</v>
      </c>
      <c r="CA114" s="193">
        <f t="shared" si="547"/>
        <v>0</v>
      </c>
      <c r="CB114" s="56">
        <f t="shared" si="547"/>
        <v>0</v>
      </c>
      <c r="CC114" s="56">
        <f t="shared" si="547"/>
        <v>0</v>
      </c>
      <c r="CD114" s="56">
        <f t="shared" si="547"/>
        <v>0</v>
      </c>
      <c r="CE114" s="56">
        <f t="shared" si="547"/>
        <v>0</v>
      </c>
      <c r="CF114" s="56">
        <f t="shared" si="547"/>
        <v>0</v>
      </c>
      <c r="CG114" s="56">
        <f t="shared" si="547"/>
        <v>0</v>
      </c>
      <c r="CH114" s="56">
        <f t="shared" si="547"/>
        <v>0</v>
      </c>
      <c r="CI114" s="56">
        <f t="shared" si="547"/>
        <v>0</v>
      </c>
      <c r="CJ114" s="56">
        <f t="shared" si="547"/>
        <v>0</v>
      </c>
      <c r="CK114" s="56">
        <f t="shared" si="547"/>
        <v>0</v>
      </c>
      <c r="CL114" s="56">
        <f t="shared" si="547"/>
        <v>0</v>
      </c>
      <c r="CM114" s="193">
        <f t="shared" si="547"/>
        <v>0</v>
      </c>
      <c r="CN114" s="56">
        <f t="shared" si="547"/>
        <v>0</v>
      </c>
      <c r="CO114" s="56">
        <f t="shared" si="547"/>
        <v>0</v>
      </c>
      <c r="CP114" s="56">
        <f t="shared" si="547"/>
        <v>0</v>
      </c>
      <c r="CQ114" s="56">
        <f t="shared" si="547"/>
        <v>0</v>
      </c>
      <c r="CR114" s="56">
        <f t="shared" si="547"/>
        <v>0</v>
      </c>
      <c r="CS114" s="56">
        <f t="shared" si="547"/>
        <v>0</v>
      </c>
      <c r="CT114" s="56">
        <f t="shared" si="547"/>
        <v>0</v>
      </c>
      <c r="CU114" s="56">
        <f t="shared" si="547"/>
        <v>0</v>
      </c>
      <c r="CV114" s="56">
        <f t="shared" si="547"/>
        <v>0</v>
      </c>
      <c r="CW114" s="56">
        <f t="shared" si="547"/>
        <v>0</v>
      </c>
      <c r="CX114" s="56">
        <f t="shared" si="547"/>
        <v>0</v>
      </c>
      <c r="CY114" s="56">
        <f t="shared" si="547"/>
        <v>0</v>
      </c>
    </row>
    <row r="115" spans="1:103" s="5" customFormat="1" x14ac:dyDescent="0.3">
      <c r="A115"/>
      <c r="B115" s="1" t="s">
        <v>19</v>
      </c>
      <c r="C115" s="1"/>
      <c r="D115" s="57"/>
      <c r="E115" s="57">
        <f>E108+E103</f>
        <v>0</v>
      </c>
      <c r="F115" s="58">
        <f>F108+F103</f>
        <v>0</v>
      </c>
      <c r="G115" s="58">
        <f>G108+G103</f>
        <v>0</v>
      </c>
      <c r="H115" s="58">
        <f t="shared" ref="H115:AM115" si="548">H108+H103+H114</f>
        <v>0</v>
      </c>
      <c r="I115" s="58">
        <f t="shared" si="548"/>
        <v>0</v>
      </c>
      <c r="J115" s="58">
        <f t="shared" si="548"/>
        <v>0</v>
      </c>
      <c r="K115" s="58">
        <f t="shared" si="548"/>
        <v>0</v>
      </c>
      <c r="L115" s="58">
        <f t="shared" si="548"/>
        <v>0</v>
      </c>
      <c r="M115" s="58">
        <f t="shared" si="548"/>
        <v>0</v>
      </c>
      <c r="N115" s="58">
        <f t="shared" si="548"/>
        <v>0</v>
      </c>
      <c r="O115" s="58">
        <f t="shared" si="548"/>
        <v>0</v>
      </c>
      <c r="P115" s="58">
        <f t="shared" si="548"/>
        <v>0</v>
      </c>
      <c r="Q115" s="58">
        <f t="shared" si="548"/>
        <v>0</v>
      </c>
      <c r="R115" s="58">
        <f t="shared" si="548"/>
        <v>0</v>
      </c>
      <c r="S115" s="58">
        <f t="shared" si="548"/>
        <v>0</v>
      </c>
      <c r="T115" s="58">
        <f t="shared" si="548"/>
        <v>0</v>
      </c>
      <c r="U115" s="58">
        <f t="shared" si="548"/>
        <v>1278.3900000000001</v>
      </c>
      <c r="V115" s="58">
        <f t="shared" si="548"/>
        <v>-222.65</v>
      </c>
      <c r="W115" s="58">
        <f t="shared" si="548"/>
        <v>551.46</v>
      </c>
      <c r="X115" s="58">
        <f t="shared" si="548"/>
        <v>657.56999999999994</v>
      </c>
      <c r="Y115" s="58">
        <f t="shared" ref="Y115:Z115" si="549">Y108+Y103+Y114</f>
        <v>1460.56</v>
      </c>
      <c r="Z115" s="58">
        <f t="shared" si="549"/>
        <v>2286.3000000000002</v>
      </c>
      <c r="AA115" s="58">
        <f t="shared" ref="AA115:AB115" si="550">AA108+AA103+AA114</f>
        <v>210.72</v>
      </c>
      <c r="AB115" s="58">
        <f t="shared" si="550"/>
        <v>900.46</v>
      </c>
      <c r="AC115" s="194">
        <f t="shared" ref="AC115" si="551">AC108+AC103+AC114</f>
        <v>981.62</v>
      </c>
      <c r="AD115" s="58">
        <f t="shared" ref="AD115" si="552">AD108+AD103+AD114</f>
        <v>287.36295659956124</v>
      </c>
      <c r="AE115" s="194">
        <f t="shared" si="548"/>
        <v>1348.5318186994432</v>
      </c>
      <c r="AF115" s="58">
        <f t="shared" si="548"/>
        <v>2529.7619310404148</v>
      </c>
      <c r="AG115" s="58">
        <f t="shared" si="548"/>
        <v>3919.1659641489191</v>
      </c>
      <c r="AH115" s="58">
        <f t="shared" si="548"/>
        <v>4934.0728728180293</v>
      </c>
      <c r="AI115" s="58">
        <f t="shared" si="548"/>
        <v>5779.6239554497934</v>
      </c>
      <c r="AJ115" s="58">
        <f t="shared" si="548"/>
        <v>7335.7897232538562</v>
      </c>
      <c r="AK115" s="58">
        <f t="shared" si="548"/>
        <v>12560.748194832704</v>
      </c>
      <c r="AL115" s="58">
        <f t="shared" si="548"/>
        <v>17913.557555320629</v>
      </c>
      <c r="AM115" s="58">
        <f t="shared" si="548"/>
        <v>19460.491259879618</v>
      </c>
      <c r="AN115" s="58">
        <f t="shared" ref="AN115:BS115" si="553">AN108+AN103+AN114</f>
        <v>21296.077436379019</v>
      </c>
      <c r="AO115" s="58">
        <f t="shared" si="553"/>
        <v>23091.344612673925</v>
      </c>
      <c r="AP115" s="58">
        <f t="shared" si="553"/>
        <v>24570.990255179509</v>
      </c>
      <c r="AQ115" s="194">
        <f t="shared" si="553"/>
        <v>26500.424255024671</v>
      </c>
      <c r="AR115" s="58">
        <f t="shared" si="553"/>
        <v>27619.762259419589</v>
      </c>
      <c r="AS115" s="58">
        <f t="shared" si="553"/>
        <v>28839.849099895735</v>
      </c>
      <c r="AT115" s="58">
        <f t="shared" si="553"/>
        <v>29579.170513429079</v>
      </c>
      <c r="AU115" s="58">
        <f t="shared" si="553"/>
        <v>30721.251684010167</v>
      </c>
      <c r="AV115" s="58">
        <f t="shared" si="553"/>
        <v>31971.04492370582</v>
      </c>
      <c r="AW115" s="58">
        <f t="shared" si="553"/>
        <v>37729.591272647238</v>
      </c>
      <c r="AX115" s="58">
        <f t="shared" si="553"/>
        <v>43655.687951309294</v>
      </c>
      <c r="AY115" s="58">
        <f t="shared" si="553"/>
        <v>44844.663146117011</v>
      </c>
      <c r="AZ115" s="58">
        <f t="shared" si="553"/>
        <v>46379.975636136696</v>
      </c>
      <c r="BA115" s="58">
        <f t="shared" si="553"/>
        <v>47904.206445991542</v>
      </c>
      <c r="BB115" s="58">
        <f t="shared" si="553"/>
        <v>49098.496622347076</v>
      </c>
      <c r="BC115" s="194">
        <f t="shared" si="553"/>
        <v>50672.303514536005</v>
      </c>
      <c r="BD115" s="58">
        <f t="shared" si="553"/>
        <v>52279.467721660658</v>
      </c>
      <c r="BE115" s="58">
        <f t="shared" si="553"/>
        <v>53998.862460121454</v>
      </c>
      <c r="BF115" s="58">
        <f t="shared" si="553"/>
        <v>55209.735939110673</v>
      </c>
      <c r="BG115" s="58">
        <f t="shared" si="553"/>
        <v>56849.428910643408</v>
      </c>
      <c r="BH115" s="58">
        <f t="shared" si="553"/>
        <v>58622.156196354328</v>
      </c>
      <c r="BI115" s="58">
        <f t="shared" si="553"/>
        <v>65661.339305328263</v>
      </c>
      <c r="BJ115" s="58">
        <f t="shared" si="553"/>
        <v>73036.695227072574</v>
      </c>
      <c r="BK115" s="58">
        <f t="shared" si="553"/>
        <v>74211.652347151248</v>
      </c>
      <c r="BL115" s="58">
        <f t="shared" si="553"/>
        <v>75864.128168484895</v>
      </c>
      <c r="BM115" s="58">
        <f t="shared" si="553"/>
        <v>77550.30989522874</v>
      </c>
      <c r="BN115" s="58">
        <f t="shared" si="553"/>
        <v>78734.983977711177</v>
      </c>
      <c r="BO115" s="194">
        <f t="shared" si="553"/>
        <v>80450.940439613842</v>
      </c>
      <c r="BP115" s="58">
        <f t="shared" si="553"/>
        <v>82213.384683612676</v>
      </c>
      <c r="BQ115" s="58">
        <f t="shared" si="553"/>
        <v>84040.409276874227</v>
      </c>
      <c r="BR115" s="58">
        <f t="shared" si="553"/>
        <v>85263.749342464522</v>
      </c>
      <c r="BS115" s="58">
        <f t="shared" si="553"/>
        <v>87151.4510073782</v>
      </c>
      <c r="BT115" s="58">
        <f t="shared" ref="BT115:CY115" si="554">BT108+BT103+BT114</f>
        <v>88993.769088211659</v>
      </c>
      <c r="BU115" s="58">
        <f t="shared" si="554"/>
        <v>98161.151921393452</v>
      </c>
      <c r="BV115" s="58">
        <f t="shared" si="554"/>
        <v>107933.18684008314</v>
      </c>
      <c r="BW115" s="58">
        <f t="shared" si="554"/>
        <v>109605.00913751451</v>
      </c>
      <c r="BX115" s="58">
        <f t="shared" si="554"/>
        <v>112027.43881615753</v>
      </c>
      <c r="BY115" s="58">
        <f t="shared" si="554"/>
        <v>114417.61189688559</v>
      </c>
      <c r="BZ115" s="58">
        <f t="shared" si="554"/>
        <v>116192.06609892033</v>
      </c>
      <c r="CA115" s="194">
        <f t="shared" si="554"/>
        <v>118730.61456199324</v>
      </c>
      <c r="CB115" s="58">
        <f t="shared" si="554"/>
        <v>121124.30423382552</v>
      </c>
      <c r="CC115" s="58">
        <f t="shared" si="554"/>
        <v>123777.66159444735</v>
      </c>
      <c r="CD115" s="58">
        <f t="shared" si="554"/>
        <v>125650.59894742501</v>
      </c>
      <c r="CE115" s="58">
        <f t="shared" si="554"/>
        <v>128252.89688746924</v>
      </c>
      <c r="CF115" s="58">
        <f t="shared" si="554"/>
        <v>130843.58405091857</v>
      </c>
      <c r="CG115" s="58">
        <f t="shared" si="554"/>
        <v>142872.1788160195</v>
      </c>
      <c r="CH115" s="58">
        <f t="shared" si="554"/>
        <v>155290.41302558905</v>
      </c>
      <c r="CI115" s="58">
        <f t="shared" si="554"/>
        <v>157678.67484671759</v>
      </c>
      <c r="CJ115" s="58">
        <f t="shared" si="554"/>
        <v>161078.59672723958</v>
      </c>
      <c r="CK115" s="58">
        <f t="shared" si="554"/>
        <v>164303.37813203051</v>
      </c>
      <c r="CL115" s="58">
        <f t="shared" si="554"/>
        <v>166813.50936634312</v>
      </c>
      <c r="CM115" s="194">
        <f t="shared" si="554"/>
        <v>170316.81505314997</v>
      </c>
      <c r="CN115" s="58">
        <f t="shared" si="554"/>
        <v>173668.60929431021</v>
      </c>
      <c r="CO115" s="58">
        <f t="shared" si="554"/>
        <v>177312.06237280651</v>
      </c>
      <c r="CP115" s="58">
        <f t="shared" si="554"/>
        <v>179999.55079771965</v>
      </c>
      <c r="CQ115" s="58">
        <f t="shared" si="554"/>
        <v>183508.74373544334</v>
      </c>
      <c r="CR115" s="58">
        <f t="shared" si="554"/>
        <v>187076.78412337793</v>
      </c>
      <c r="CS115" s="58">
        <f t="shared" si="554"/>
        <v>202845.71472537465</v>
      </c>
      <c r="CT115" s="58">
        <f t="shared" si="554"/>
        <v>218607.91520401914</v>
      </c>
      <c r="CU115" s="58">
        <f t="shared" si="554"/>
        <v>222053.31139394848</v>
      </c>
      <c r="CV115" s="58">
        <f t="shared" si="554"/>
        <v>226572.92247809912</v>
      </c>
      <c r="CW115" s="58">
        <f t="shared" si="554"/>
        <v>230954.83652233565</v>
      </c>
      <c r="CX115" s="58">
        <f t="shared" si="554"/>
        <v>234502.05106078243</v>
      </c>
      <c r="CY115" s="58">
        <f t="shared" si="554"/>
        <v>239129.55370511123</v>
      </c>
    </row>
    <row r="116" spans="1:103" x14ac:dyDescent="0.3">
      <c r="A116" s="3"/>
      <c r="B116" s="4" t="s">
        <v>20</v>
      </c>
      <c r="C116" s="4"/>
      <c r="D116" s="56"/>
      <c r="E116" s="56">
        <f t="shared" ref="E116" si="555">E115</f>
        <v>0</v>
      </c>
      <c r="F116" s="56">
        <f>F115</f>
        <v>0</v>
      </c>
      <c r="G116" s="56">
        <f t="shared" ref="G116:BR116" si="556">G115</f>
        <v>0</v>
      </c>
      <c r="H116" s="56">
        <f t="shared" ref="H116:O116" si="557">H115</f>
        <v>0</v>
      </c>
      <c r="I116" s="56">
        <f t="shared" si="557"/>
        <v>0</v>
      </c>
      <c r="J116" s="56">
        <f t="shared" si="557"/>
        <v>0</v>
      </c>
      <c r="K116" s="56">
        <f t="shared" si="557"/>
        <v>0</v>
      </c>
      <c r="L116" s="56">
        <f t="shared" si="557"/>
        <v>0</v>
      </c>
      <c r="M116" s="56">
        <f t="shared" si="557"/>
        <v>0</v>
      </c>
      <c r="N116" s="56">
        <f t="shared" si="557"/>
        <v>0</v>
      </c>
      <c r="O116" s="56">
        <f t="shared" si="557"/>
        <v>0</v>
      </c>
      <c r="P116" s="56">
        <f t="shared" ref="P116:Q116" si="558">P115</f>
        <v>0</v>
      </c>
      <c r="Q116" s="56">
        <f t="shared" si="558"/>
        <v>0</v>
      </c>
      <c r="R116" s="56">
        <f t="shared" ref="R116" si="559">R115</f>
        <v>0</v>
      </c>
      <c r="S116" s="56">
        <f t="shared" ref="S116:T116" si="560">S115</f>
        <v>0</v>
      </c>
      <c r="T116" s="56">
        <f t="shared" si="560"/>
        <v>0</v>
      </c>
      <c r="U116" s="56">
        <f t="shared" ref="U116:V116" si="561">U115</f>
        <v>1278.3900000000001</v>
      </c>
      <c r="V116" s="56">
        <f t="shared" si="561"/>
        <v>-222.65</v>
      </c>
      <c r="W116" s="56">
        <f t="shared" ref="W116:X116" si="562">W115</f>
        <v>551.46</v>
      </c>
      <c r="X116" s="56">
        <f t="shared" si="562"/>
        <v>657.56999999999994</v>
      </c>
      <c r="Y116" s="56">
        <f t="shared" ref="Y116:Z116" si="563">Y115</f>
        <v>1460.56</v>
      </c>
      <c r="Z116" s="56">
        <f t="shared" si="563"/>
        <v>2286.3000000000002</v>
      </c>
      <c r="AA116" s="56">
        <f t="shared" ref="AA116:AB116" si="564">AA115</f>
        <v>210.72</v>
      </c>
      <c r="AB116" s="56">
        <f t="shared" si="564"/>
        <v>900.46</v>
      </c>
      <c r="AC116" s="193">
        <f t="shared" ref="AC116" si="565">AC115</f>
        <v>981.62</v>
      </c>
      <c r="AD116" s="56">
        <f t="shared" ref="AD116" si="566">AD115</f>
        <v>287.36295659956124</v>
      </c>
      <c r="AE116" s="193">
        <f t="shared" si="556"/>
        <v>1348.5318186994432</v>
      </c>
      <c r="AF116" s="56">
        <f t="shared" si="556"/>
        <v>2529.7619310404148</v>
      </c>
      <c r="AG116" s="56">
        <f t="shared" si="556"/>
        <v>3919.1659641489191</v>
      </c>
      <c r="AH116" s="56">
        <f t="shared" si="556"/>
        <v>4934.0728728180293</v>
      </c>
      <c r="AI116" s="56">
        <f t="shared" si="556"/>
        <v>5779.6239554497934</v>
      </c>
      <c r="AJ116" s="56">
        <f t="shared" si="556"/>
        <v>7335.7897232538562</v>
      </c>
      <c r="AK116" s="56">
        <f t="shared" si="556"/>
        <v>12560.748194832704</v>
      </c>
      <c r="AL116" s="56">
        <f t="shared" si="556"/>
        <v>17913.557555320629</v>
      </c>
      <c r="AM116" s="56">
        <f t="shared" si="556"/>
        <v>19460.491259879618</v>
      </c>
      <c r="AN116" s="56">
        <f t="shared" si="556"/>
        <v>21296.077436379019</v>
      </c>
      <c r="AO116" s="56">
        <f t="shared" si="556"/>
        <v>23091.344612673925</v>
      </c>
      <c r="AP116" s="56">
        <f t="shared" si="556"/>
        <v>24570.990255179509</v>
      </c>
      <c r="AQ116" s="193">
        <f t="shared" si="556"/>
        <v>26500.424255024671</v>
      </c>
      <c r="AR116" s="56">
        <f t="shared" si="556"/>
        <v>27619.762259419589</v>
      </c>
      <c r="AS116" s="56">
        <f t="shared" si="556"/>
        <v>28839.849099895735</v>
      </c>
      <c r="AT116" s="56">
        <f t="shared" si="556"/>
        <v>29579.170513429079</v>
      </c>
      <c r="AU116" s="56">
        <f t="shared" si="556"/>
        <v>30721.251684010167</v>
      </c>
      <c r="AV116" s="56">
        <f t="shared" si="556"/>
        <v>31971.04492370582</v>
      </c>
      <c r="AW116" s="56">
        <f t="shared" si="556"/>
        <v>37729.591272647238</v>
      </c>
      <c r="AX116" s="56">
        <f t="shared" si="556"/>
        <v>43655.687951309294</v>
      </c>
      <c r="AY116" s="56">
        <f t="shared" si="556"/>
        <v>44844.663146117011</v>
      </c>
      <c r="AZ116" s="56">
        <f t="shared" si="556"/>
        <v>46379.975636136696</v>
      </c>
      <c r="BA116" s="56">
        <f t="shared" si="556"/>
        <v>47904.206445991542</v>
      </c>
      <c r="BB116" s="56">
        <f t="shared" si="556"/>
        <v>49098.496622347076</v>
      </c>
      <c r="BC116" s="193">
        <f t="shared" si="556"/>
        <v>50672.303514536005</v>
      </c>
      <c r="BD116" s="56">
        <f t="shared" si="556"/>
        <v>52279.467721660658</v>
      </c>
      <c r="BE116" s="56">
        <f t="shared" si="556"/>
        <v>53998.862460121454</v>
      </c>
      <c r="BF116" s="56">
        <f t="shared" si="556"/>
        <v>55209.735939110673</v>
      </c>
      <c r="BG116" s="56">
        <f t="shared" si="556"/>
        <v>56849.428910643408</v>
      </c>
      <c r="BH116" s="56">
        <f t="shared" si="556"/>
        <v>58622.156196354328</v>
      </c>
      <c r="BI116" s="56">
        <f t="shared" si="556"/>
        <v>65661.339305328263</v>
      </c>
      <c r="BJ116" s="56">
        <f t="shared" si="556"/>
        <v>73036.695227072574</v>
      </c>
      <c r="BK116" s="56">
        <f t="shared" si="556"/>
        <v>74211.652347151248</v>
      </c>
      <c r="BL116" s="56">
        <f t="shared" si="556"/>
        <v>75864.128168484895</v>
      </c>
      <c r="BM116" s="56">
        <f t="shared" si="556"/>
        <v>77550.30989522874</v>
      </c>
      <c r="BN116" s="56">
        <f t="shared" si="556"/>
        <v>78734.983977711177</v>
      </c>
      <c r="BO116" s="193">
        <f t="shared" si="556"/>
        <v>80450.940439613842</v>
      </c>
      <c r="BP116" s="56">
        <f t="shared" si="556"/>
        <v>82213.384683612676</v>
      </c>
      <c r="BQ116" s="56">
        <f t="shared" si="556"/>
        <v>84040.409276874227</v>
      </c>
      <c r="BR116" s="56">
        <f t="shared" si="556"/>
        <v>85263.749342464522</v>
      </c>
      <c r="BS116" s="56">
        <f t="shared" ref="BS116:CY116" si="567">BS115</f>
        <v>87151.4510073782</v>
      </c>
      <c r="BT116" s="56">
        <f t="shared" si="567"/>
        <v>88993.769088211659</v>
      </c>
      <c r="BU116" s="56">
        <f t="shared" si="567"/>
        <v>98161.151921393452</v>
      </c>
      <c r="BV116" s="56">
        <f t="shared" si="567"/>
        <v>107933.18684008314</v>
      </c>
      <c r="BW116" s="56">
        <f t="shared" si="567"/>
        <v>109605.00913751451</v>
      </c>
      <c r="BX116" s="56">
        <f t="shared" si="567"/>
        <v>112027.43881615753</v>
      </c>
      <c r="BY116" s="56">
        <f t="shared" si="567"/>
        <v>114417.61189688559</v>
      </c>
      <c r="BZ116" s="56">
        <f t="shared" si="567"/>
        <v>116192.06609892033</v>
      </c>
      <c r="CA116" s="193">
        <f t="shared" si="567"/>
        <v>118730.61456199324</v>
      </c>
      <c r="CB116" s="56">
        <f t="shared" si="567"/>
        <v>121124.30423382552</v>
      </c>
      <c r="CC116" s="56">
        <f t="shared" si="567"/>
        <v>123777.66159444735</v>
      </c>
      <c r="CD116" s="56">
        <f t="shared" si="567"/>
        <v>125650.59894742501</v>
      </c>
      <c r="CE116" s="56">
        <f t="shared" si="567"/>
        <v>128252.89688746924</v>
      </c>
      <c r="CF116" s="56">
        <f t="shared" si="567"/>
        <v>130843.58405091857</v>
      </c>
      <c r="CG116" s="56">
        <f t="shared" si="567"/>
        <v>142872.1788160195</v>
      </c>
      <c r="CH116" s="56">
        <f t="shared" si="567"/>
        <v>155290.41302558905</v>
      </c>
      <c r="CI116" s="56">
        <f t="shared" si="567"/>
        <v>157678.67484671759</v>
      </c>
      <c r="CJ116" s="56">
        <f t="shared" si="567"/>
        <v>161078.59672723958</v>
      </c>
      <c r="CK116" s="56">
        <f t="shared" si="567"/>
        <v>164303.37813203051</v>
      </c>
      <c r="CL116" s="56">
        <f t="shared" si="567"/>
        <v>166813.50936634312</v>
      </c>
      <c r="CM116" s="193">
        <f t="shared" si="567"/>
        <v>170316.81505314997</v>
      </c>
      <c r="CN116" s="56">
        <f t="shared" si="567"/>
        <v>173668.60929431021</v>
      </c>
      <c r="CO116" s="56">
        <f t="shared" si="567"/>
        <v>177312.06237280651</v>
      </c>
      <c r="CP116" s="56">
        <f t="shared" si="567"/>
        <v>179999.55079771965</v>
      </c>
      <c r="CQ116" s="56">
        <f t="shared" si="567"/>
        <v>183508.74373544334</v>
      </c>
      <c r="CR116" s="56">
        <f t="shared" si="567"/>
        <v>187076.78412337793</v>
      </c>
      <c r="CS116" s="56">
        <f t="shared" si="567"/>
        <v>202845.71472537465</v>
      </c>
      <c r="CT116" s="56">
        <f t="shared" si="567"/>
        <v>218607.91520401914</v>
      </c>
      <c r="CU116" s="56">
        <f t="shared" si="567"/>
        <v>222053.31139394848</v>
      </c>
      <c r="CV116" s="56">
        <f t="shared" si="567"/>
        <v>226572.92247809912</v>
      </c>
      <c r="CW116" s="56">
        <f t="shared" si="567"/>
        <v>230954.83652233565</v>
      </c>
      <c r="CX116" s="56">
        <f t="shared" si="567"/>
        <v>234502.05106078243</v>
      </c>
      <c r="CY116" s="56">
        <f t="shared" si="567"/>
        <v>239129.55370511123</v>
      </c>
    </row>
    <row r="117" spans="1:103" x14ac:dyDescent="0.3">
      <c r="B117" s="1" t="s">
        <v>21</v>
      </c>
      <c r="C117" s="1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576"/>
      <c r="AD117" s="2"/>
      <c r="AE117" s="191"/>
    </row>
    <row r="118" spans="1:103" x14ac:dyDescent="0.3">
      <c r="B118" s="1" t="s">
        <v>22</v>
      </c>
      <c r="C118" s="1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576"/>
      <c r="AD118" s="2"/>
      <c r="AE118" s="191"/>
    </row>
    <row r="119" spans="1:103" s="30" customFormat="1" x14ac:dyDescent="0.3">
      <c r="A119"/>
      <c r="B119" s="413" t="s">
        <v>259</v>
      </c>
      <c r="C119" s="1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>
        <v>0</v>
      </c>
      <c r="V119" s="115">
        <v>0</v>
      </c>
      <c r="W119" s="115">
        <v>300</v>
      </c>
      <c r="X119" s="115">
        <v>375</v>
      </c>
      <c r="Y119" s="115">
        <v>150</v>
      </c>
      <c r="Z119" s="115">
        <v>75</v>
      </c>
      <c r="AA119" s="115">
        <v>150</v>
      </c>
      <c r="AB119" s="115">
        <v>75</v>
      </c>
      <c r="AC119" s="192">
        <v>150</v>
      </c>
      <c r="AD119" s="637">
        <f>+AC119</f>
        <v>150</v>
      </c>
      <c r="AE119" s="201">
        <f t="shared" ref="AE119:CI119" si="568">+AD119</f>
        <v>150</v>
      </c>
      <c r="AF119" s="9">
        <f t="shared" si="568"/>
        <v>150</v>
      </c>
      <c r="AG119" s="9">
        <f t="shared" si="568"/>
        <v>150</v>
      </c>
      <c r="AH119" s="9">
        <f t="shared" si="568"/>
        <v>150</v>
      </c>
      <c r="AI119" s="9">
        <f t="shared" si="568"/>
        <v>150</v>
      </c>
      <c r="AJ119" s="9">
        <f t="shared" si="568"/>
        <v>150</v>
      </c>
      <c r="AK119" s="9">
        <f t="shared" si="568"/>
        <v>150</v>
      </c>
      <c r="AL119" s="9">
        <f t="shared" si="568"/>
        <v>150</v>
      </c>
      <c r="AM119" s="9">
        <f t="shared" si="568"/>
        <v>150</v>
      </c>
      <c r="AN119" s="9">
        <f t="shared" si="568"/>
        <v>150</v>
      </c>
      <c r="AO119" s="9">
        <f t="shared" si="568"/>
        <v>150</v>
      </c>
      <c r="AP119" s="9">
        <f t="shared" si="568"/>
        <v>150</v>
      </c>
      <c r="AQ119" s="201">
        <f t="shared" si="568"/>
        <v>150</v>
      </c>
      <c r="AR119" s="9">
        <f t="shared" si="568"/>
        <v>150</v>
      </c>
      <c r="AS119" s="9">
        <f t="shared" si="568"/>
        <v>150</v>
      </c>
      <c r="AT119" s="9">
        <f t="shared" si="568"/>
        <v>150</v>
      </c>
      <c r="AU119" s="9">
        <f t="shared" si="568"/>
        <v>150</v>
      </c>
      <c r="AV119" s="9">
        <f t="shared" si="568"/>
        <v>150</v>
      </c>
      <c r="AW119" s="9">
        <f t="shared" si="568"/>
        <v>150</v>
      </c>
      <c r="AX119" s="9">
        <f t="shared" si="568"/>
        <v>150</v>
      </c>
      <c r="AY119" s="9">
        <f t="shared" si="568"/>
        <v>150</v>
      </c>
      <c r="AZ119" s="9">
        <f t="shared" si="568"/>
        <v>150</v>
      </c>
      <c r="BA119" s="9">
        <f t="shared" si="568"/>
        <v>150</v>
      </c>
      <c r="BB119" s="9">
        <f t="shared" si="568"/>
        <v>150</v>
      </c>
      <c r="BC119" s="518">
        <f>+BB119</f>
        <v>150</v>
      </c>
      <c r="BD119" s="9">
        <f t="shared" si="568"/>
        <v>150</v>
      </c>
      <c r="BE119" s="9">
        <f t="shared" si="568"/>
        <v>150</v>
      </c>
      <c r="BF119" s="9">
        <f t="shared" si="568"/>
        <v>150</v>
      </c>
      <c r="BG119" s="9">
        <f t="shared" si="568"/>
        <v>150</v>
      </c>
      <c r="BH119" s="9">
        <f t="shared" si="568"/>
        <v>150</v>
      </c>
      <c r="BI119" s="9">
        <f t="shared" si="568"/>
        <v>150</v>
      </c>
      <c r="BJ119" s="9">
        <f t="shared" si="568"/>
        <v>150</v>
      </c>
      <c r="BK119" s="9">
        <f t="shared" si="568"/>
        <v>150</v>
      </c>
      <c r="BL119" s="9">
        <f t="shared" si="568"/>
        <v>150</v>
      </c>
      <c r="BM119" s="9">
        <f t="shared" si="568"/>
        <v>150</v>
      </c>
      <c r="BN119" s="9">
        <f t="shared" si="568"/>
        <v>150</v>
      </c>
      <c r="BO119" s="201">
        <f t="shared" si="568"/>
        <v>150</v>
      </c>
      <c r="BP119" s="9">
        <f t="shared" si="568"/>
        <v>150</v>
      </c>
      <c r="BQ119" s="9">
        <f t="shared" si="568"/>
        <v>150</v>
      </c>
      <c r="BR119" s="9">
        <f t="shared" si="568"/>
        <v>150</v>
      </c>
      <c r="BS119" s="9">
        <f t="shared" si="568"/>
        <v>150</v>
      </c>
      <c r="BT119" s="9">
        <f t="shared" si="568"/>
        <v>150</v>
      </c>
      <c r="BU119" s="9">
        <f t="shared" si="568"/>
        <v>150</v>
      </c>
      <c r="BV119" s="9">
        <f t="shared" si="568"/>
        <v>150</v>
      </c>
      <c r="BW119" s="9">
        <f t="shared" si="568"/>
        <v>150</v>
      </c>
      <c r="BX119" s="9">
        <f t="shared" si="568"/>
        <v>150</v>
      </c>
      <c r="BY119" s="9">
        <f t="shared" si="568"/>
        <v>150</v>
      </c>
      <c r="BZ119" s="9">
        <f t="shared" si="568"/>
        <v>150</v>
      </c>
      <c r="CA119" s="201">
        <f t="shared" si="568"/>
        <v>150</v>
      </c>
      <c r="CB119" s="9">
        <f t="shared" si="568"/>
        <v>150</v>
      </c>
      <c r="CC119" s="9">
        <f t="shared" si="568"/>
        <v>150</v>
      </c>
      <c r="CD119" s="9">
        <f t="shared" si="568"/>
        <v>150</v>
      </c>
      <c r="CE119" s="9">
        <f t="shared" si="568"/>
        <v>150</v>
      </c>
      <c r="CF119" s="9">
        <f t="shared" si="568"/>
        <v>150</v>
      </c>
      <c r="CG119" s="9">
        <f t="shared" si="568"/>
        <v>150</v>
      </c>
      <c r="CH119" s="9">
        <f t="shared" si="568"/>
        <v>150</v>
      </c>
      <c r="CI119" s="9">
        <f t="shared" si="568"/>
        <v>150</v>
      </c>
      <c r="CJ119" s="9">
        <f t="shared" ref="CJ119:CY119" si="569">+CI119</f>
        <v>150</v>
      </c>
      <c r="CK119" s="9">
        <f t="shared" si="569"/>
        <v>150</v>
      </c>
      <c r="CL119" s="9">
        <f t="shared" si="569"/>
        <v>150</v>
      </c>
      <c r="CM119" s="201">
        <f t="shared" si="569"/>
        <v>150</v>
      </c>
      <c r="CN119" s="9">
        <f t="shared" si="569"/>
        <v>150</v>
      </c>
      <c r="CO119" s="9">
        <f t="shared" si="569"/>
        <v>150</v>
      </c>
      <c r="CP119" s="9">
        <f t="shared" si="569"/>
        <v>150</v>
      </c>
      <c r="CQ119" s="9">
        <f t="shared" si="569"/>
        <v>150</v>
      </c>
      <c r="CR119" s="9">
        <f t="shared" si="569"/>
        <v>150</v>
      </c>
      <c r="CS119" s="9">
        <f t="shared" si="569"/>
        <v>150</v>
      </c>
      <c r="CT119" s="9">
        <f t="shared" si="569"/>
        <v>150</v>
      </c>
      <c r="CU119" s="9">
        <f t="shared" si="569"/>
        <v>150</v>
      </c>
      <c r="CV119" s="9">
        <f t="shared" si="569"/>
        <v>150</v>
      </c>
      <c r="CW119" s="9">
        <f t="shared" si="569"/>
        <v>150</v>
      </c>
      <c r="CX119" s="9">
        <f t="shared" si="569"/>
        <v>150</v>
      </c>
      <c r="CY119" s="9">
        <f t="shared" si="569"/>
        <v>150</v>
      </c>
    </row>
    <row r="120" spans="1:103" x14ac:dyDescent="0.3">
      <c r="A120" s="3"/>
      <c r="B120" s="4" t="s">
        <v>260</v>
      </c>
      <c r="C120" s="4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>
        <f t="shared" ref="U120:Z120" si="570">SUM(U119)</f>
        <v>0</v>
      </c>
      <c r="V120" s="56">
        <f t="shared" si="570"/>
        <v>0</v>
      </c>
      <c r="W120" s="56">
        <f t="shared" si="570"/>
        <v>300</v>
      </c>
      <c r="X120" s="56">
        <f t="shared" si="570"/>
        <v>375</v>
      </c>
      <c r="Y120" s="56">
        <f t="shared" si="570"/>
        <v>150</v>
      </c>
      <c r="Z120" s="56">
        <f t="shared" si="570"/>
        <v>75</v>
      </c>
      <c r="AA120" s="56">
        <f t="shared" ref="AA120:AB120" si="571">SUM(AA119)</f>
        <v>150</v>
      </c>
      <c r="AB120" s="56">
        <f t="shared" si="571"/>
        <v>75</v>
      </c>
      <c r="AC120" s="193">
        <f t="shared" ref="AC120" si="572">SUM(AC119)</f>
        <v>150</v>
      </c>
      <c r="AD120" s="56">
        <f t="shared" ref="AD120" si="573">SUM(AD119)</f>
        <v>150</v>
      </c>
      <c r="AE120" s="193">
        <f t="shared" ref="AE120:CG120" si="574">SUM(AE119)</f>
        <v>150</v>
      </c>
      <c r="AF120" s="56">
        <f t="shared" si="574"/>
        <v>150</v>
      </c>
      <c r="AG120" s="56">
        <f t="shared" si="574"/>
        <v>150</v>
      </c>
      <c r="AH120" s="56">
        <f t="shared" si="574"/>
        <v>150</v>
      </c>
      <c r="AI120" s="56">
        <f t="shared" si="574"/>
        <v>150</v>
      </c>
      <c r="AJ120" s="56">
        <f t="shared" si="574"/>
        <v>150</v>
      </c>
      <c r="AK120" s="56">
        <f t="shared" si="574"/>
        <v>150</v>
      </c>
      <c r="AL120" s="56">
        <f t="shared" si="574"/>
        <v>150</v>
      </c>
      <c r="AM120" s="56">
        <f t="shared" si="574"/>
        <v>150</v>
      </c>
      <c r="AN120" s="56">
        <f t="shared" si="574"/>
        <v>150</v>
      </c>
      <c r="AO120" s="56">
        <f t="shared" si="574"/>
        <v>150</v>
      </c>
      <c r="AP120" s="56">
        <f t="shared" si="574"/>
        <v>150</v>
      </c>
      <c r="AQ120" s="193">
        <f t="shared" si="574"/>
        <v>150</v>
      </c>
      <c r="AR120" s="56">
        <f t="shared" si="574"/>
        <v>150</v>
      </c>
      <c r="AS120" s="56">
        <f t="shared" si="574"/>
        <v>150</v>
      </c>
      <c r="AT120" s="56">
        <f t="shared" si="574"/>
        <v>150</v>
      </c>
      <c r="AU120" s="56">
        <f t="shared" si="574"/>
        <v>150</v>
      </c>
      <c r="AV120" s="56">
        <f t="shared" si="574"/>
        <v>150</v>
      </c>
      <c r="AW120" s="56">
        <f t="shared" si="574"/>
        <v>150</v>
      </c>
      <c r="AX120" s="56">
        <f t="shared" si="574"/>
        <v>150</v>
      </c>
      <c r="AY120" s="56">
        <f t="shared" si="574"/>
        <v>150</v>
      </c>
      <c r="AZ120" s="56">
        <f t="shared" si="574"/>
        <v>150</v>
      </c>
      <c r="BA120" s="56">
        <f t="shared" si="574"/>
        <v>150</v>
      </c>
      <c r="BB120" s="56">
        <f t="shared" si="574"/>
        <v>150</v>
      </c>
      <c r="BC120" s="193">
        <f t="shared" si="574"/>
        <v>150</v>
      </c>
      <c r="BD120" s="56">
        <f t="shared" si="574"/>
        <v>150</v>
      </c>
      <c r="BE120" s="56">
        <f t="shared" si="574"/>
        <v>150</v>
      </c>
      <c r="BF120" s="56">
        <f t="shared" si="574"/>
        <v>150</v>
      </c>
      <c r="BG120" s="56">
        <f t="shared" si="574"/>
        <v>150</v>
      </c>
      <c r="BH120" s="56">
        <f t="shared" si="574"/>
        <v>150</v>
      </c>
      <c r="BI120" s="56">
        <f t="shared" si="574"/>
        <v>150</v>
      </c>
      <c r="BJ120" s="56">
        <f t="shared" si="574"/>
        <v>150</v>
      </c>
      <c r="BK120" s="56">
        <f t="shared" si="574"/>
        <v>150</v>
      </c>
      <c r="BL120" s="56">
        <f t="shared" si="574"/>
        <v>150</v>
      </c>
      <c r="BM120" s="56">
        <f t="shared" si="574"/>
        <v>150</v>
      </c>
      <c r="BN120" s="56">
        <f t="shared" si="574"/>
        <v>150</v>
      </c>
      <c r="BO120" s="193">
        <f t="shared" si="574"/>
        <v>150</v>
      </c>
      <c r="BP120" s="56">
        <f t="shared" si="574"/>
        <v>150</v>
      </c>
      <c r="BQ120" s="56">
        <f t="shared" si="574"/>
        <v>150</v>
      </c>
      <c r="BR120" s="56">
        <f t="shared" si="574"/>
        <v>150</v>
      </c>
      <c r="BS120" s="56">
        <f t="shared" si="574"/>
        <v>150</v>
      </c>
      <c r="BT120" s="56">
        <f t="shared" si="574"/>
        <v>150</v>
      </c>
      <c r="BU120" s="56">
        <f t="shared" si="574"/>
        <v>150</v>
      </c>
      <c r="BV120" s="56">
        <f t="shared" si="574"/>
        <v>150</v>
      </c>
      <c r="BW120" s="56">
        <f t="shared" si="574"/>
        <v>150</v>
      </c>
      <c r="BX120" s="56">
        <f t="shared" si="574"/>
        <v>150</v>
      </c>
      <c r="BY120" s="56">
        <f t="shared" si="574"/>
        <v>150</v>
      </c>
      <c r="BZ120" s="56">
        <f t="shared" si="574"/>
        <v>150</v>
      </c>
      <c r="CA120" s="193">
        <f t="shared" si="574"/>
        <v>150</v>
      </c>
      <c r="CB120" s="56">
        <f t="shared" si="574"/>
        <v>150</v>
      </c>
      <c r="CC120" s="56">
        <f t="shared" si="574"/>
        <v>150</v>
      </c>
      <c r="CD120" s="56">
        <f t="shared" si="574"/>
        <v>150</v>
      </c>
      <c r="CE120" s="56">
        <f t="shared" si="574"/>
        <v>150</v>
      </c>
      <c r="CF120" s="56">
        <f t="shared" si="574"/>
        <v>150</v>
      </c>
      <c r="CG120" s="56">
        <f t="shared" si="574"/>
        <v>150</v>
      </c>
      <c r="CH120" s="56">
        <f t="shared" ref="CH120:CY120" si="575">SUM(CH119)</f>
        <v>150</v>
      </c>
      <c r="CI120" s="56">
        <f t="shared" si="575"/>
        <v>150</v>
      </c>
      <c r="CJ120" s="56">
        <f t="shared" si="575"/>
        <v>150</v>
      </c>
      <c r="CK120" s="56">
        <f t="shared" si="575"/>
        <v>150</v>
      </c>
      <c r="CL120" s="56">
        <f t="shared" si="575"/>
        <v>150</v>
      </c>
      <c r="CM120" s="193">
        <f t="shared" si="575"/>
        <v>150</v>
      </c>
      <c r="CN120" s="56">
        <f t="shared" si="575"/>
        <v>150</v>
      </c>
      <c r="CO120" s="56">
        <f t="shared" si="575"/>
        <v>150</v>
      </c>
      <c r="CP120" s="56">
        <f t="shared" si="575"/>
        <v>150</v>
      </c>
      <c r="CQ120" s="56">
        <f t="shared" si="575"/>
        <v>150</v>
      </c>
      <c r="CR120" s="56">
        <f t="shared" si="575"/>
        <v>150</v>
      </c>
      <c r="CS120" s="56">
        <f t="shared" si="575"/>
        <v>150</v>
      </c>
      <c r="CT120" s="56">
        <f t="shared" si="575"/>
        <v>150</v>
      </c>
      <c r="CU120" s="56">
        <f t="shared" si="575"/>
        <v>150</v>
      </c>
      <c r="CV120" s="56">
        <f t="shared" si="575"/>
        <v>150</v>
      </c>
      <c r="CW120" s="56">
        <f t="shared" si="575"/>
        <v>150</v>
      </c>
      <c r="CX120" s="56">
        <f t="shared" si="575"/>
        <v>150</v>
      </c>
      <c r="CY120" s="56">
        <f t="shared" si="575"/>
        <v>150</v>
      </c>
    </row>
    <row r="121" spans="1:103" x14ac:dyDescent="0.3">
      <c r="B121" s="1" t="s">
        <v>261</v>
      </c>
      <c r="C121" s="1"/>
      <c r="D121" s="2"/>
      <c r="E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576"/>
      <c r="AD121" s="2"/>
      <c r="AE121" s="191"/>
    </row>
    <row r="122" spans="1:103" s="30" customFormat="1" x14ac:dyDescent="0.3">
      <c r="A122"/>
      <c r="B122" s="413" t="s">
        <v>257</v>
      </c>
      <c r="C122" s="1"/>
      <c r="D122" s="115"/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/>
      <c r="Q122" s="115"/>
      <c r="R122" s="115"/>
      <c r="S122" s="115"/>
      <c r="T122" s="115">
        <v>2378.2199999999998</v>
      </c>
      <c r="U122" s="115">
        <v>3365</v>
      </c>
      <c r="V122" s="115">
        <v>4141.1000000000004</v>
      </c>
      <c r="W122" s="115">
        <v>4358.08</v>
      </c>
      <c r="X122" s="115">
        <v>4412.84</v>
      </c>
      <c r="Y122" s="115">
        <v>4236.49</v>
      </c>
      <c r="Z122" s="115">
        <v>4172.5200000000004</v>
      </c>
      <c r="AA122" s="115">
        <v>4113.4399999999996</v>
      </c>
      <c r="AB122" s="115">
        <v>4259.3</v>
      </c>
      <c r="AC122" s="192">
        <v>4086.13</v>
      </c>
      <c r="AD122" s="637">
        <f t="shared" ref="AD122" si="576">+AC122</f>
        <v>4086.13</v>
      </c>
      <c r="AE122" s="201">
        <f t="shared" ref="AE122:BU122" si="577">AD122</f>
        <v>4086.13</v>
      </c>
      <c r="AF122" s="9">
        <f t="shared" si="577"/>
        <v>4086.13</v>
      </c>
      <c r="AG122" s="9">
        <f t="shared" si="577"/>
        <v>4086.13</v>
      </c>
      <c r="AH122" s="9">
        <f t="shared" si="577"/>
        <v>4086.13</v>
      </c>
      <c r="AI122" s="9">
        <f t="shared" si="577"/>
        <v>4086.13</v>
      </c>
      <c r="AJ122" s="9">
        <f t="shared" si="577"/>
        <v>4086.13</v>
      </c>
      <c r="AK122" s="9">
        <f t="shared" si="577"/>
        <v>4086.13</v>
      </c>
      <c r="AL122" s="9">
        <f t="shared" si="577"/>
        <v>4086.13</v>
      </c>
      <c r="AM122" s="9">
        <f t="shared" si="577"/>
        <v>4086.13</v>
      </c>
      <c r="AN122" s="9">
        <f t="shared" si="577"/>
        <v>4086.13</v>
      </c>
      <c r="AO122" s="9">
        <f t="shared" si="577"/>
        <v>4086.13</v>
      </c>
      <c r="AP122" s="9">
        <f t="shared" si="577"/>
        <v>4086.13</v>
      </c>
      <c r="AQ122" s="201">
        <f t="shared" si="577"/>
        <v>4086.13</v>
      </c>
      <c r="AR122" s="9">
        <f t="shared" si="577"/>
        <v>4086.13</v>
      </c>
      <c r="AS122" s="9">
        <f t="shared" si="577"/>
        <v>4086.13</v>
      </c>
      <c r="AT122" s="9">
        <f t="shared" si="577"/>
        <v>4086.13</v>
      </c>
      <c r="AU122" s="9">
        <f t="shared" si="577"/>
        <v>4086.13</v>
      </c>
      <c r="AV122" s="9">
        <f t="shared" si="577"/>
        <v>4086.13</v>
      </c>
      <c r="AW122" s="9">
        <f t="shared" si="577"/>
        <v>4086.13</v>
      </c>
      <c r="AX122" s="9">
        <f t="shared" si="577"/>
        <v>4086.13</v>
      </c>
      <c r="AY122" s="9">
        <f t="shared" si="577"/>
        <v>4086.13</v>
      </c>
      <c r="AZ122" s="9">
        <f t="shared" si="577"/>
        <v>4086.13</v>
      </c>
      <c r="BA122" s="9">
        <f t="shared" si="577"/>
        <v>4086.13</v>
      </c>
      <c r="BB122" s="9">
        <f t="shared" si="577"/>
        <v>4086.13</v>
      </c>
      <c r="BC122" s="201">
        <f t="shared" si="577"/>
        <v>4086.13</v>
      </c>
      <c r="BD122" s="9">
        <f t="shared" si="577"/>
        <v>4086.13</v>
      </c>
      <c r="BE122" s="9">
        <f t="shared" si="577"/>
        <v>4086.13</v>
      </c>
      <c r="BF122" s="9">
        <f t="shared" si="577"/>
        <v>4086.13</v>
      </c>
      <c r="BG122" s="9">
        <f t="shared" si="577"/>
        <v>4086.13</v>
      </c>
      <c r="BH122" s="9">
        <f t="shared" si="577"/>
        <v>4086.13</v>
      </c>
      <c r="BI122" s="9">
        <f t="shared" si="577"/>
        <v>4086.13</v>
      </c>
      <c r="BJ122" s="9">
        <f t="shared" si="577"/>
        <v>4086.13</v>
      </c>
      <c r="BK122" s="9">
        <f t="shared" si="577"/>
        <v>4086.13</v>
      </c>
      <c r="BL122" s="9">
        <f t="shared" si="577"/>
        <v>4086.13</v>
      </c>
      <c r="BM122" s="9">
        <f t="shared" si="577"/>
        <v>4086.13</v>
      </c>
      <c r="BN122" s="9">
        <f t="shared" si="577"/>
        <v>4086.13</v>
      </c>
      <c r="BO122" s="201">
        <f t="shared" si="577"/>
        <v>4086.13</v>
      </c>
      <c r="BP122" s="9">
        <f t="shared" si="577"/>
        <v>4086.13</v>
      </c>
      <c r="BQ122" s="9">
        <f t="shared" si="577"/>
        <v>4086.13</v>
      </c>
      <c r="BR122" s="9">
        <f t="shared" si="577"/>
        <v>4086.13</v>
      </c>
      <c r="BS122" s="9">
        <f t="shared" si="577"/>
        <v>4086.13</v>
      </c>
      <c r="BT122" s="9">
        <f t="shared" si="577"/>
        <v>4086.13</v>
      </c>
      <c r="BU122" s="9">
        <f t="shared" si="577"/>
        <v>4086.13</v>
      </c>
      <c r="BV122" s="9">
        <f t="shared" ref="BV122:CY122" si="578">BU122</f>
        <v>4086.13</v>
      </c>
      <c r="BW122" s="9">
        <f t="shared" si="578"/>
        <v>4086.13</v>
      </c>
      <c r="BX122" s="9">
        <f t="shared" si="578"/>
        <v>4086.13</v>
      </c>
      <c r="BY122" s="9">
        <f t="shared" si="578"/>
        <v>4086.13</v>
      </c>
      <c r="BZ122" s="9">
        <f t="shared" si="578"/>
        <v>4086.13</v>
      </c>
      <c r="CA122" s="201">
        <f t="shared" si="578"/>
        <v>4086.13</v>
      </c>
      <c r="CB122" s="9">
        <f t="shared" si="578"/>
        <v>4086.13</v>
      </c>
      <c r="CC122" s="9">
        <f t="shared" si="578"/>
        <v>4086.13</v>
      </c>
      <c r="CD122" s="9">
        <f t="shared" si="578"/>
        <v>4086.13</v>
      </c>
      <c r="CE122" s="9">
        <f t="shared" si="578"/>
        <v>4086.13</v>
      </c>
      <c r="CF122" s="9">
        <f t="shared" si="578"/>
        <v>4086.13</v>
      </c>
      <c r="CG122" s="9">
        <f t="shared" si="578"/>
        <v>4086.13</v>
      </c>
      <c r="CH122" s="9">
        <f t="shared" si="578"/>
        <v>4086.13</v>
      </c>
      <c r="CI122" s="9">
        <f t="shared" si="578"/>
        <v>4086.13</v>
      </c>
      <c r="CJ122" s="9">
        <f t="shared" si="578"/>
        <v>4086.13</v>
      </c>
      <c r="CK122" s="9">
        <f t="shared" si="578"/>
        <v>4086.13</v>
      </c>
      <c r="CL122" s="9">
        <f t="shared" si="578"/>
        <v>4086.13</v>
      </c>
      <c r="CM122" s="201">
        <f t="shared" si="578"/>
        <v>4086.13</v>
      </c>
      <c r="CN122" s="9">
        <f t="shared" si="578"/>
        <v>4086.13</v>
      </c>
      <c r="CO122" s="9">
        <f t="shared" si="578"/>
        <v>4086.13</v>
      </c>
      <c r="CP122" s="9">
        <f t="shared" si="578"/>
        <v>4086.13</v>
      </c>
      <c r="CQ122" s="9">
        <f t="shared" si="578"/>
        <v>4086.13</v>
      </c>
      <c r="CR122" s="9">
        <f t="shared" si="578"/>
        <v>4086.13</v>
      </c>
      <c r="CS122" s="9">
        <f t="shared" si="578"/>
        <v>4086.13</v>
      </c>
      <c r="CT122" s="9">
        <f t="shared" si="578"/>
        <v>4086.13</v>
      </c>
      <c r="CU122" s="9">
        <f t="shared" si="578"/>
        <v>4086.13</v>
      </c>
      <c r="CV122" s="9">
        <f t="shared" si="578"/>
        <v>4086.13</v>
      </c>
      <c r="CW122" s="9">
        <f t="shared" si="578"/>
        <v>4086.13</v>
      </c>
      <c r="CX122" s="9">
        <f t="shared" si="578"/>
        <v>4086.13</v>
      </c>
      <c r="CY122" s="9">
        <f t="shared" si="578"/>
        <v>4086.13</v>
      </c>
    </row>
    <row r="123" spans="1:103" x14ac:dyDescent="0.3">
      <c r="A123" s="3"/>
      <c r="B123" s="4" t="s">
        <v>245</v>
      </c>
      <c r="C123" s="4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193"/>
      <c r="AD123" s="56"/>
      <c r="AE123" s="193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193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193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193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193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193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</row>
    <row r="124" spans="1:103" x14ac:dyDescent="0.3">
      <c r="B124" s="1" t="s">
        <v>23</v>
      </c>
      <c r="C124" s="1"/>
      <c r="D124" s="55"/>
      <c r="E124" s="55">
        <f t="shared" ref="E124:T124" si="579">SUM(E122)</f>
        <v>0</v>
      </c>
      <c r="F124" s="55">
        <f t="shared" si="579"/>
        <v>0</v>
      </c>
      <c r="G124" s="55">
        <f t="shared" si="579"/>
        <v>0</v>
      </c>
      <c r="H124" s="55">
        <f t="shared" si="579"/>
        <v>0</v>
      </c>
      <c r="I124" s="55">
        <f t="shared" si="579"/>
        <v>0</v>
      </c>
      <c r="J124" s="55">
        <f t="shared" si="579"/>
        <v>0</v>
      </c>
      <c r="K124" s="55">
        <f t="shared" si="579"/>
        <v>0</v>
      </c>
      <c r="L124" s="55">
        <f t="shared" si="579"/>
        <v>0</v>
      </c>
      <c r="M124" s="55">
        <f t="shared" si="579"/>
        <v>0</v>
      </c>
      <c r="N124" s="55">
        <f t="shared" si="579"/>
        <v>0</v>
      </c>
      <c r="O124" s="55">
        <f t="shared" si="579"/>
        <v>0</v>
      </c>
      <c r="P124" s="55">
        <f t="shared" si="579"/>
        <v>0</v>
      </c>
      <c r="Q124" s="55">
        <f t="shared" si="579"/>
        <v>0</v>
      </c>
      <c r="R124" s="55">
        <f t="shared" si="579"/>
        <v>0</v>
      </c>
      <c r="S124" s="55">
        <f t="shared" si="579"/>
        <v>0</v>
      </c>
      <c r="T124" s="55">
        <f t="shared" si="579"/>
        <v>2378.2199999999998</v>
      </c>
      <c r="U124" s="55">
        <f t="shared" ref="U124:AZ124" si="580">SUM(U122,U120)</f>
        <v>3365</v>
      </c>
      <c r="V124" s="55">
        <f t="shared" si="580"/>
        <v>4141.1000000000004</v>
      </c>
      <c r="W124" s="55">
        <f t="shared" si="580"/>
        <v>4658.08</v>
      </c>
      <c r="X124" s="55">
        <f t="shared" ref="X124:Y124" si="581">SUM(X122,X120)</f>
        <v>4787.84</v>
      </c>
      <c r="Y124" s="55">
        <f t="shared" si="581"/>
        <v>4386.49</v>
      </c>
      <c r="Z124" s="55">
        <f t="shared" ref="Z124:AA124" si="582">SUM(Z122,Z120)</f>
        <v>4247.5200000000004</v>
      </c>
      <c r="AA124" s="55">
        <f t="shared" si="582"/>
        <v>4263.4399999999996</v>
      </c>
      <c r="AB124" s="55">
        <f t="shared" ref="AB124:AC124" si="583">SUM(AB122,AB120)</f>
        <v>4334.3</v>
      </c>
      <c r="AC124" s="196">
        <f t="shared" si="583"/>
        <v>4236.13</v>
      </c>
      <c r="AD124" s="55">
        <f t="shared" ref="AD124" si="584">SUM(AD122,AD120)</f>
        <v>4236.13</v>
      </c>
      <c r="AE124" s="196">
        <f t="shared" si="580"/>
        <v>4236.13</v>
      </c>
      <c r="AF124" s="55">
        <f t="shared" si="580"/>
        <v>4236.13</v>
      </c>
      <c r="AG124" s="55">
        <f t="shared" si="580"/>
        <v>4236.13</v>
      </c>
      <c r="AH124" s="55">
        <f t="shared" si="580"/>
        <v>4236.13</v>
      </c>
      <c r="AI124" s="55">
        <f t="shared" si="580"/>
        <v>4236.13</v>
      </c>
      <c r="AJ124" s="55">
        <f t="shared" si="580"/>
        <v>4236.13</v>
      </c>
      <c r="AK124" s="55">
        <f t="shared" si="580"/>
        <v>4236.13</v>
      </c>
      <c r="AL124" s="55">
        <f t="shared" si="580"/>
        <v>4236.13</v>
      </c>
      <c r="AM124" s="55">
        <f t="shared" si="580"/>
        <v>4236.13</v>
      </c>
      <c r="AN124" s="55">
        <f t="shared" si="580"/>
        <v>4236.13</v>
      </c>
      <c r="AO124" s="55">
        <f t="shared" si="580"/>
        <v>4236.13</v>
      </c>
      <c r="AP124" s="55">
        <f t="shared" si="580"/>
        <v>4236.13</v>
      </c>
      <c r="AQ124" s="196">
        <f t="shared" si="580"/>
        <v>4236.13</v>
      </c>
      <c r="AR124" s="55">
        <f t="shared" si="580"/>
        <v>4236.13</v>
      </c>
      <c r="AS124" s="55">
        <f t="shared" si="580"/>
        <v>4236.13</v>
      </c>
      <c r="AT124" s="55">
        <f t="shared" si="580"/>
        <v>4236.13</v>
      </c>
      <c r="AU124" s="55">
        <f t="shared" si="580"/>
        <v>4236.13</v>
      </c>
      <c r="AV124" s="55">
        <f t="shared" si="580"/>
        <v>4236.13</v>
      </c>
      <c r="AW124" s="55">
        <f t="shared" si="580"/>
        <v>4236.13</v>
      </c>
      <c r="AX124" s="55">
        <f t="shared" si="580"/>
        <v>4236.13</v>
      </c>
      <c r="AY124" s="55">
        <f t="shared" si="580"/>
        <v>4236.13</v>
      </c>
      <c r="AZ124" s="55">
        <f t="shared" si="580"/>
        <v>4236.13</v>
      </c>
      <c r="BA124" s="55">
        <f t="shared" ref="BA124:CF124" si="585">SUM(BA122,BA120)</f>
        <v>4236.13</v>
      </c>
      <c r="BB124" s="55">
        <f t="shared" si="585"/>
        <v>4236.13</v>
      </c>
      <c r="BC124" s="196">
        <f t="shared" si="585"/>
        <v>4236.13</v>
      </c>
      <c r="BD124" s="55">
        <f t="shared" si="585"/>
        <v>4236.13</v>
      </c>
      <c r="BE124" s="55">
        <f t="shared" si="585"/>
        <v>4236.13</v>
      </c>
      <c r="BF124" s="55">
        <f t="shared" si="585"/>
        <v>4236.13</v>
      </c>
      <c r="BG124" s="55">
        <f t="shared" si="585"/>
        <v>4236.13</v>
      </c>
      <c r="BH124" s="55">
        <f t="shared" si="585"/>
        <v>4236.13</v>
      </c>
      <c r="BI124" s="55">
        <f t="shared" si="585"/>
        <v>4236.13</v>
      </c>
      <c r="BJ124" s="55">
        <f t="shared" si="585"/>
        <v>4236.13</v>
      </c>
      <c r="BK124" s="55">
        <f t="shared" si="585"/>
        <v>4236.13</v>
      </c>
      <c r="BL124" s="55">
        <f t="shared" si="585"/>
        <v>4236.13</v>
      </c>
      <c r="BM124" s="55">
        <f t="shared" si="585"/>
        <v>4236.13</v>
      </c>
      <c r="BN124" s="55">
        <f t="shared" si="585"/>
        <v>4236.13</v>
      </c>
      <c r="BO124" s="196">
        <f t="shared" si="585"/>
        <v>4236.13</v>
      </c>
      <c r="BP124" s="55">
        <f t="shared" si="585"/>
        <v>4236.13</v>
      </c>
      <c r="BQ124" s="55">
        <f t="shared" si="585"/>
        <v>4236.13</v>
      </c>
      <c r="BR124" s="55">
        <f t="shared" si="585"/>
        <v>4236.13</v>
      </c>
      <c r="BS124" s="55">
        <f t="shared" si="585"/>
        <v>4236.13</v>
      </c>
      <c r="BT124" s="55">
        <f t="shared" si="585"/>
        <v>4236.13</v>
      </c>
      <c r="BU124" s="55">
        <f t="shared" si="585"/>
        <v>4236.13</v>
      </c>
      <c r="BV124" s="55">
        <f t="shared" si="585"/>
        <v>4236.13</v>
      </c>
      <c r="BW124" s="55">
        <f t="shared" si="585"/>
        <v>4236.13</v>
      </c>
      <c r="BX124" s="55">
        <f t="shared" si="585"/>
        <v>4236.13</v>
      </c>
      <c r="BY124" s="55">
        <f t="shared" si="585"/>
        <v>4236.13</v>
      </c>
      <c r="BZ124" s="55">
        <f t="shared" si="585"/>
        <v>4236.13</v>
      </c>
      <c r="CA124" s="196">
        <f t="shared" si="585"/>
        <v>4236.13</v>
      </c>
      <c r="CB124" s="55">
        <f t="shared" si="585"/>
        <v>4236.13</v>
      </c>
      <c r="CC124" s="55">
        <f t="shared" si="585"/>
        <v>4236.13</v>
      </c>
      <c r="CD124" s="55">
        <f t="shared" si="585"/>
        <v>4236.13</v>
      </c>
      <c r="CE124" s="55">
        <f t="shared" si="585"/>
        <v>4236.13</v>
      </c>
      <c r="CF124" s="55">
        <f t="shared" si="585"/>
        <v>4236.13</v>
      </c>
      <c r="CG124" s="55">
        <f t="shared" ref="CG124:CY124" si="586">SUM(CG122,CG120)</f>
        <v>4236.13</v>
      </c>
      <c r="CH124" s="55">
        <f t="shared" si="586"/>
        <v>4236.13</v>
      </c>
      <c r="CI124" s="55">
        <f t="shared" si="586"/>
        <v>4236.13</v>
      </c>
      <c r="CJ124" s="55">
        <f t="shared" si="586"/>
        <v>4236.13</v>
      </c>
      <c r="CK124" s="55">
        <f t="shared" si="586"/>
        <v>4236.13</v>
      </c>
      <c r="CL124" s="55">
        <f t="shared" si="586"/>
        <v>4236.13</v>
      </c>
      <c r="CM124" s="196">
        <f t="shared" si="586"/>
        <v>4236.13</v>
      </c>
      <c r="CN124" s="55">
        <f t="shared" si="586"/>
        <v>4236.13</v>
      </c>
      <c r="CO124" s="55">
        <f t="shared" si="586"/>
        <v>4236.13</v>
      </c>
      <c r="CP124" s="55">
        <f t="shared" si="586"/>
        <v>4236.13</v>
      </c>
      <c r="CQ124" s="55">
        <f t="shared" si="586"/>
        <v>4236.13</v>
      </c>
      <c r="CR124" s="55">
        <f t="shared" si="586"/>
        <v>4236.13</v>
      </c>
      <c r="CS124" s="55">
        <f t="shared" si="586"/>
        <v>4236.13</v>
      </c>
      <c r="CT124" s="55">
        <f t="shared" si="586"/>
        <v>4236.13</v>
      </c>
      <c r="CU124" s="55">
        <f t="shared" si="586"/>
        <v>4236.13</v>
      </c>
      <c r="CV124" s="55">
        <f t="shared" si="586"/>
        <v>4236.13</v>
      </c>
      <c r="CW124" s="55">
        <f t="shared" si="586"/>
        <v>4236.13</v>
      </c>
      <c r="CX124" s="55">
        <f t="shared" si="586"/>
        <v>4236.13</v>
      </c>
      <c r="CY124" s="55">
        <f t="shared" si="586"/>
        <v>4236.13</v>
      </c>
    </row>
    <row r="125" spans="1:103" x14ac:dyDescent="0.3">
      <c r="B125" s="1" t="s">
        <v>24</v>
      </c>
      <c r="C125" s="1"/>
      <c r="D125" s="2"/>
      <c r="E125" s="2"/>
      <c r="F125" s="16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576"/>
      <c r="AD125" s="2"/>
      <c r="AE125" s="191"/>
    </row>
    <row r="126" spans="1:103" x14ac:dyDescent="0.3">
      <c r="B126" s="1" t="s">
        <v>238</v>
      </c>
      <c r="C126" s="1"/>
      <c r="D126" s="113"/>
      <c r="E126" s="113">
        <v>0</v>
      </c>
      <c r="F126" s="113">
        <v>0</v>
      </c>
      <c r="G126" s="113">
        <v>0</v>
      </c>
      <c r="H126" s="113">
        <v>0</v>
      </c>
      <c r="I126" s="113">
        <v>0</v>
      </c>
      <c r="J126" s="113">
        <v>0</v>
      </c>
      <c r="K126" s="113">
        <v>0</v>
      </c>
      <c r="L126" s="113">
        <v>0</v>
      </c>
      <c r="M126" s="113">
        <v>0</v>
      </c>
      <c r="N126" s="113">
        <v>0</v>
      </c>
      <c r="O126" s="113">
        <v>0</v>
      </c>
      <c r="P126" s="115"/>
      <c r="Q126" s="115"/>
      <c r="R126" s="115"/>
      <c r="S126" s="115"/>
      <c r="T126" s="115">
        <v>100</v>
      </c>
      <c r="U126" s="115">
        <v>6361.2</v>
      </c>
      <c r="V126" s="115">
        <v>7018.55</v>
      </c>
      <c r="W126" s="115">
        <v>9233.5499999999993</v>
      </c>
      <c r="X126" s="115">
        <v>9483.5499999999993</v>
      </c>
      <c r="Y126" s="115">
        <v>9533.5499999999993</v>
      </c>
      <c r="Z126" s="115">
        <v>9533.5499999999993</v>
      </c>
      <c r="AA126" s="115">
        <v>9533.5499999999993</v>
      </c>
      <c r="AB126" s="115">
        <v>10033.549999999999</v>
      </c>
      <c r="AC126" s="192">
        <v>10033.549999999999</v>
      </c>
      <c r="AD126" s="637">
        <f t="shared" ref="AD126" si="587">+AC126</f>
        <v>10033.549999999999</v>
      </c>
      <c r="AE126" s="192">
        <f t="shared" ref="AE126:CI126" si="588">+AD126</f>
        <v>10033.549999999999</v>
      </c>
      <c r="AF126" s="585">
        <f>+AE126</f>
        <v>10033.549999999999</v>
      </c>
      <c r="AG126" s="115">
        <f t="shared" si="588"/>
        <v>10033.549999999999</v>
      </c>
      <c r="AH126" s="115">
        <f t="shared" si="588"/>
        <v>10033.549999999999</v>
      </c>
      <c r="AI126" s="115">
        <f t="shared" si="588"/>
        <v>10033.549999999999</v>
      </c>
      <c r="AJ126" s="115">
        <f t="shared" si="588"/>
        <v>10033.549999999999</v>
      </c>
      <c r="AK126" s="115">
        <f t="shared" si="588"/>
        <v>10033.549999999999</v>
      </c>
      <c r="AL126" s="115">
        <f t="shared" si="588"/>
        <v>10033.549999999999</v>
      </c>
      <c r="AM126" s="115">
        <f t="shared" si="588"/>
        <v>10033.549999999999</v>
      </c>
      <c r="AN126" s="115">
        <f t="shared" si="588"/>
        <v>10033.549999999999</v>
      </c>
      <c r="AO126" s="115">
        <f t="shared" si="588"/>
        <v>10033.549999999999</v>
      </c>
      <c r="AP126" s="115">
        <f t="shared" si="588"/>
        <v>10033.549999999999</v>
      </c>
      <c r="AQ126" s="192">
        <f t="shared" si="588"/>
        <v>10033.549999999999</v>
      </c>
      <c r="AR126" s="115">
        <f t="shared" si="588"/>
        <v>10033.549999999999</v>
      </c>
      <c r="AS126" s="115">
        <f t="shared" si="588"/>
        <v>10033.549999999999</v>
      </c>
      <c r="AT126" s="115">
        <f t="shared" si="588"/>
        <v>10033.549999999999</v>
      </c>
      <c r="AU126" s="115">
        <f t="shared" si="588"/>
        <v>10033.549999999999</v>
      </c>
      <c r="AV126" s="115">
        <f t="shared" si="588"/>
        <v>10033.549999999999</v>
      </c>
      <c r="AW126" s="115">
        <f t="shared" si="588"/>
        <v>10033.549999999999</v>
      </c>
      <c r="AX126" s="115">
        <f t="shared" si="588"/>
        <v>10033.549999999999</v>
      </c>
      <c r="AY126" s="115">
        <f t="shared" si="588"/>
        <v>10033.549999999999</v>
      </c>
      <c r="AZ126" s="115">
        <f t="shared" si="588"/>
        <v>10033.549999999999</v>
      </c>
      <c r="BA126" s="115">
        <f t="shared" si="588"/>
        <v>10033.549999999999</v>
      </c>
      <c r="BB126" s="115">
        <f t="shared" si="588"/>
        <v>10033.549999999999</v>
      </c>
      <c r="BC126" s="192">
        <f t="shared" si="588"/>
        <v>10033.549999999999</v>
      </c>
      <c r="BD126" s="115">
        <f t="shared" si="588"/>
        <v>10033.549999999999</v>
      </c>
      <c r="BE126" s="115">
        <f t="shared" si="588"/>
        <v>10033.549999999999</v>
      </c>
      <c r="BF126" s="115">
        <f t="shared" si="588"/>
        <v>10033.549999999999</v>
      </c>
      <c r="BG126" s="115">
        <f t="shared" si="588"/>
        <v>10033.549999999999</v>
      </c>
      <c r="BH126" s="115">
        <f t="shared" si="588"/>
        <v>10033.549999999999</v>
      </c>
      <c r="BI126" s="115">
        <f t="shared" si="588"/>
        <v>10033.549999999999</v>
      </c>
      <c r="BJ126" s="115">
        <f t="shared" si="588"/>
        <v>10033.549999999999</v>
      </c>
      <c r="BK126" s="115">
        <f t="shared" si="588"/>
        <v>10033.549999999999</v>
      </c>
      <c r="BL126" s="115">
        <f t="shared" si="588"/>
        <v>10033.549999999999</v>
      </c>
      <c r="BM126" s="115">
        <f t="shared" si="588"/>
        <v>10033.549999999999</v>
      </c>
      <c r="BN126" s="115">
        <f t="shared" si="588"/>
        <v>10033.549999999999</v>
      </c>
      <c r="BO126" s="192">
        <f t="shared" si="588"/>
        <v>10033.549999999999</v>
      </c>
      <c r="BP126" s="115">
        <f t="shared" si="588"/>
        <v>10033.549999999999</v>
      </c>
      <c r="BQ126" s="115">
        <f t="shared" si="588"/>
        <v>10033.549999999999</v>
      </c>
      <c r="BR126" s="115">
        <f t="shared" si="588"/>
        <v>10033.549999999999</v>
      </c>
      <c r="BS126" s="115">
        <f t="shared" si="588"/>
        <v>10033.549999999999</v>
      </c>
      <c r="BT126" s="115">
        <f t="shared" si="588"/>
        <v>10033.549999999999</v>
      </c>
      <c r="BU126" s="115">
        <f t="shared" si="588"/>
        <v>10033.549999999999</v>
      </c>
      <c r="BV126" s="115">
        <f t="shared" si="588"/>
        <v>10033.549999999999</v>
      </c>
      <c r="BW126" s="115">
        <f t="shared" si="588"/>
        <v>10033.549999999999</v>
      </c>
      <c r="BX126" s="115">
        <f t="shared" si="588"/>
        <v>10033.549999999999</v>
      </c>
      <c r="BY126" s="115">
        <f t="shared" si="588"/>
        <v>10033.549999999999</v>
      </c>
      <c r="BZ126" s="115">
        <f t="shared" si="588"/>
        <v>10033.549999999999</v>
      </c>
      <c r="CA126" s="192">
        <f t="shared" si="588"/>
        <v>10033.549999999999</v>
      </c>
      <c r="CB126" s="115">
        <f t="shared" si="588"/>
        <v>10033.549999999999</v>
      </c>
      <c r="CC126" s="115">
        <f t="shared" si="588"/>
        <v>10033.549999999999</v>
      </c>
      <c r="CD126" s="115">
        <f t="shared" si="588"/>
        <v>10033.549999999999</v>
      </c>
      <c r="CE126" s="115">
        <f t="shared" si="588"/>
        <v>10033.549999999999</v>
      </c>
      <c r="CF126" s="115">
        <f t="shared" si="588"/>
        <v>10033.549999999999</v>
      </c>
      <c r="CG126" s="115">
        <f t="shared" si="588"/>
        <v>10033.549999999999</v>
      </c>
      <c r="CH126" s="115">
        <f t="shared" si="588"/>
        <v>10033.549999999999</v>
      </c>
      <c r="CI126" s="115">
        <f t="shared" si="588"/>
        <v>10033.549999999999</v>
      </c>
      <c r="CJ126" s="115">
        <f t="shared" ref="CJ126:CY126" si="589">+CI126</f>
        <v>10033.549999999999</v>
      </c>
      <c r="CK126" s="115">
        <f t="shared" si="589"/>
        <v>10033.549999999999</v>
      </c>
      <c r="CL126" s="115">
        <f t="shared" si="589"/>
        <v>10033.549999999999</v>
      </c>
      <c r="CM126" s="192">
        <f t="shared" si="589"/>
        <v>10033.549999999999</v>
      </c>
      <c r="CN126" s="115">
        <f t="shared" si="589"/>
        <v>10033.549999999999</v>
      </c>
      <c r="CO126" s="115">
        <f t="shared" si="589"/>
        <v>10033.549999999999</v>
      </c>
      <c r="CP126" s="115">
        <f t="shared" si="589"/>
        <v>10033.549999999999</v>
      </c>
      <c r="CQ126" s="115">
        <f t="shared" si="589"/>
        <v>10033.549999999999</v>
      </c>
      <c r="CR126" s="115">
        <f t="shared" si="589"/>
        <v>10033.549999999999</v>
      </c>
      <c r="CS126" s="115">
        <f t="shared" si="589"/>
        <v>10033.549999999999</v>
      </c>
      <c r="CT126" s="115">
        <f t="shared" si="589"/>
        <v>10033.549999999999</v>
      </c>
      <c r="CU126" s="115">
        <f t="shared" si="589"/>
        <v>10033.549999999999</v>
      </c>
      <c r="CV126" s="115">
        <f t="shared" si="589"/>
        <v>10033.549999999999</v>
      </c>
      <c r="CW126" s="115">
        <f t="shared" si="589"/>
        <v>10033.549999999999</v>
      </c>
      <c r="CX126" s="115">
        <f t="shared" si="589"/>
        <v>10033.549999999999</v>
      </c>
      <c r="CY126" s="115">
        <f t="shared" si="589"/>
        <v>10033.549999999999</v>
      </c>
    </row>
    <row r="127" spans="1:103" x14ac:dyDescent="0.3">
      <c r="B127" s="1" t="s">
        <v>258</v>
      </c>
      <c r="C127" s="1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5"/>
      <c r="Q127" s="115"/>
      <c r="R127" s="115"/>
      <c r="S127" s="115"/>
      <c r="T127" s="115">
        <v>-1907.08</v>
      </c>
      <c r="U127" s="115">
        <v>-7102.61</v>
      </c>
      <c r="V127" s="115">
        <v>-8961.02</v>
      </c>
      <c r="W127" s="115">
        <v>-9854.68</v>
      </c>
      <c r="X127" s="115">
        <v>-10745.46</v>
      </c>
      <c r="Y127" s="115">
        <v>-12951.05</v>
      </c>
      <c r="Z127" s="115">
        <v>-15372.6</v>
      </c>
      <c r="AA127" s="115">
        <v>-17167.41</v>
      </c>
      <c r="AB127" s="115">
        <v>-17810.39</v>
      </c>
      <c r="AC127" s="192">
        <v>-17592.62</v>
      </c>
      <c r="AD127" s="637">
        <f t="shared" ref="AD127:BD127" si="590">+AC127+AD132</f>
        <v>-17592.62</v>
      </c>
      <c r="AE127" s="192">
        <f t="shared" si="590"/>
        <v>-20068.680678233053</v>
      </c>
      <c r="AF127" s="115">
        <f>+AE127+AF132</f>
        <v>-22824.884273695323</v>
      </c>
      <c r="AG127" s="115">
        <f t="shared" si="590"/>
        <v>-26066.827017615167</v>
      </c>
      <c r="AH127" s="115">
        <f t="shared" si="590"/>
        <v>-28434.943137843085</v>
      </c>
      <c r="AI127" s="115">
        <f t="shared" si="590"/>
        <v>-30407.895663983865</v>
      </c>
      <c r="AJ127" s="115">
        <f t="shared" si="590"/>
        <v>-34038.949122193349</v>
      </c>
      <c r="AK127" s="115">
        <f t="shared" si="590"/>
        <v>-46230.518889210653</v>
      </c>
      <c r="AL127" s="115">
        <f t="shared" si="590"/>
        <v>-58720.407397015828</v>
      </c>
      <c r="AM127" s="115">
        <f t="shared" si="590"/>
        <v>-62329.919374320132</v>
      </c>
      <c r="AN127" s="115">
        <f t="shared" si="590"/>
        <v>-66612.953786152051</v>
      </c>
      <c r="AO127" s="115">
        <f t="shared" si="590"/>
        <v>-70801.910530840149</v>
      </c>
      <c r="AP127" s="115">
        <f t="shared" si="590"/>
        <v>-74254.417030019846</v>
      </c>
      <c r="AQ127" s="192">
        <f t="shared" si="590"/>
        <v>-78756.429696325227</v>
      </c>
      <c r="AR127" s="115">
        <f t="shared" si="590"/>
        <v>-81368.218373246695</v>
      </c>
      <c r="AS127" s="115">
        <f t="shared" si="590"/>
        <v>-84215.087667691041</v>
      </c>
      <c r="AT127" s="115">
        <f t="shared" si="590"/>
        <v>-85940.170965935526</v>
      </c>
      <c r="AU127" s="115">
        <f t="shared" si="590"/>
        <v>-88605.027030624726</v>
      </c>
      <c r="AV127" s="115">
        <f t="shared" si="590"/>
        <v>-91521.211256581228</v>
      </c>
      <c r="AW127" s="115">
        <f t="shared" si="590"/>
        <v>-104957.81940411123</v>
      </c>
      <c r="AX127" s="115">
        <f t="shared" si="590"/>
        <v>-118785.37832098934</v>
      </c>
      <c r="AY127" s="115">
        <f t="shared" si="590"/>
        <v>-121559.65377554069</v>
      </c>
      <c r="AZ127" s="115">
        <f t="shared" si="590"/>
        <v>-125142.0495855866</v>
      </c>
      <c r="BA127" s="115">
        <f t="shared" si="590"/>
        <v>-128698.58814191454</v>
      </c>
      <c r="BB127" s="115">
        <f t="shared" si="590"/>
        <v>-131485.2652200775</v>
      </c>
      <c r="BC127" s="192">
        <f t="shared" si="590"/>
        <v>-135157.48130185169</v>
      </c>
      <c r="BD127" s="115">
        <f t="shared" si="590"/>
        <v>-138907.53111847592</v>
      </c>
      <c r="BE127" s="115">
        <f t="shared" ref="BE127:CJ127" si="591">+BD127+BE132</f>
        <v>-142919.45217488447</v>
      </c>
      <c r="BF127" s="115">
        <f t="shared" si="591"/>
        <v>-145744.82362585931</v>
      </c>
      <c r="BG127" s="115">
        <f t="shared" si="591"/>
        <v>-149570.77389276901</v>
      </c>
      <c r="BH127" s="115">
        <f t="shared" si="591"/>
        <v>-153707.13755942785</v>
      </c>
      <c r="BI127" s="115">
        <f t="shared" si="591"/>
        <v>-170131.8981470337</v>
      </c>
      <c r="BJ127" s="115">
        <f t="shared" si="591"/>
        <v>-187341.06196443705</v>
      </c>
      <c r="BK127" s="115">
        <f t="shared" si="591"/>
        <v>-190082.62857795393</v>
      </c>
      <c r="BL127" s="115">
        <f t="shared" si="591"/>
        <v>-193938.40549439917</v>
      </c>
      <c r="BM127" s="115">
        <f t="shared" si="591"/>
        <v>-197872.82952346816</v>
      </c>
      <c r="BN127" s="115">
        <f t="shared" si="591"/>
        <v>-200637.06904926052</v>
      </c>
      <c r="BO127" s="192">
        <f t="shared" si="591"/>
        <v>-204640.96746036666</v>
      </c>
      <c r="BP127" s="115">
        <f t="shared" si="591"/>
        <v>-208753.33736303062</v>
      </c>
      <c r="BQ127" s="115">
        <f t="shared" si="591"/>
        <v>-213016.39474730758</v>
      </c>
      <c r="BR127" s="115">
        <f t="shared" si="591"/>
        <v>-215870.85490035161</v>
      </c>
      <c r="BS127" s="115">
        <f t="shared" si="591"/>
        <v>-220275.49211848355</v>
      </c>
      <c r="BT127" s="115">
        <f t="shared" si="591"/>
        <v>-224574.23430709491</v>
      </c>
      <c r="BU127" s="115">
        <f t="shared" si="591"/>
        <v>-245964.79425118575</v>
      </c>
      <c r="BV127" s="115">
        <f t="shared" si="591"/>
        <v>-268766.20906146173</v>
      </c>
      <c r="BW127" s="115">
        <f t="shared" si="591"/>
        <v>-272667.12775546819</v>
      </c>
      <c r="BX127" s="115">
        <f t="shared" si="591"/>
        <v>-278319.46367230191</v>
      </c>
      <c r="BY127" s="115">
        <f t="shared" si="591"/>
        <v>-283896.53419400071</v>
      </c>
      <c r="BZ127" s="115">
        <f t="shared" si="591"/>
        <v>-288036.92733208172</v>
      </c>
      <c r="CA127" s="192">
        <f t="shared" si="591"/>
        <v>-293960.20707925188</v>
      </c>
      <c r="CB127" s="115">
        <f t="shared" si="591"/>
        <v>-299545.48298019386</v>
      </c>
      <c r="CC127" s="115">
        <f t="shared" si="591"/>
        <v>-305736.65015497804</v>
      </c>
      <c r="CD127" s="115">
        <f t="shared" si="591"/>
        <v>-310106.83731192601</v>
      </c>
      <c r="CE127" s="115">
        <f t="shared" si="591"/>
        <v>-316178.86583869584</v>
      </c>
      <c r="CF127" s="115">
        <f t="shared" si="591"/>
        <v>-322223.80255341099</v>
      </c>
      <c r="CG127" s="115">
        <f t="shared" si="591"/>
        <v>-350290.5236719799</v>
      </c>
      <c r="CH127" s="115">
        <f t="shared" si="591"/>
        <v>-379266.40349430888</v>
      </c>
      <c r="CI127" s="115">
        <f t="shared" si="591"/>
        <v>-384839.01441027556</v>
      </c>
      <c r="CJ127" s="115">
        <f t="shared" si="591"/>
        <v>-392772.16546482686</v>
      </c>
      <c r="CK127" s="115">
        <f t="shared" ref="CK127:CY127" si="592">+CJ127+CK132</f>
        <v>-400296.65540933906</v>
      </c>
      <c r="CL127" s="115">
        <f t="shared" si="592"/>
        <v>-406153.62828940176</v>
      </c>
      <c r="CM127" s="192">
        <f t="shared" si="592"/>
        <v>-414328.00822528446</v>
      </c>
      <c r="CN127" s="115">
        <f t="shared" si="592"/>
        <v>-422148.86145465821</v>
      </c>
      <c r="CO127" s="115">
        <f t="shared" si="592"/>
        <v>-430650.25197114964</v>
      </c>
      <c r="CP127" s="115">
        <f t="shared" si="592"/>
        <v>-436921.05829594703</v>
      </c>
      <c r="CQ127" s="115">
        <f t="shared" si="592"/>
        <v>-445109.17515063565</v>
      </c>
      <c r="CR127" s="115">
        <f t="shared" si="592"/>
        <v>-453434.60272248305</v>
      </c>
      <c r="CS127" s="115">
        <f t="shared" si="592"/>
        <v>-490228.7741271421</v>
      </c>
      <c r="CT127" s="115">
        <f t="shared" si="592"/>
        <v>-527007.24191064609</v>
      </c>
      <c r="CU127" s="115">
        <f t="shared" si="592"/>
        <v>-535046.49968714791</v>
      </c>
      <c r="CV127" s="115">
        <f t="shared" si="592"/>
        <v>-545592.25888349931</v>
      </c>
      <c r="CW127" s="115">
        <f t="shared" si="592"/>
        <v>-555816.7249867178</v>
      </c>
      <c r="CX127" s="115">
        <f t="shared" si="592"/>
        <v>-564093.55890976032</v>
      </c>
      <c r="CY127" s="115">
        <f t="shared" si="592"/>
        <v>-574891.06507986097</v>
      </c>
    </row>
    <row r="128" spans="1:103" s="3" customFormat="1" x14ac:dyDescent="0.3">
      <c r="A128"/>
      <c r="B128" s="1" t="s">
        <v>25</v>
      </c>
      <c r="C128" s="1"/>
      <c r="D128" s="113"/>
      <c r="E128" s="113">
        <v>0</v>
      </c>
      <c r="F128" s="113">
        <v>0</v>
      </c>
      <c r="G128" s="113">
        <v>0</v>
      </c>
      <c r="H128" s="113">
        <v>0</v>
      </c>
      <c r="I128" s="113">
        <v>0</v>
      </c>
      <c r="J128" s="113">
        <v>0</v>
      </c>
      <c r="K128" s="113">
        <v>0</v>
      </c>
      <c r="L128" s="113">
        <v>0</v>
      </c>
      <c r="M128" s="113">
        <v>0</v>
      </c>
      <c r="N128" s="113">
        <v>0</v>
      </c>
      <c r="O128" s="113">
        <v>0</v>
      </c>
      <c r="P128" s="115"/>
      <c r="Q128" s="115"/>
      <c r="R128" s="115"/>
      <c r="S128" s="115"/>
      <c r="T128" s="115"/>
      <c r="U128" s="115">
        <v>0</v>
      </c>
      <c r="V128" s="115">
        <v>0</v>
      </c>
      <c r="W128" s="115">
        <v>0</v>
      </c>
      <c r="X128" s="115">
        <v>0</v>
      </c>
      <c r="Y128" s="115">
        <v>0</v>
      </c>
      <c r="Z128" s="115">
        <v>0</v>
      </c>
      <c r="AA128" s="115">
        <v>0</v>
      </c>
      <c r="AB128" s="115">
        <v>0</v>
      </c>
      <c r="AC128" s="192">
        <v>0</v>
      </c>
      <c r="AD128" s="637">
        <f t="shared" ref="AD128" si="593">AC128</f>
        <v>0</v>
      </c>
      <c r="AE128" s="192">
        <f t="shared" ref="AE128:BS128" si="594">AD128</f>
        <v>0</v>
      </c>
      <c r="AF128" s="115">
        <f t="shared" si="594"/>
        <v>0</v>
      </c>
      <c r="AG128" s="115">
        <f t="shared" si="594"/>
        <v>0</v>
      </c>
      <c r="AH128" s="115">
        <f t="shared" si="594"/>
        <v>0</v>
      </c>
      <c r="AI128" s="115">
        <f t="shared" si="594"/>
        <v>0</v>
      </c>
      <c r="AJ128" s="115">
        <f t="shared" si="594"/>
        <v>0</v>
      </c>
      <c r="AK128" s="115">
        <f t="shared" si="594"/>
        <v>0</v>
      </c>
      <c r="AL128" s="115">
        <f t="shared" si="594"/>
        <v>0</v>
      </c>
      <c r="AM128" s="115">
        <f t="shared" si="594"/>
        <v>0</v>
      </c>
      <c r="AN128" s="115">
        <f t="shared" si="594"/>
        <v>0</v>
      </c>
      <c r="AO128" s="115">
        <f t="shared" si="594"/>
        <v>0</v>
      </c>
      <c r="AP128" s="115">
        <f t="shared" si="594"/>
        <v>0</v>
      </c>
      <c r="AQ128" s="192">
        <f t="shared" si="594"/>
        <v>0</v>
      </c>
      <c r="AR128" s="115">
        <f t="shared" si="594"/>
        <v>0</v>
      </c>
      <c r="AS128" s="115">
        <f t="shared" si="594"/>
        <v>0</v>
      </c>
      <c r="AT128" s="115">
        <f t="shared" si="594"/>
        <v>0</v>
      </c>
      <c r="AU128" s="115">
        <f t="shared" si="594"/>
        <v>0</v>
      </c>
      <c r="AV128" s="115">
        <f t="shared" si="594"/>
        <v>0</v>
      </c>
      <c r="AW128" s="115">
        <f t="shared" si="594"/>
        <v>0</v>
      </c>
      <c r="AX128" s="115">
        <f t="shared" si="594"/>
        <v>0</v>
      </c>
      <c r="AY128" s="115">
        <f t="shared" si="594"/>
        <v>0</v>
      </c>
      <c r="AZ128" s="115">
        <f t="shared" si="594"/>
        <v>0</v>
      </c>
      <c r="BA128" s="115">
        <f t="shared" si="594"/>
        <v>0</v>
      </c>
      <c r="BB128" s="115">
        <f t="shared" si="594"/>
        <v>0</v>
      </c>
      <c r="BC128" s="192">
        <f t="shared" si="594"/>
        <v>0</v>
      </c>
      <c r="BD128" s="115">
        <f t="shared" si="594"/>
        <v>0</v>
      </c>
      <c r="BE128" s="115">
        <f t="shared" si="594"/>
        <v>0</v>
      </c>
      <c r="BF128" s="115">
        <f t="shared" si="594"/>
        <v>0</v>
      </c>
      <c r="BG128" s="115">
        <f t="shared" si="594"/>
        <v>0</v>
      </c>
      <c r="BH128" s="115">
        <f t="shared" si="594"/>
        <v>0</v>
      </c>
      <c r="BI128" s="115">
        <f t="shared" si="594"/>
        <v>0</v>
      </c>
      <c r="BJ128" s="115">
        <f t="shared" si="594"/>
        <v>0</v>
      </c>
      <c r="BK128" s="115">
        <f t="shared" si="594"/>
        <v>0</v>
      </c>
      <c r="BL128" s="115">
        <f t="shared" si="594"/>
        <v>0</v>
      </c>
      <c r="BM128" s="115">
        <f t="shared" si="594"/>
        <v>0</v>
      </c>
      <c r="BN128" s="115">
        <f t="shared" si="594"/>
        <v>0</v>
      </c>
      <c r="BO128" s="192">
        <f t="shared" si="594"/>
        <v>0</v>
      </c>
      <c r="BP128" s="115">
        <f t="shared" si="594"/>
        <v>0</v>
      </c>
      <c r="BQ128" s="115">
        <f t="shared" si="594"/>
        <v>0</v>
      </c>
      <c r="BR128" s="115">
        <f t="shared" si="594"/>
        <v>0</v>
      </c>
      <c r="BS128" s="115">
        <f t="shared" si="594"/>
        <v>0</v>
      </c>
      <c r="BT128" s="115">
        <f t="shared" ref="BT128:CY128" si="595">BS128</f>
        <v>0</v>
      </c>
      <c r="BU128" s="115">
        <f t="shared" si="595"/>
        <v>0</v>
      </c>
      <c r="BV128" s="115">
        <f t="shared" si="595"/>
        <v>0</v>
      </c>
      <c r="BW128" s="115">
        <f t="shared" si="595"/>
        <v>0</v>
      </c>
      <c r="BX128" s="115">
        <f t="shared" si="595"/>
        <v>0</v>
      </c>
      <c r="BY128" s="115">
        <f t="shared" si="595"/>
        <v>0</v>
      </c>
      <c r="BZ128" s="115">
        <f t="shared" si="595"/>
        <v>0</v>
      </c>
      <c r="CA128" s="192">
        <f t="shared" si="595"/>
        <v>0</v>
      </c>
      <c r="CB128" s="115">
        <f t="shared" si="595"/>
        <v>0</v>
      </c>
      <c r="CC128" s="115">
        <f t="shared" si="595"/>
        <v>0</v>
      </c>
      <c r="CD128" s="115">
        <f t="shared" si="595"/>
        <v>0</v>
      </c>
      <c r="CE128" s="115">
        <f t="shared" si="595"/>
        <v>0</v>
      </c>
      <c r="CF128" s="115">
        <f t="shared" si="595"/>
        <v>0</v>
      </c>
      <c r="CG128" s="115">
        <f t="shared" si="595"/>
        <v>0</v>
      </c>
      <c r="CH128" s="115">
        <f t="shared" si="595"/>
        <v>0</v>
      </c>
      <c r="CI128" s="115">
        <f t="shared" si="595"/>
        <v>0</v>
      </c>
      <c r="CJ128" s="115">
        <f t="shared" si="595"/>
        <v>0</v>
      </c>
      <c r="CK128" s="115">
        <f t="shared" si="595"/>
        <v>0</v>
      </c>
      <c r="CL128" s="115">
        <f t="shared" si="595"/>
        <v>0</v>
      </c>
      <c r="CM128" s="192">
        <f t="shared" si="595"/>
        <v>0</v>
      </c>
      <c r="CN128" s="115">
        <f t="shared" si="595"/>
        <v>0</v>
      </c>
      <c r="CO128" s="115">
        <f t="shared" si="595"/>
        <v>0</v>
      </c>
      <c r="CP128" s="115">
        <f t="shared" si="595"/>
        <v>0</v>
      </c>
      <c r="CQ128" s="115">
        <f t="shared" si="595"/>
        <v>0</v>
      </c>
      <c r="CR128" s="115">
        <f t="shared" si="595"/>
        <v>0</v>
      </c>
      <c r="CS128" s="115">
        <f t="shared" si="595"/>
        <v>0</v>
      </c>
      <c r="CT128" s="115">
        <f t="shared" si="595"/>
        <v>0</v>
      </c>
      <c r="CU128" s="115">
        <f t="shared" si="595"/>
        <v>0</v>
      </c>
      <c r="CV128" s="115">
        <f t="shared" si="595"/>
        <v>0</v>
      </c>
      <c r="CW128" s="115">
        <f t="shared" si="595"/>
        <v>0</v>
      </c>
      <c r="CX128" s="115">
        <f t="shared" si="595"/>
        <v>0</v>
      </c>
      <c r="CY128" s="115">
        <f t="shared" si="595"/>
        <v>0</v>
      </c>
    </row>
    <row r="129" spans="1:103" x14ac:dyDescent="0.3">
      <c r="B129" s="1" t="s">
        <v>26</v>
      </c>
      <c r="C129" s="1"/>
      <c r="D129" s="113"/>
      <c r="E129" s="113">
        <v>0</v>
      </c>
      <c r="F129" s="113">
        <v>0</v>
      </c>
      <c r="G129" s="113">
        <v>0</v>
      </c>
      <c r="H129" s="113">
        <v>0</v>
      </c>
      <c r="I129" s="113">
        <v>0</v>
      </c>
      <c r="J129" s="113">
        <v>0</v>
      </c>
      <c r="K129" s="113">
        <v>0</v>
      </c>
      <c r="L129" s="113">
        <v>0</v>
      </c>
      <c r="M129" s="113">
        <v>0</v>
      </c>
      <c r="N129" s="113">
        <v>0</v>
      </c>
      <c r="O129" s="113">
        <v>0</v>
      </c>
      <c r="P129" s="115">
        <f>+P92+O129</f>
        <v>0</v>
      </c>
      <c r="Q129" s="115">
        <f>+Q92+P129</f>
        <v>0</v>
      </c>
      <c r="R129" s="115">
        <f>+R92+Q129</f>
        <v>0</v>
      </c>
      <c r="S129" s="115">
        <f>+S92+R129</f>
        <v>0</v>
      </c>
      <c r="T129" s="115">
        <f>+T92</f>
        <v>-571.14</v>
      </c>
      <c r="U129" s="115">
        <f t="shared" ref="U129:AZ129" si="596">+U92+T129</f>
        <v>-1345.1999999999998</v>
      </c>
      <c r="V129" s="115">
        <f t="shared" si="596"/>
        <v>-2421.2799999999997</v>
      </c>
      <c r="W129" s="115">
        <f t="shared" si="596"/>
        <v>-3485.49</v>
      </c>
      <c r="X129" s="115">
        <f t="shared" si="596"/>
        <v>-2868.3599999999997</v>
      </c>
      <c r="Y129" s="115">
        <f t="shared" si="596"/>
        <v>491.57000000000016</v>
      </c>
      <c r="Z129" s="115">
        <f t="shared" si="596"/>
        <v>3877.8300000000004</v>
      </c>
      <c r="AA129" s="115">
        <f t="shared" si="596"/>
        <v>3581.1400000000003</v>
      </c>
      <c r="AB129" s="115">
        <f t="shared" si="596"/>
        <v>4343</v>
      </c>
      <c r="AC129" s="192">
        <f t="shared" si="596"/>
        <v>4304.5599999999995</v>
      </c>
      <c r="AD129" s="115">
        <f t="shared" si="596"/>
        <v>3610.3029565995607</v>
      </c>
      <c r="AE129" s="192">
        <f t="shared" si="596"/>
        <v>7147.5324969324975</v>
      </c>
      <c r="AF129" s="115">
        <f t="shared" si="596"/>
        <v>11084.966204735738</v>
      </c>
      <c r="AG129" s="115">
        <f t="shared" si="596"/>
        <v>15716.312981764087</v>
      </c>
      <c r="AH129" s="115">
        <f t="shared" si="596"/>
        <v>19099.336010661114</v>
      </c>
      <c r="AI129" s="115">
        <f t="shared" si="596"/>
        <v>21917.83961943366</v>
      </c>
      <c r="AJ129" s="115">
        <f t="shared" si="596"/>
        <v>27105.058845447209</v>
      </c>
      <c r="AK129" s="115">
        <f t="shared" si="596"/>
        <v>44521.587084043356</v>
      </c>
      <c r="AL129" s="115">
        <f t="shared" si="596"/>
        <v>62364.284952336464</v>
      </c>
      <c r="AM129" s="115">
        <f t="shared" si="596"/>
        <v>67520.730634199746</v>
      </c>
      <c r="AN129" s="115">
        <f t="shared" si="596"/>
        <v>73639.351222531055</v>
      </c>
      <c r="AO129" s="115">
        <f t="shared" si="596"/>
        <v>79623.575143514056</v>
      </c>
      <c r="AP129" s="115">
        <f t="shared" si="596"/>
        <v>84555.727285199333</v>
      </c>
      <c r="AQ129" s="192">
        <f t="shared" si="596"/>
        <v>90987.173951349876</v>
      </c>
      <c r="AR129" s="115">
        <f t="shared" si="596"/>
        <v>94718.300632666258</v>
      </c>
      <c r="AS129" s="115">
        <f t="shared" si="596"/>
        <v>98785.256767586747</v>
      </c>
      <c r="AT129" s="115">
        <f t="shared" si="596"/>
        <v>101249.66147936457</v>
      </c>
      <c r="AU129" s="115">
        <f t="shared" si="596"/>
        <v>105056.59871463486</v>
      </c>
      <c r="AV129" s="115">
        <f t="shared" si="596"/>
        <v>109222.57618028701</v>
      </c>
      <c r="AW129" s="115">
        <f t="shared" si="596"/>
        <v>128417.73067675844</v>
      </c>
      <c r="AX129" s="115">
        <f t="shared" si="596"/>
        <v>148171.38627229861</v>
      </c>
      <c r="AY129" s="115">
        <f t="shared" si="596"/>
        <v>152134.63692165769</v>
      </c>
      <c r="AZ129" s="115">
        <f t="shared" si="596"/>
        <v>157252.34522172328</v>
      </c>
      <c r="BA129" s="115">
        <f t="shared" ref="BA129:CF129" si="597">+BA92+AZ129</f>
        <v>162333.11458790605</v>
      </c>
      <c r="BB129" s="115">
        <f t="shared" si="597"/>
        <v>166314.08184242455</v>
      </c>
      <c r="BC129" s="192">
        <f t="shared" si="597"/>
        <v>171560.10481638767</v>
      </c>
      <c r="BD129" s="115">
        <f t="shared" si="597"/>
        <v>176917.31884013655</v>
      </c>
      <c r="BE129" s="115">
        <f t="shared" si="597"/>
        <v>182648.6346350059</v>
      </c>
      <c r="BF129" s="115">
        <f t="shared" si="597"/>
        <v>186684.87956496995</v>
      </c>
      <c r="BG129" s="115">
        <f t="shared" si="597"/>
        <v>192150.52280341237</v>
      </c>
      <c r="BH129" s="115">
        <f t="shared" si="597"/>
        <v>198059.61375578213</v>
      </c>
      <c r="BI129" s="115">
        <f t="shared" si="597"/>
        <v>221523.55745236191</v>
      </c>
      <c r="BJ129" s="115">
        <f t="shared" si="597"/>
        <v>246108.07719150957</v>
      </c>
      <c r="BK129" s="115">
        <f t="shared" si="597"/>
        <v>250024.60092510513</v>
      </c>
      <c r="BL129" s="115">
        <f t="shared" si="597"/>
        <v>255532.85366288401</v>
      </c>
      <c r="BM129" s="115">
        <f t="shared" si="597"/>
        <v>261153.45941869685</v>
      </c>
      <c r="BN129" s="115">
        <f t="shared" si="597"/>
        <v>265102.37302697165</v>
      </c>
      <c r="BO129" s="192">
        <f t="shared" si="597"/>
        <v>270822.22789998044</v>
      </c>
      <c r="BP129" s="115">
        <f t="shared" si="597"/>
        <v>276697.04204664321</v>
      </c>
      <c r="BQ129" s="115">
        <f t="shared" si="597"/>
        <v>282787.12402418174</v>
      </c>
      <c r="BR129" s="115">
        <f t="shared" si="597"/>
        <v>286864.92424281605</v>
      </c>
      <c r="BS129" s="115">
        <f t="shared" si="597"/>
        <v>293157.26312586165</v>
      </c>
      <c r="BT129" s="115">
        <f t="shared" si="597"/>
        <v>299298.32339530648</v>
      </c>
      <c r="BU129" s="115">
        <f t="shared" si="597"/>
        <v>329856.26617257908</v>
      </c>
      <c r="BV129" s="115">
        <f t="shared" si="597"/>
        <v>362429.71590154478</v>
      </c>
      <c r="BW129" s="115">
        <f t="shared" si="597"/>
        <v>368002.45689298259</v>
      </c>
      <c r="BX129" s="115">
        <f t="shared" si="597"/>
        <v>376077.22248845932</v>
      </c>
      <c r="BY129" s="115">
        <f t="shared" si="597"/>
        <v>384044.46609088616</v>
      </c>
      <c r="BZ129" s="115">
        <f t="shared" si="597"/>
        <v>389959.31343100191</v>
      </c>
      <c r="CA129" s="192">
        <f t="shared" si="597"/>
        <v>398421.14164124499</v>
      </c>
      <c r="CB129" s="115">
        <f t="shared" si="597"/>
        <v>406400.10721401928</v>
      </c>
      <c r="CC129" s="115">
        <f t="shared" si="597"/>
        <v>415244.63174942532</v>
      </c>
      <c r="CD129" s="115">
        <f t="shared" si="597"/>
        <v>421487.75625935098</v>
      </c>
      <c r="CE129" s="115">
        <f t="shared" si="597"/>
        <v>430162.08272616507</v>
      </c>
      <c r="CF129" s="115">
        <f t="shared" si="597"/>
        <v>438797.70660432958</v>
      </c>
      <c r="CG129" s="115">
        <f t="shared" ref="CG129:CY129" si="598">+CG92+CF129</f>
        <v>478893.02248799941</v>
      </c>
      <c r="CH129" s="115">
        <f t="shared" si="598"/>
        <v>520287.1365198979</v>
      </c>
      <c r="CI129" s="115">
        <f t="shared" si="598"/>
        <v>528248.00925699319</v>
      </c>
      <c r="CJ129" s="115">
        <f t="shared" si="598"/>
        <v>539581.08219206647</v>
      </c>
      <c r="CK129" s="115">
        <f t="shared" si="598"/>
        <v>550330.35354136955</v>
      </c>
      <c r="CL129" s="115">
        <f t="shared" si="598"/>
        <v>558697.45765574486</v>
      </c>
      <c r="CM129" s="192">
        <f t="shared" si="598"/>
        <v>570375.14327843441</v>
      </c>
      <c r="CN129" s="115">
        <f t="shared" si="598"/>
        <v>581547.79074896837</v>
      </c>
      <c r="CO129" s="115">
        <f t="shared" si="598"/>
        <v>593692.63434395613</v>
      </c>
      <c r="CP129" s="115">
        <f t="shared" si="598"/>
        <v>602650.92909366672</v>
      </c>
      <c r="CQ129" s="115">
        <f t="shared" si="598"/>
        <v>614348.23888607905</v>
      </c>
      <c r="CR129" s="115">
        <f t="shared" si="598"/>
        <v>626241.70684586104</v>
      </c>
      <c r="CS129" s="115">
        <f t="shared" si="598"/>
        <v>678804.80885251681</v>
      </c>
      <c r="CT129" s="115">
        <f t="shared" si="598"/>
        <v>731345.47711466532</v>
      </c>
      <c r="CU129" s="115">
        <f t="shared" si="598"/>
        <v>742830.13108109636</v>
      </c>
      <c r="CV129" s="115">
        <f t="shared" si="598"/>
        <v>757895.50136159838</v>
      </c>
      <c r="CW129" s="115">
        <f t="shared" si="598"/>
        <v>772501.8815090534</v>
      </c>
      <c r="CX129" s="115">
        <f t="shared" si="598"/>
        <v>784325.92997054267</v>
      </c>
      <c r="CY129" s="115">
        <f t="shared" si="598"/>
        <v>799750.93878497207</v>
      </c>
    </row>
    <row r="130" spans="1:103" x14ac:dyDescent="0.3">
      <c r="A130" s="5"/>
      <c r="B130" s="6" t="s">
        <v>27</v>
      </c>
      <c r="C130" s="6"/>
      <c r="D130" s="55"/>
      <c r="E130" s="55">
        <f t="shared" ref="E130:AJ130" si="599">SUM(E126:E129)</f>
        <v>0</v>
      </c>
      <c r="F130" s="55">
        <f t="shared" si="599"/>
        <v>0</v>
      </c>
      <c r="G130" s="55">
        <f t="shared" si="599"/>
        <v>0</v>
      </c>
      <c r="H130" s="55">
        <f t="shared" si="599"/>
        <v>0</v>
      </c>
      <c r="I130" s="55">
        <f t="shared" si="599"/>
        <v>0</v>
      </c>
      <c r="J130" s="55">
        <f t="shared" si="599"/>
        <v>0</v>
      </c>
      <c r="K130" s="55">
        <f t="shared" si="599"/>
        <v>0</v>
      </c>
      <c r="L130" s="55">
        <f t="shared" si="599"/>
        <v>0</v>
      </c>
      <c r="M130" s="55">
        <f t="shared" si="599"/>
        <v>0</v>
      </c>
      <c r="N130" s="55">
        <f t="shared" si="599"/>
        <v>0</v>
      </c>
      <c r="O130" s="55">
        <f t="shared" si="599"/>
        <v>0</v>
      </c>
      <c r="P130" s="55">
        <f t="shared" si="599"/>
        <v>0</v>
      </c>
      <c r="Q130" s="55">
        <f t="shared" si="599"/>
        <v>0</v>
      </c>
      <c r="R130" s="55">
        <f t="shared" si="599"/>
        <v>0</v>
      </c>
      <c r="S130" s="55">
        <f t="shared" si="599"/>
        <v>0</v>
      </c>
      <c r="T130" s="55">
        <f t="shared" si="599"/>
        <v>-2378.2199999999998</v>
      </c>
      <c r="U130" s="55">
        <f t="shared" si="599"/>
        <v>-2086.6099999999997</v>
      </c>
      <c r="V130" s="55">
        <f t="shared" si="599"/>
        <v>-4363.75</v>
      </c>
      <c r="W130" s="55">
        <f t="shared" si="599"/>
        <v>-4106.6200000000008</v>
      </c>
      <c r="X130" s="55">
        <f t="shared" si="599"/>
        <v>-4130.2699999999995</v>
      </c>
      <c r="Y130" s="55">
        <f t="shared" ref="Y130:Z130" si="600">SUM(Y126:Y129)</f>
        <v>-2925.93</v>
      </c>
      <c r="Z130" s="55">
        <f t="shared" si="600"/>
        <v>-1961.2200000000007</v>
      </c>
      <c r="AA130" s="55">
        <f t="shared" ref="AA130:AB130" si="601">SUM(AA126:AA129)</f>
        <v>-4052.7200000000003</v>
      </c>
      <c r="AB130" s="55">
        <f t="shared" si="601"/>
        <v>-3433.84</v>
      </c>
      <c r="AC130" s="196">
        <f t="shared" ref="AC130" si="602">SUM(AC126:AC129)</f>
        <v>-3254.51</v>
      </c>
      <c r="AD130" s="55">
        <f t="shared" ref="AD130" si="603">SUM(AD126:AD129)</f>
        <v>-3948.767043400439</v>
      </c>
      <c r="AE130" s="196">
        <f t="shared" si="599"/>
        <v>-2887.5981813005565</v>
      </c>
      <c r="AF130" s="55">
        <f t="shared" si="599"/>
        <v>-1706.3680689595858</v>
      </c>
      <c r="AG130" s="55">
        <f t="shared" si="599"/>
        <v>-316.96403585108055</v>
      </c>
      <c r="AH130" s="55">
        <f t="shared" si="599"/>
        <v>697.94287281802826</v>
      </c>
      <c r="AI130" s="55">
        <f t="shared" si="599"/>
        <v>1543.4939554497942</v>
      </c>
      <c r="AJ130" s="55">
        <f t="shared" si="599"/>
        <v>3099.6597232538588</v>
      </c>
      <c r="AK130" s="55">
        <f t="shared" ref="AK130:BP130" si="604">SUM(AK126:AK129)</f>
        <v>8324.6181948327066</v>
      </c>
      <c r="AL130" s="55">
        <f t="shared" si="604"/>
        <v>13677.427555320632</v>
      </c>
      <c r="AM130" s="55">
        <f t="shared" si="604"/>
        <v>15224.361259879617</v>
      </c>
      <c r="AN130" s="55">
        <f t="shared" si="604"/>
        <v>17059.947436379007</v>
      </c>
      <c r="AO130" s="55">
        <f t="shared" si="604"/>
        <v>18855.21461267391</v>
      </c>
      <c r="AP130" s="55">
        <f t="shared" si="604"/>
        <v>20334.86025517949</v>
      </c>
      <c r="AQ130" s="196">
        <f t="shared" si="604"/>
        <v>22264.294255024652</v>
      </c>
      <c r="AR130" s="55">
        <f t="shared" si="604"/>
        <v>23383.632259419566</v>
      </c>
      <c r="AS130" s="55">
        <f t="shared" si="604"/>
        <v>24603.719099895708</v>
      </c>
      <c r="AT130" s="55">
        <f t="shared" si="604"/>
        <v>25343.040513429049</v>
      </c>
      <c r="AU130" s="55">
        <f t="shared" si="604"/>
        <v>26485.121684010141</v>
      </c>
      <c r="AV130" s="55">
        <f t="shared" si="604"/>
        <v>27734.914923705786</v>
      </c>
      <c r="AW130" s="55">
        <f t="shared" si="604"/>
        <v>33493.461272647211</v>
      </c>
      <c r="AX130" s="55">
        <f t="shared" si="604"/>
        <v>39419.557951309267</v>
      </c>
      <c r="AY130" s="55">
        <f t="shared" si="604"/>
        <v>40608.533146116999</v>
      </c>
      <c r="AZ130" s="55">
        <f t="shared" si="604"/>
        <v>42143.845636136684</v>
      </c>
      <c r="BA130" s="55">
        <f t="shared" si="604"/>
        <v>43668.076445991508</v>
      </c>
      <c r="BB130" s="55">
        <f t="shared" si="604"/>
        <v>44862.36662234705</v>
      </c>
      <c r="BC130" s="196">
        <f t="shared" si="604"/>
        <v>46436.173514535985</v>
      </c>
      <c r="BD130" s="55">
        <f t="shared" si="604"/>
        <v>48043.337721660631</v>
      </c>
      <c r="BE130" s="55">
        <f t="shared" si="604"/>
        <v>49762.73246012142</v>
      </c>
      <c r="BF130" s="55">
        <f t="shared" si="604"/>
        <v>50973.605939110625</v>
      </c>
      <c r="BG130" s="55">
        <f t="shared" si="604"/>
        <v>52613.298910643352</v>
      </c>
      <c r="BH130" s="55">
        <f t="shared" si="604"/>
        <v>54386.026196354273</v>
      </c>
      <c r="BI130" s="55">
        <f t="shared" si="604"/>
        <v>61425.209305328201</v>
      </c>
      <c r="BJ130" s="55">
        <f t="shared" si="604"/>
        <v>68800.565227072511</v>
      </c>
      <c r="BK130" s="55">
        <f t="shared" si="604"/>
        <v>69975.522347151185</v>
      </c>
      <c r="BL130" s="55">
        <f t="shared" si="604"/>
        <v>71627.998168484832</v>
      </c>
      <c r="BM130" s="55">
        <f t="shared" si="604"/>
        <v>73314.179895228677</v>
      </c>
      <c r="BN130" s="55">
        <f t="shared" si="604"/>
        <v>74498.853977711115</v>
      </c>
      <c r="BO130" s="196">
        <f t="shared" si="604"/>
        <v>76214.810439613764</v>
      </c>
      <c r="BP130" s="55">
        <f t="shared" si="604"/>
        <v>77977.254683612584</v>
      </c>
      <c r="BQ130" s="55">
        <f t="shared" ref="BQ130:CV130" si="605">SUM(BQ126:BQ129)</f>
        <v>79804.279276874149</v>
      </c>
      <c r="BR130" s="55">
        <f t="shared" si="605"/>
        <v>81027.61934246443</v>
      </c>
      <c r="BS130" s="55">
        <f t="shared" si="605"/>
        <v>82915.321007378079</v>
      </c>
      <c r="BT130" s="55">
        <f t="shared" si="605"/>
        <v>84757.639088211552</v>
      </c>
      <c r="BU130" s="55">
        <f t="shared" si="605"/>
        <v>93925.021921393316</v>
      </c>
      <c r="BV130" s="55">
        <f t="shared" si="605"/>
        <v>103697.05684008304</v>
      </c>
      <c r="BW130" s="55">
        <f t="shared" si="605"/>
        <v>105368.87913751439</v>
      </c>
      <c r="BX130" s="55">
        <f t="shared" si="605"/>
        <v>107791.3088161574</v>
      </c>
      <c r="BY130" s="55">
        <f t="shared" si="605"/>
        <v>110181.48189688544</v>
      </c>
      <c r="BZ130" s="55">
        <f t="shared" si="605"/>
        <v>111955.93609892018</v>
      </c>
      <c r="CA130" s="196">
        <f t="shared" si="605"/>
        <v>114494.4845619931</v>
      </c>
      <c r="CB130" s="55">
        <f t="shared" si="605"/>
        <v>116888.17423382541</v>
      </c>
      <c r="CC130" s="55">
        <f t="shared" si="605"/>
        <v>119541.53159444727</v>
      </c>
      <c r="CD130" s="55">
        <f t="shared" si="605"/>
        <v>121414.46894742496</v>
      </c>
      <c r="CE130" s="55">
        <f t="shared" si="605"/>
        <v>124016.76688746922</v>
      </c>
      <c r="CF130" s="55">
        <f t="shared" si="605"/>
        <v>126607.45405091858</v>
      </c>
      <c r="CG130" s="55">
        <f t="shared" si="605"/>
        <v>138636.04881601949</v>
      </c>
      <c r="CH130" s="55">
        <f t="shared" si="605"/>
        <v>151054.28302558901</v>
      </c>
      <c r="CI130" s="55">
        <f t="shared" si="605"/>
        <v>153442.54484671762</v>
      </c>
      <c r="CJ130" s="55">
        <f t="shared" si="605"/>
        <v>156842.4667272396</v>
      </c>
      <c r="CK130" s="55">
        <f t="shared" si="605"/>
        <v>160067.24813203048</v>
      </c>
      <c r="CL130" s="55">
        <f t="shared" si="605"/>
        <v>162577.37936634308</v>
      </c>
      <c r="CM130" s="196">
        <f t="shared" si="605"/>
        <v>166080.68505314994</v>
      </c>
      <c r="CN130" s="55">
        <f t="shared" si="605"/>
        <v>169432.47929431015</v>
      </c>
      <c r="CO130" s="55">
        <f t="shared" si="605"/>
        <v>173075.93237280648</v>
      </c>
      <c r="CP130" s="55">
        <f t="shared" si="605"/>
        <v>175763.42079771968</v>
      </c>
      <c r="CQ130" s="55">
        <f t="shared" si="605"/>
        <v>179272.61373544339</v>
      </c>
      <c r="CR130" s="55">
        <f t="shared" si="605"/>
        <v>182840.65412337799</v>
      </c>
      <c r="CS130" s="55">
        <f t="shared" si="605"/>
        <v>198609.58472537471</v>
      </c>
      <c r="CT130" s="55">
        <f t="shared" si="605"/>
        <v>214371.78520401922</v>
      </c>
      <c r="CU130" s="55">
        <f t="shared" si="605"/>
        <v>217817.1813939485</v>
      </c>
      <c r="CV130" s="55">
        <f t="shared" si="605"/>
        <v>222336.79247809912</v>
      </c>
      <c r="CW130" s="55">
        <f t="shared" ref="CW130:CY130" si="606">SUM(CW126:CW129)</f>
        <v>226718.70652233565</v>
      </c>
      <c r="CX130" s="55">
        <f t="shared" si="606"/>
        <v>230265.92106078239</v>
      </c>
      <c r="CY130" s="55">
        <f t="shared" si="606"/>
        <v>234893.42370511114</v>
      </c>
    </row>
    <row r="131" spans="1:103" x14ac:dyDescent="0.3">
      <c r="A131" s="3"/>
      <c r="B131" s="4" t="s">
        <v>28</v>
      </c>
      <c r="C131" s="4"/>
      <c r="D131" s="56"/>
      <c r="E131" s="56">
        <f t="shared" ref="E131:AJ131" si="607">E130+E124</f>
        <v>0</v>
      </c>
      <c r="F131" s="56">
        <f t="shared" si="607"/>
        <v>0</v>
      </c>
      <c r="G131" s="56">
        <f t="shared" si="607"/>
        <v>0</v>
      </c>
      <c r="H131" s="56">
        <f t="shared" si="607"/>
        <v>0</v>
      </c>
      <c r="I131" s="56">
        <f t="shared" si="607"/>
        <v>0</v>
      </c>
      <c r="J131" s="56">
        <f t="shared" si="607"/>
        <v>0</v>
      </c>
      <c r="K131" s="56">
        <f t="shared" si="607"/>
        <v>0</v>
      </c>
      <c r="L131" s="56">
        <f t="shared" si="607"/>
        <v>0</v>
      </c>
      <c r="M131" s="56">
        <f t="shared" si="607"/>
        <v>0</v>
      </c>
      <c r="N131" s="56">
        <f t="shared" si="607"/>
        <v>0</v>
      </c>
      <c r="O131" s="56">
        <f t="shared" si="607"/>
        <v>0</v>
      </c>
      <c r="P131" s="56">
        <f t="shared" si="607"/>
        <v>0</v>
      </c>
      <c r="Q131" s="56">
        <f t="shared" si="607"/>
        <v>0</v>
      </c>
      <c r="R131" s="56">
        <f t="shared" si="607"/>
        <v>0</v>
      </c>
      <c r="S131" s="56">
        <f t="shared" si="607"/>
        <v>0</v>
      </c>
      <c r="T131" s="56">
        <f t="shared" si="607"/>
        <v>0</v>
      </c>
      <c r="U131" s="56">
        <f t="shared" si="607"/>
        <v>1278.3900000000003</v>
      </c>
      <c r="V131" s="56">
        <f t="shared" si="607"/>
        <v>-222.64999999999964</v>
      </c>
      <c r="W131" s="56">
        <f t="shared" si="607"/>
        <v>551.45999999999913</v>
      </c>
      <c r="X131" s="56">
        <f t="shared" si="607"/>
        <v>657.57000000000062</v>
      </c>
      <c r="Y131" s="56">
        <f t="shared" ref="Y131:Z131" si="608">Y130+Y124</f>
        <v>1460.56</v>
      </c>
      <c r="Z131" s="56">
        <f t="shared" si="608"/>
        <v>2286.2999999999997</v>
      </c>
      <c r="AA131" s="56">
        <f t="shared" ref="AA131:AB131" si="609">AA130+AA124</f>
        <v>210.71999999999935</v>
      </c>
      <c r="AB131" s="56">
        <f t="shared" si="609"/>
        <v>900.46</v>
      </c>
      <c r="AC131" s="193">
        <f t="shared" ref="AC131" si="610">AC130+AC124</f>
        <v>981.61999999999989</v>
      </c>
      <c r="AD131" s="56">
        <f t="shared" ref="AD131" si="611">AD130+AD124</f>
        <v>287.36295659956113</v>
      </c>
      <c r="AE131" s="193">
        <f t="shared" si="607"/>
        <v>1348.5318186994436</v>
      </c>
      <c r="AF131" s="56">
        <f t="shared" si="607"/>
        <v>2529.7619310404143</v>
      </c>
      <c r="AG131" s="56">
        <f t="shared" si="607"/>
        <v>3919.1659641489196</v>
      </c>
      <c r="AH131" s="56">
        <f t="shared" si="607"/>
        <v>4934.0728728180284</v>
      </c>
      <c r="AI131" s="56">
        <f t="shared" si="607"/>
        <v>5779.6239554497943</v>
      </c>
      <c r="AJ131" s="56">
        <f t="shared" si="607"/>
        <v>7335.7897232538589</v>
      </c>
      <c r="AK131" s="56">
        <f t="shared" ref="AK131:BP131" si="612">AK130+AK124</f>
        <v>12560.748194832708</v>
      </c>
      <c r="AL131" s="56">
        <f t="shared" si="612"/>
        <v>17913.557555320633</v>
      </c>
      <c r="AM131" s="56">
        <f t="shared" si="612"/>
        <v>19460.491259879618</v>
      </c>
      <c r="AN131" s="56">
        <f t="shared" si="612"/>
        <v>21296.077436379008</v>
      </c>
      <c r="AO131" s="56">
        <f t="shared" si="612"/>
        <v>23091.344612673911</v>
      </c>
      <c r="AP131" s="56">
        <f t="shared" si="612"/>
        <v>24570.990255179491</v>
      </c>
      <c r="AQ131" s="193">
        <f t="shared" si="612"/>
        <v>26500.424255024653</v>
      </c>
      <c r="AR131" s="56">
        <f t="shared" si="612"/>
        <v>27619.762259419567</v>
      </c>
      <c r="AS131" s="56">
        <f t="shared" si="612"/>
        <v>28839.84909989571</v>
      </c>
      <c r="AT131" s="56">
        <f t="shared" si="612"/>
        <v>29579.17051342905</v>
      </c>
      <c r="AU131" s="56">
        <f t="shared" si="612"/>
        <v>30721.251684010142</v>
      </c>
      <c r="AV131" s="56">
        <f t="shared" si="612"/>
        <v>31971.044923705787</v>
      </c>
      <c r="AW131" s="56">
        <f t="shared" si="612"/>
        <v>37729.591272647209</v>
      </c>
      <c r="AX131" s="56">
        <f t="shared" si="612"/>
        <v>43655.687951309264</v>
      </c>
      <c r="AY131" s="56">
        <f t="shared" si="612"/>
        <v>44844.663146116996</v>
      </c>
      <c r="AZ131" s="56">
        <f t="shared" si="612"/>
        <v>46379.975636136682</v>
      </c>
      <c r="BA131" s="56">
        <f t="shared" si="612"/>
        <v>47904.206445991505</v>
      </c>
      <c r="BB131" s="56">
        <f t="shared" si="612"/>
        <v>49098.496622347047</v>
      </c>
      <c r="BC131" s="193">
        <f t="shared" si="612"/>
        <v>50672.303514535983</v>
      </c>
      <c r="BD131" s="56">
        <f t="shared" si="612"/>
        <v>52279.467721660629</v>
      </c>
      <c r="BE131" s="56">
        <f t="shared" si="612"/>
        <v>53998.862460121418</v>
      </c>
      <c r="BF131" s="56">
        <f t="shared" si="612"/>
        <v>55209.735939110622</v>
      </c>
      <c r="BG131" s="56">
        <f t="shared" si="612"/>
        <v>56849.42891064335</v>
      </c>
      <c r="BH131" s="56">
        <f t="shared" si="612"/>
        <v>58622.15619635427</v>
      </c>
      <c r="BI131" s="56">
        <f t="shared" si="612"/>
        <v>65661.339305328205</v>
      </c>
      <c r="BJ131" s="56">
        <f t="shared" si="612"/>
        <v>73036.695227072516</v>
      </c>
      <c r="BK131" s="56">
        <f t="shared" si="612"/>
        <v>74211.65234715119</v>
      </c>
      <c r="BL131" s="56">
        <f t="shared" si="612"/>
        <v>75864.128168484836</v>
      </c>
      <c r="BM131" s="56">
        <f t="shared" si="612"/>
        <v>77550.309895228682</v>
      </c>
      <c r="BN131" s="56">
        <f t="shared" si="612"/>
        <v>78734.983977711119</v>
      </c>
      <c r="BO131" s="193">
        <f t="shared" si="612"/>
        <v>80450.940439613769</v>
      </c>
      <c r="BP131" s="56">
        <f t="shared" si="612"/>
        <v>82213.384683612589</v>
      </c>
      <c r="BQ131" s="56">
        <f t="shared" ref="BQ131:CV131" si="613">BQ130+BQ124</f>
        <v>84040.409276874154</v>
      </c>
      <c r="BR131" s="56">
        <f t="shared" si="613"/>
        <v>85263.749342464434</v>
      </c>
      <c r="BS131" s="56">
        <f t="shared" si="613"/>
        <v>87151.451007378084</v>
      </c>
      <c r="BT131" s="56">
        <f t="shared" si="613"/>
        <v>88993.769088211557</v>
      </c>
      <c r="BU131" s="56">
        <f t="shared" si="613"/>
        <v>98161.151921393321</v>
      </c>
      <c r="BV131" s="56">
        <f t="shared" si="613"/>
        <v>107933.18684008304</v>
      </c>
      <c r="BW131" s="56">
        <f t="shared" si="613"/>
        <v>109605.0091375144</v>
      </c>
      <c r="BX131" s="56">
        <f t="shared" si="613"/>
        <v>112027.4388161574</v>
      </c>
      <c r="BY131" s="56">
        <f t="shared" si="613"/>
        <v>114417.61189688544</v>
      </c>
      <c r="BZ131" s="56">
        <f t="shared" si="613"/>
        <v>116192.06609892019</v>
      </c>
      <c r="CA131" s="193">
        <f t="shared" si="613"/>
        <v>118730.6145619931</v>
      </c>
      <c r="CB131" s="56">
        <f t="shared" si="613"/>
        <v>121124.30423382542</v>
      </c>
      <c r="CC131" s="56">
        <f t="shared" si="613"/>
        <v>123777.66159444727</v>
      </c>
      <c r="CD131" s="56">
        <f t="shared" si="613"/>
        <v>125650.59894742497</v>
      </c>
      <c r="CE131" s="56">
        <f t="shared" si="613"/>
        <v>128252.89688746922</v>
      </c>
      <c r="CF131" s="56">
        <f t="shared" si="613"/>
        <v>130843.58405091858</v>
      </c>
      <c r="CG131" s="56">
        <f t="shared" si="613"/>
        <v>142872.1788160195</v>
      </c>
      <c r="CH131" s="56">
        <f t="shared" si="613"/>
        <v>155290.41302558902</v>
      </c>
      <c r="CI131" s="56">
        <f t="shared" si="613"/>
        <v>157678.67484671762</v>
      </c>
      <c r="CJ131" s="56">
        <f t="shared" si="613"/>
        <v>161078.59672723961</v>
      </c>
      <c r="CK131" s="56">
        <f t="shared" si="613"/>
        <v>164303.37813203048</v>
      </c>
      <c r="CL131" s="56">
        <f t="shared" si="613"/>
        <v>166813.50936634309</v>
      </c>
      <c r="CM131" s="193">
        <f t="shared" si="613"/>
        <v>170316.81505314994</v>
      </c>
      <c r="CN131" s="56">
        <f t="shared" si="613"/>
        <v>173668.60929431015</v>
      </c>
      <c r="CO131" s="56">
        <f t="shared" si="613"/>
        <v>177312.06237280648</v>
      </c>
      <c r="CP131" s="56">
        <f t="shared" si="613"/>
        <v>179999.55079771968</v>
      </c>
      <c r="CQ131" s="56">
        <f t="shared" si="613"/>
        <v>183508.74373544339</v>
      </c>
      <c r="CR131" s="56">
        <f t="shared" si="613"/>
        <v>187076.78412337799</v>
      </c>
      <c r="CS131" s="56">
        <f t="shared" si="613"/>
        <v>202845.71472537471</v>
      </c>
      <c r="CT131" s="56">
        <f t="shared" si="613"/>
        <v>218607.91520401923</v>
      </c>
      <c r="CU131" s="56">
        <f t="shared" si="613"/>
        <v>222053.3113939485</v>
      </c>
      <c r="CV131" s="56">
        <f t="shared" si="613"/>
        <v>226572.92247809912</v>
      </c>
      <c r="CW131" s="56">
        <f t="shared" ref="CW131:CY131" si="614">CW130+CW124</f>
        <v>230954.83652233565</v>
      </c>
      <c r="CX131" s="56">
        <f t="shared" si="614"/>
        <v>234502.0510607824</v>
      </c>
      <c r="CY131" s="56">
        <f t="shared" si="614"/>
        <v>239129.55370511115</v>
      </c>
    </row>
    <row r="132" spans="1:103" s="409" customFormat="1" x14ac:dyDescent="0.3">
      <c r="B132" s="410"/>
      <c r="C132" s="410" t="s">
        <v>264</v>
      </c>
      <c r="D132" s="411"/>
      <c r="E132" s="411"/>
      <c r="F132" s="411"/>
      <c r="G132" s="411"/>
      <c r="H132" s="411"/>
      <c r="I132" s="411"/>
      <c r="J132" s="411"/>
      <c r="K132" s="411"/>
      <c r="L132" s="411"/>
      <c r="M132" s="411"/>
      <c r="N132" s="411"/>
      <c r="O132" s="411"/>
      <c r="P132" s="411">
        <f t="shared" ref="P132:AC132" si="615">+P127-O127</f>
        <v>0</v>
      </c>
      <c r="Q132" s="411">
        <f t="shared" si="615"/>
        <v>0</v>
      </c>
      <c r="R132" s="411">
        <f t="shared" si="615"/>
        <v>0</v>
      </c>
      <c r="S132" s="411">
        <f t="shared" si="615"/>
        <v>0</v>
      </c>
      <c r="T132" s="411">
        <f t="shared" si="615"/>
        <v>-1907.08</v>
      </c>
      <c r="U132" s="411">
        <f t="shared" si="615"/>
        <v>-5195.53</v>
      </c>
      <c r="V132" s="411">
        <f t="shared" si="615"/>
        <v>-1858.4100000000008</v>
      </c>
      <c r="W132" s="411">
        <f t="shared" si="615"/>
        <v>-893.65999999999985</v>
      </c>
      <c r="X132" s="411">
        <f t="shared" si="615"/>
        <v>-890.77999999999884</v>
      </c>
      <c r="Y132" s="411">
        <f t="shared" si="615"/>
        <v>-2205.59</v>
      </c>
      <c r="Z132" s="411">
        <f t="shared" si="615"/>
        <v>-2421.5500000000011</v>
      </c>
      <c r="AA132" s="411">
        <f t="shared" si="615"/>
        <v>-1794.8099999999995</v>
      </c>
      <c r="AB132" s="411">
        <f t="shared" si="615"/>
        <v>-642.97999999999956</v>
      </c>
      <c r="AC132" s="412">
        <f t="shared" si="615"/>
        <v>217.77000000000044</v>
      </c>
      <c r="AD132" s="411">
        <f>+IF(AD92*-0.7&lt;0, AD92*-0.7, 0)</f>
        <v>0</v>
      </c>
      <c r="AE132" s="412">
        <f t="shared" ref="AE132:CL132" si="616">+IF(AE92*-0.7&lt;0, AE92*-0.7, 0)</f>
        <v>-2476.0606782330551</v>
      </c>
      <c r="AF132" s="411">
        <f t="shared" si="616"/>
        <v>-2756.2035954622688</v>
      </c>
      <c r="AG132" s="411">
        <f t="shared" si="616"/>
        <v>-3241.9427439198439</v>
      </c>
      <c r="AH132" s="411">
        <f t="shared" si="616"/>
        <v>-2368.1161202279195</v>
      </c>
      <c r="AI132" s="411">
        <f t="shared" si="616"/>
        <v>-1972.9525261407805</v>
      </c>
      <c r="AJ132" s="411">
        <f t="shared" si="616"/>
        <v>-3631.0534582094829</v>
      </c>
      <c r="AK132" s="411">
        <f t="shared" si="616"/>
        <v>-12191.569767017303</v>
      </c>
      <c r="AL132" s="411">
        <f t="shared" si="616"/>
        <v>-12489.888507805175</v>
      </c>
      <c r="AM132" s="411">
        <f t="shared" si="616"/>
        <v>-3609.5119773043011</v>
      </c>
      <c r="AN132" s="411">
        <f t="shared" si="616"/>
        <v>-4283.0344118319208</v>
      </c>
      <c r="AO132" s="411">
        <f t="shared" si="616"/>
        <v>-4188.9567446881028</v>
      </c>
      <c r="AP132" s="411">
        <f t="shared" si="616"/>
        <v>-3452.506499179698</v>
      </c>
      <c r="AQ132" s="412">
        <f t="shared" si="616"/>
        <v>-4502.0126663053788</v>
      </c>
      <c r="AR132" s="411">
        <f t="shared" si="616"/>
        <v>-2611.7886769214679</v>
      </c>
      <c r="AS132" s="411">
        <f t="shared" si="616"/>
        <v>-2846.8692944443446</v>
      </c>
      <c r="AT132" s="411">
        <f t="shared" si="616"/>
        <v>-1725.083298244479</v>
      </c>
      <c r="AU132" s="411">
        <f t="shared" si="616"/>
        <v>-2664.8560646892038</v>
      </c>
      <c r="AV132" s="411">
        <f t="shared" si="616"/>
        <v>-2916.1842259565065</v>
      </c>
      <c r="AW132" s="411">
        <f t="shared" si="616"/>
        <v>-13436.608147529996</v>
      </c>
      <c r="AX132" s="411">
        <f t="shared" si="616"/>
        <v>-13827.558916878117</v>
      </c>
      <c r="AY132" s="411">
        <f t="shared" si="616"/>
        <v>-2774.2754545513458</v>
      </c>
      <c r="AZ132" s="411">
        <f t="shared" si="616"/>
        <v>-3582.3958100459186</v>
      </c>
      <c r="BA132" s="411">
        <f t="shared" si="616"/>
        <v>-3556.5385563279456</v>
      </c>
      <c r="BB132" s="411">
        <f t="shared" si="616"/>
        <v>-2786.6770781629489</v>
      </c>
      <c r="BC132" s="412">
        <f t="shared" si="616"/>
        <v>-3672.2160817741769</v>
      </c>
      <c r="BD132" s="411">
        <f t="shared" si="616"/>
        <v>-3750.0498166242182</v>
      </c>
      <c r="BE132" s="411">
        <f t="shared" si="616"/>
        <v>-4011.9210564085479</v>
      </c>
      <c r="BF132" s="411">
        <f t="shared" si="616"/>
        <v>-2825.3714509748393</v>
      </c>
      <c r="BG132" s="411">
        <f t="shared" si="616"/>
        <v>-3825.9502669097042</v>
      </c>
      <c r="BH132" s="411">
        <f t="shared" si="616"/>
        <v>-4136.3636666588382</v>
      </c>
      <c r="BI132" s="411">
        <f t="shared" si="616"/>
        <v>-16424.760587605851</v>
      </c>
      <c r="BJ132" s="411">
        <f t="shared" si="616"/>
        <v>-17209.163817403354</v>
      </c>
      <c r="BK132" s="411">
        <f t="shared" si="616"/>
        <v>-2741.566613516889</v>
      </c>
      <c r="BL132" s="411">
        <f t="shared" si="616"/>
        <v>-3855.7769164452202</v>
      </c>
      <c r="BM132" s="411">
        <f t="shared" si="616"/>
        <v>-3934.4240290689841</v>
      </c>
      <c r="BN132" s="411">
        <f t="shared" si="616"/>
        <v>-2764.2395257923613</v>
      </c>
      <c r="BO132" s="412">
        <f t="shared" si="616"/>
        <v>-4003.8984111061563</v>
      </c>
      <c r="BP132" s="411">
        <f t="shared" si="616"/>
        <v>-4112.3699026639551</v>
      </c>
      <c r="BQ132" s="411">
        <f t="shared" si="616"/>
        <v>-4263.0573842769591</v>
      </c>
      <c r="BR132" s="411">
        <f t="shared" si="616"/>
        <v>-2854.4601530440154</v>
      </c>
      <c r="BS132" s="411">
        <f t="shared" si="616"/>
        <v>-4404.6372181319357</v>
      </c>
      <c r="BT132" s="411">
        <f t="shared" si="616"/>
        <v>-4298.7421886113707</v>
      </c>
      <c r="BU132" s="411">
        <f t="shared" si="616"/>
        <v>-21390.559944090834</v>
      </c>
      <c r="BV132" s="411">
        <f t="shared" si="616"/>
        <v>-22801.414810275979</v>
      </c>
      <c r="BW132" s="411">
        <f t="shared" si="616"/>
        <v>-3900.9186940064747</v>
      </c>
      <c r="BX132" s="411">
        <f t="shared" si="616"/>
        <v>-5652.3359168337211</v>
      </c>
      <c r="BY132" s="411">
        <f t="shared" si="616"/>
        <v>-5577.0705216987981</v>
      </c>
      <c r="BZ132" s="411">
        <f t="shared" si="616"/>
        <v>-4140.3931380810209</v>
      </c>
      <c r="CA132" s="412">
        <f t="shared" si="616"/>
        <v>-5923.2797471701524</v>
      </c>
      <c r="CB132" s="411">
        <f t="shared" si="616"/>
        <v>-5585.2759009419879</v>
      </c>
      <c r="CC132" s="411">
        <f t="shared" si="616"/>
        <v>-6191.1671747842011</v>
      </c>
      <c r="CD132" s="411">
        <f t="shared" si="616"/>
        <v>-4370.1871569479445</v>
      </c>
      <c r="CE132" s="411">
        <f t="shared" si="616"/>
        <v>-6072.0285267698428</v>
      </c>
      <c r="CF132" s="411">
        <f t="shared" si="616"/>
        <v>-6044.9367147151361</v>
      </c>
      <c r="CG132" s="411">
        <f t="shared" si="616"/>
        <v>-28066.721118568887</v>
      </c>
      <c r="CH132" s="411">
        <f t="shared" si="616"/>
        <v>-28975.879822328956</v>
      </c>
      <c r="CI132" s="411">
        <f t="shared" si="616"/>
        <v>-5572.6109159666721</v>
      </c>
      <c r="CJ132" s="411">
        <f t="shared" si="616"/>
        <v>-7933.1510545513001</v>
      </c>
      <c r="CK132" s="411">
        <f t="shared" si="616"/>
        <v>-7524.4899445121873</v>
      </c>
      <c r="CL132" s="411">
        <f t="shared" si="616"/>
        <v>-5856.9728800627217</v>
      </c>
      <c r="CM132" s="412">
        <f t="shared" ref="CM132:CY132" si="617">+IF(CM92*-0.7&lt;0, CM92*-0.7, 0)</f>
        <v>-8174.3799358826827</v>
      </c>
      <c r="CN132" s="411">
        <f t="shared" si="617"/>
        <v>-7820.8532293737771</v>
      </c>
      <c r="CO132" s="411">
        <f t="shared" si="617"/>
        <v>-8501.3905164914122</v>
      </c>
      <c r="CP132" s="411">
        <f t="shared" si="617"/>
        <v>-6270.8063247973787</v>
      </c>
      <c r="CQ132" s="411">
        <f t="shared" si="617"/>
        <v>-8188.1168546886138</v>
      </c>
      <c r="CR132" s="411">
        <f t="shared" si="617"/>
        <v>-8325.4275718473946</v>
      </c>
      <c r="CS132" s="411">
        <f t="shared" si="617"/>
        <v>-36794.171404659028</v>
      </c>
      <c r="CT132" s="411">
        <f t="shared" si="617"/>
        <v>-36778.46778350394</v>
      </c>
      <c r="CU132" s="411">
        <f t="shared" si="617"/>
        <v>-8039.257776501765</v>
      </c>
      <c r="CV132" s="411">
        <f t="shared" si="617"/>
        <v>-10545.759196351441</v>
      </c>
      <c r="CW132" s="411">
        <f t="shared" si="617"/>
        <v>-10224.466103218527</v>
      </c>
      <c r="CX132" s="411">
        <f t="shared" si="617"/>
        <v>-8276.8339230425045</v>
      </c>
      <c r="CY132" s="411">
        <f t="shared" si="617"/>
        <v>-10797.506170100618</v>
      </c>
    </row>
    <row r="133" spans="1:103" s="3" customFormat="1" x14ac:dyDescent="0.3">
      <c r="A133"/>
      <c r="B133" s="1"/>
      <c r="C133" s="59" t="s">
        <v>37</v>
      </c>
      <c r="D133" s="58"/>
      <c r="E133" s="58">
        <f t="shared" ref="E133:AJ133" si="618">E131-E116</f>
        <v>0</v>
      </c>
      <c r="F133" s="58">
        <f t="shared" si="618"/>
        <v>0</v>
      </c>
      <c r="G133" s="58">
        <f t="shared" si="618"/>
        <v>0</v>
      </c>
      <c r="H133" s="58">
        <f t="shared" si="618"/>
        <v>0</v>
      </c>
      <c r="I133" s="58">
        <f t="shared" si="618"/>
        <v>0</v>
      </c>
      <c r="J133" s="58">
        <f t="shared" si="618"/>
        <v>0</v>
      </c>
      <c r="K133" s="58">
        <f t="shared" si="618"/>
        <v>0</v>
      </c>
      <c r="L133" s="58">
        <f t="shared" si="618"/>
        <v>0</v>
      </c>
      <c r="M133" s="58">
        <f t="shared" si="618"/>
        <v>0</v>
      </c>
      <c r="N133" s="58">
        <f t="shared" si="618"/>
        <v>0</v>
      </c>
      <c r="O133" s="58">
        <f t="shared" si="618"/>
        <v>0</v>
      </c>
      <c r="P133" s="58">
        <f t="shared" si="618"/>
        <v>0</v>
      </c>
      <c r="Q133" s="58">
        <f t="shared" si="618"/>
        <v>0</v>
      </c>
      <c r="R133" s="58">
        <f t="shared" si="618"/>
        <v>0</v>
      </c>
      <c r="S133" s="58">
        <f t="shared" si="618"/>
        <v>0</v>
      </c>
      <c r="T133" s="58">
        <f t="shared" si="618"/>
        <v>0</v>
      </c>
      <c r="U133" s="58">
        <f t="shared" si="618"/>
        <v>0</v>
      </c>
      <c r="V133" s="58">
        <f t="shared" si="618"/>
        <v>3.694822225952521E-13</v>
      </c>
      <c r="W133" s="58">
        <f t="shared" si="618"/>
        <v>-9.0949470177292824E-13</v>
      </c>
      <c r="X133" s="58">
        <f t="shared" si="618"/>
        <v>0</v>
      </c>
      <c r="Y133" s="58">
        <f t="shared" si="618"/>
        <v>0</v>
      </c>
      <c r="Z133" s="58">
        <f t="shared" ref="Z133:AA133" si="619">Z131-Z116</f>
        <v>0</v>
      </c>
      <c r="AA133" s="58">
        <f t="shared" si="619"/>
        <v>-6.5369931689929217E-13</v>
      </c>
      <c r="AB133" s="58">
        <f t="shared" ref="AB133:AC133" si="620">AB131-AB116</f>
        <v>0</v>
      </c>
      <c r="AC133" s="194">
        <f t="shared" si="620"/>
        <v>0</v>
      </c>
      <c r="AD133" s="58">
        <f t="shared" ref="AD133" si="621">AD131-AD116</f>
        <v>0</v>
      </c>
      <c r="AE133" s="194">
        <f t="shared" si="618"/>
        <v>0</v>
      </c>
      <c r="AF133" s="58">
        <f t="shared" si="618"/>
        <v>0</v>
      </c>
      <c r="AG133" s="58">
        <f t="shared" si="618"/>
        <v>0</v>
      </c>
      <c r="AH133" s="58">
        <f t="shared" si="618"/>
        <v>0</v>
      </c>
      <c r="AI133" s="58">
        <f t="shared" si="618"/>
        <v>0</v>
      </c>
      <c r="AJ133" s="58">
        <f t="shared" si="618"/>
        <v>0</v>
      </c>
      <c r="AK133" s="58">
        <f t="shared" ref="AK133:BP133" si="622">AK131-AK116</f>
        <v>0</v>
      </c>
      <c r="AL133" s="58">
        <f t="shared" si="622"/>
        <v>0</v>
      </c>
      <c r="AM133" s="58">
        <f t="shared" si="622"/>
        <v>0</v>
      </c>
      <c r="AN133" s="58">
        <f t="shared" si="622"/>
        <v>0</v>
      </c>
      <c r="AO133" s="58">
        <f t="shared" si="622"/>
        <v>0</v>
      </c>
      <c r="AP133" s="58">
        <f t="shared" si="622"/>
        <v>0</v>
      </c>
      <c r="AQ133" s="194">
        <f t="shared" si="622"/>
        <v>0</v>
      </c>
      <c r="AR133" s="58">
        <f t="shared" si="622"/>
        <v>0</v>
      </c>
      <c r="AS133" s="58">
        <f t="shared" si="622"/>
        <v>0</v>
      </c>
      <c r="AT133" s="58">
        <f t="shared" si="622"/>
        <v>-2.9103830456733704E-11</v>
      </c>
      <c r="AU133" s="58">
        <f t="shared" si="622"/>
        <v>0</v>
      </c>
      <c r="AV133" s="58">
        <f t="shared" si="622"/>
        <v>-3.2741809263825417E-11</v>
      </c>
      <c r="AW133" s="58">
        <f t="shared" si="622"/>
        <v>0</v>
      </c>
      <c r="AX133" s="58">
        <f t="shared" si="622"/>
        <v>0</v>
      </c>
      <c r="AY133" s="58">
        <f t="shared" si="622"/>
        <v>0</v>
      </c>
      <c r="AZ133" s="58">
        <f t="shared" si="622"/>
        <v>0</v>
      </c>
      <c r="BA133" s="58">
        <f t="shared" si="622"/>
        <v>0</v>
      </c>
      <c r="BB133" s="58">
        <f t="shared" si="622"/>
        <v>0</v>
      </c>
      <c r="BC133" s="194">
        <f t="shared" si="622"/>
        <v>0</v>
      </c>
      <c r="BD133" s="58">
        <f t="shared" si="622"/>
        <v>0</v>
      </c>
      <c r="BE133" s="58">
        <f t="shared" si="622"/>
        <v>0</v>
      </c>
      <c r="BF133" s="58">
        <f t="shared" si="622"/>
        <v>0</v>
      </c>
      <c r="BG133" s="58">
        <f t="shared" si="622"/>
        <v>-5.8207660913467407E-11</v>
      </c>
      <c r="BH133" s="58">
        <f t="shared" si="622"/>
        <v>-5.8207660913467407E-11</v>
      </c>
      <c r="BI133" s="58">
        <f t="shared" si="622"/>
        <v>0</v>
      </c>
      <c r="BJ133" s="58">
        <f t="shared" si="622"/>
        <v>0</v>
      </c>
      <c r="BK133" s="58">
        <f t="shared" si="622"/>
        <v>0</v>
      </c>
      <c r="BL133" s="58">
        <f t="shared" si="622"/>
        <v>0</v>
      </c>
      <c r="BM133" s="58">
        <f t="shared" si="622"/>
        <v>0</v>
      </c>
      <c r="BN133" s="58">
        <f t="shared" si="622"/>
        <v>0</v>
      </c>
      <c r="BO133" s="194">
        <f t="shared" si="622"/>
        <v>0</v>
      </c>
      <c r="BP133" s="58">
        <f t="shared" si="622"/>
        <v>0</v>
      </c>
      <c r="BQ133" s="58">
        <f t="shared" ref="BQ133:CY133" si="623">BQ131-BQ116</f>
        <v>0</v>
      </c>
      <c r="BR133" s="58">
        <f t="shared" si="623"/>
        <v>0</v>
      </c>
      <c r="BS133" s="58">
        <f t="shared" si="623"/>
        <v>-1.1641532182693481E-10</v>
      </c>
      <c r="BT133" s="58">
        <f t="shared" si="623"/>
        <v>0</v>
      </c>
      <c r="BU133" s="58">
        <f t="shared" si="623"/>
        <v>-1.3096723705530167E-10</v>
      </c>
      <c r="BV133" s="58">
        <f t="shared" si="623"/>
        <v>0</v>
      </c>
      <c r="BW133" s="58">
        <f t="shared" si="623"/>
        <v>-1.1641532182693481E-10</v>
      </c>
      <c r="BX133" s="58">
        <f t="shared" si="623"/>
        <v>-1.3096723705530167E-10</v>
      </c>
      <c r="BY133" s="58">
        <f t="shared" si="623"/>
        <v>-1.4551915228366852E-10</v>
      </c>
      <c r="BZ133" s="58">
        <f t="shared" si="623"/>
        <v>-1.4551915228366852E-10</v>
      </c>
      <c r="CA133" s="194">
        <f t="shared" si="623"/>
        <v>-1.3096723705530167E-10</v>
      </c>
      <c r="CB133" s="58">
        <f t="shared" si="623"/>
        <v>0</v>
      </c>
      <c r="CC133" s="58">
        <f t="shared" si="623"/>
        <v>0</v>
      </c>
      <c r="CD133" s="58">
        <f t="shared" si="623"/>
        <v>0</v>
      </c>
      <c r="CE133" s="58">
        <f t="shared" si="623"/>
        <v>0</v>
      </c>
      <c r="CF133" s="58">
        <f t="shared" si="623"/>
        <v>0</v>
      </c>
      <c r="CG133" s="58">
        <f t="shared" si="623"/>
        <v>0</v>
      </c>
      <c r="CH133" s="58">
        <f t="shared" si="623"/>
        <v>0</v>
      </c>
      <c r="CI133" s="58">
        <f t="shared" si="623"/>
        <v>0</v>
      </c>
      <c r="CJ133" s="58">
        <f t="shared" si="623"/>
        <v>0</v>
      </c>
      <c r="CK133" s="58">
        <f t="shared" si="623"/>
        <v>0</v>
      </c>
      <c r="CL133" s="58">
        <f t="shared" si="623"/>
        <v>0</v>
      </c>
      <c r="CM133" s="194">
        <f t="shared" si="623"/>
        <v>0</v>
      </c>
      <c r="CN133" s="58">
        <f t="shared" si="623"/>
        <v>0</v>
      </c>
      <c r="CO133" s="58">
        <f t="shared" si="623"/>
        <v>0</v>
      </c>
      <c r="CP133" s="58">
        <f t="shared" si="623"/>
        <v>0</v>
      </c>
      <c r="CQ133" s="58">
        <f t="shared" si="623"/>
        <v>0</v>
      </c>
      <c r="CR133" s="58">
        <f t="shared" si="623"/>
        <v>0</v>
      </c>
      <c r="CS133" s="58">
        <f t="shared" si="623"/>
        <v>0</v>
      </c>
      <c r="CT133" s="58">
        <f t="shared" si="623"/>
        <v>0</v>
      </c>
      <c r="CU133" s="58">
        <f t="shared" si="623"/>
        <v>0</v>
      </c>
      <c r="CV133" s="58">
        <f t="shared" si="623"/>
        <v>0</v>
      </c>
      <c r="CW133" s="58">
        <f t="shared" si="623"/>
        <v>0</v>
      </c>
      <c r="CX133" s="58">
        <f t="shared" si="623"/>
        <v>0</v>
      </c>
      <c r="CY133" s="58">
        <f t="shared" si="623"/>
        <v>0</v>
      </c>
    </row>
    <row r="134" spans="1:103" x14ac:dyDescent="0.3">
      <c r="H134" s="164"/>
      <c r="I134" s="164"/>
      <c r="J134" s="164"/>
      <c r="AC134" s="191"/>
      <c r="AE134" s="191"/>
    </row>
    <row r="135" spans="1:103" x14ac:dyDescent="0.3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199"/>
      <c r="AD135" s="30"/>
      <c r="AE135" s="199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199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199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199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199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199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</row>
    <row r="136" spans="1:103" x14ac:dyDescent="0.3">
      <c r="AC136" s="191"/>
      <c r="AE136" s="191"/>
    </row>
    <row r="137" spans="1:103" x14ac:dyDescent="0.3">
      <c r="B137" s="1" t="s">
        <v>11</v>
      </c>
      <c r="D137" s="115"/>
      <c r="E137" s="115">
        <f t="shared" ref="E137:AJ137" si="624">E92</f>
        <v>0</v>
      </c>
      <c r="F137" s="115">
        <f t="shared" si="624"/>
        <v>0</v>
      </c>
      <c r="G137" s="115">
        <f t="shared" si="624"/>
        <v>0</v>
      </c>
      <c r="H137" s="115">
        <f t="shared" si="624"/>
        <v>0</v>
      </c>
      <c r="I137" s="115">
        <f t="shared" si="624"/>
        <v>0</v>
      </c>
      <c r="J137" s="115">
        <f t="shared" si="624"/>
        <v>0</v>
      </c>
      <c r="K137" s="115">
        <f t="shared" si="624"/>
        <v>0</v>
      </c>
      <c r="L137" s="115">
        <f t="shared" si="624"/>
        <v>0</v>
      </c>
      <c r="M137" s="115">
        <f t="shared" si="624"/>
        <v>0</v>
      </c>
      <c r="N137" s="115">
        <f t="shared" si="624"/>
        <v>0</v>
      </c>
      <c r="O137" s="115">
        <f t="shared" si="624"/>
        <v>0</v>
      </c>
      <c r="P137" s="115">
        <f t="shared" si="624"/>
        <v>0</v>
      </c>
      <c r="Q137" s="115">
        <f t="shared" si="624"/>
        <v>0</v>
      </c>
      <c r="R137" s="115">
        <f t="shared" si="624"/>
        <v>0</v>
      </c>
      <c r="S137" s="115">
        <f t="shared" si="624"/>
        <v>0</v>
      </c>
      <c r="T137" s="115">
        <f t="shared" si="624"/>
        <v>-571.14</v>
      </c>
      <c r="U137" s="115">
        <f t="shared" si="624"/>
        <v>-774.06</v>
      </c>
      <c r="V137" s="115">
        <f t="shared" si="624"/>
        <v>-1076.0800000000002</v>
      </c>
      <c r="W137" s="115">
        <f t="shared" si="624"/>
        <v>-1064.21</v>
      </c>
      <c r="X137" s="115">
        <f t="shared" si="624"/>
        <v>617.13000000000011</v>
      </c>
      <c r="Y137" s="115">
        <f t="shared" si="624"/>
        <v>3359.93</v>
      </c>
      <c r="Z137" s="115">
        <f t="shared" si="624"/>
        <v>3386.26</v>
      </c>
      <c r="AA137" s="115">
        <f t="shared" si="624"/>
        <v>-296.68999999999994</v>
      </c>
      <c r="AB137" s="115">
        <f t="shared" si="624"/>
        <v>761.86</v>
      </c>
      <c r="AC137" s="192">
        <f t="shared" si="624"/>
        <v>-38.440000000000055</v>
      </c>
      <c r="AD137" s="115">
        <f t="shared" si="624"/>
        <v>-694.25704340043876</v>
      </c>
      <c r="AE137" s="192">
        <f t="shared" si="624"/>
        <v>3537.2295403329363</v>
      </c>
      <c r="AF137" s="115">
        <f t="shared" si="624"/>
        <v>3937.4337078032413</v>
      </c>
      <c r="AG137" s="115">
        <f t="shared" si="624"/>
        <v>4631.3467770283487</v>
      </c>
      <c r="AH137" s="115">
        <f t="shared" si="624"/>
        <v>3383.0230288970279</v>
      </c>
      <c r="AI137" s="115">
        <f t="shared" si="624"/>
        <v>2818.5036087725439</v>
      </c>
      <c r="AJ137" s="115">
        <f t="shared" si="624"/>
        <v>5187.2192260135471</v>
      </c>
      <c r="AK137" s="115">
        <f t="shared" ref="AK137:BP137" si="625">AK92</f>
        <v>17416.528238596147</v>
      </c>
      <c r="AL137" s="115">
        <f t="shared" si="625"/>
        <v>17842.697868293108</v>
      </c>
      <c r="AM137" s="115">
        <f t="shared" si="625"/>
        <v>5156.445681863288</v>
      </c>
      <c r="AN137" s="115">
        <f t="shared" si="625"/>
        <v>6118.620588331316</v>
      </c>
      <c r="AO137" s="115">
        <f t="shared" si="625"/>
        <v>5984.2239209830041</v>
      </c>
      <c r="AP137" s="115">
        <f t="shared" si="625"/>
        <v>4932.1521416852829</v>
      </c>
      <c r="AQ137" s="192">
        <f t="shared" si="625"/>
        <v>6431.4466661505421</v>
      </c>
      <c r="AR137" s="115">
        <f t="shared" si="625"/>
        <v>3731.1266813163829</v>
      </c>
      <c r="AS137" s="115">
        <f t="shared" si="625"/>
        <v>4066.9561349204923</v>
      </c>
      <c r="AT137" s="115">
        <f t="shared" si="625"/>
        <v>2464.4047117778273</v>
      </c>
      <c r="AU137" s="115">
        <f t="shared" si="625"/>
        <v>3806.9372352702912</v>
      </c>
      <c r="AV137" s="115">
        <f t="shared" si="625"/>
        <v>4165.9774656521522</v>
      </c>
      <c r="AW137" s="115">
        <f t="shared" si="625"/>
        <v>19195.154496471423</v>
      </c>
      <c r="AX137" s="115">
        <f t="shared" si="625"/>
        <v>19753.655595540167</v>
      </c>
      <c r="AY137" s="115">
        <f t="shared" si="625"/>
        <v>3963.2506493590654</v>
      </c>
      <c r="AZ137" s="115">
        <f t="shared" si="625"/>
        <v>5117.7083000655985</v>
      </c>
      <c r="BA137" s="115">
        <f t="shared" si="625"/>
        <v>5080.7693661827798</v>
      </c>
      <c r="BB137" s="115">
        <f t="shared" si="625"/>
        <v>3980.9672545184985</v>
      </c>
      <c r="BC137" s="192">
        <f t="shared" si="625"/>
        <v>5246.0229739631104</v>
      </c>
      <c r="BD137" s="115">
        <f t="shared" si="625"/>
        <v>5357.2140237488838</v>
      </c>
      <c r="BE137" s="115">
        <f t="shared" si="625"/>
        <v>5731.3157948693542</v>
      </c>
      <c r="BF137" s="115">
        <f t="shared" si="625"/>
        <v>4036.2449299640566</v>
      </c>
      <c r="BG137" s="115">
        <f t="shared" si="625"/>
        <v>5465.6432384424352</v>
      </c>
      <c r="BH137" s="115">
        <f t="shared" si="625"/>
        <v>5909.0909523697692</v>
      </c>
      <c r="BI137" s="115">
        <f t="shared" si="625"/>
        <v>23463.943696579787</v>
      </c>
      <c r="BJ137" s="115">
        <f t="shared" si="625"/>
        <v>24584.51973914765</v>
      </c>
      <c r="BK137" s="115">
        <f t="shared" si="625"/>
        <v>3916.5237335955562</v>
      </c>
      <c r="BL137" s="115">
        <f t="shared" si="625"/>
        <v>5508.2527377788865</v>
      </c>
      <c r="BM137" s="115">
        <f t="shared" si="625"/>
        <v>5620.605755812835</v>
      </c>
      <c r="BN137" s="115">
        <f t="shared" si="625"/>
        <v>3948.9136082748018</v>
      </c>
      <c r="BO137" s="192">
        <f t="shared" si="625"/>
        <v>5719.854873008795</v>
      </c>
      <c r="BP137" s="115">
        <f t="shared" si="625"/>
        <v>5874.814146662794</v>
      </c>
      <c r="BQ137" s="115">
        <f t="shared" ref="BQ137:CY137" si="626">BQ92</f>
        <v>6090.0819775385135</v>
      </c>
      <c r="BR137" s="115">
        <f t="shared" si="626"/>
        <v>4077.8002186343083</v>
      </c>
      <c r="BS137" s="115">
        <f t="shared" si="626"/>
        <v>6292.3388830456224</v>
      </c>
      <c r="BT137" s="115">
        <f t="shared" si="626"/>
        <v>6141.0602694448162</v>
      </c>
      <c r="BU137" s="115">
        <f t="shared" si="626"/>
        <v>30557.942777272623</v>
      </c>
      <c r="BV137" s="115">
        <f t="shared" si="626"/>
        <v>32573.449728965687</v>
      </c>
      <c r="BW137" s="115">
        <f t="shared" si="626"/>
        <v>5572.7409914378213</v>
      </c>
      <c r="BX137" s="115">
        <f t="shared" si="626"/>
        <v>8074.7655954767451</v>
      </c>
      <c r="BY137" s="115">
        <f t="shared" si="626"/>
        <v>7967.2436024268545</v>
      </c>
      <c r="BZ137" s="115">
        <f t="shared" si="626"/>
        <v>5914.8473401157444</v>
      </c>
      <c r="CA137" s="192">
        <f t="shared" si="626"/>
        <v>8461.8282102430749</v>
      </c>
      <c r="CB137" s="115">
        <f t="shared" si="626"/>
        <v>7978.9655727742693</v>
      </c>
      <c r="CC137" s="115">
        <f t="shared" si="626"/>
        <v>8844.5245354060025</v>
      </c>
      <c r="CD137" s="115">
        <f t="shared" si="626"/>
        <v>6243.1245099256357</v>
      </c>
      <c r="CE137" s="115">
        <f t="shared" si="626"/>
        <v>8674.3264668140619</v>
      </c>
      <c r="CF137" s="115">
        <f t="shared" si="626"/>
        <v>8635.6238781644806</v>
      </c>
      <c r="CG137" s="115">
        <f t="shared" si="626"/>
        <v>40095.315883669842</v>
      </c>
      <c r="CH137" s="115">
        <f t="shared" si="626"/>
        <v>41394.114031898513</v>
      </c>
      <c r="CI137" s="115">
        <f t="shared" si="626"/>
        <v>7960.8727370952465</v>
      </c>
      <c r="CJ137" s="115">
        <f t="shared" si="626"/>
        <v>11333.072935073287</v>
      </c>
      <c r="CK137" s="115">
        <f t="shared" si="626"/>
        <v>10749.271349303126</v>
      </c>
      <c r="CL137" s="115">
        <f t="shared" si="626"/>
        <v>8367.1041143753173</v>
      </c>
      <c r="CM137" s="192">
        <f t="shared" si="626"/>
        <v>11677.685622689547</v>
      </c>
      <c r="CN137" s="115">
        <f t="shared" si="626"/>
        <v>11172.647470533968</v>
      </c>
      <c r="CO137" s="115">
        <f t="shared" si="626"/>
        <v>12144.843594987731</v>
      </c>
      <c r="CP137" s="115">
        <f t="shared" si="626"/>
        <v>8958.2947497105415</v>
      </c>
      <c r="CQ137" s="115">
        <f t="shared" si="626"/>
        <v>11697.309792412307</v>
      </c>
      <c r="CR137" s="115">
        <f t="shared" si="626"/>
        <v>11893.467959781992</v>
      </c>
      <c r="CS137" s="115">
        <f t="shared" si="626"/>
        <v>52563.102006655754</v>
      </c>
      <c r="CT137" s="115">
        <f t="shared" si="626"/>
        <v>52540.668262148487</v>
      </c>
      <c r="CU137" s="115">
        <f t="shared" si="626"/>
        <v>11484.653966431093</v>
      </c>
      <c r="CV137" s="115">
        <f t="shared" si="626"/>
        <v>15065.370280502058</v>
      </c>
      <c r="CW137" s="115">
        <f t="shared" si="626"/>
        <v>14606.380147455038</v>
      </c>
      <c r="CX137" s="115">
        <f t="shared" si="626"/>
        <v>11824.048461489294</v>
      </c>
      <c r="CY137" s="115">
        <f t="shared" si="626"/>
        <v>15425.008814429455</v>
      </c>
    </row>
    <row r="138" spans="1:103" x14ac:dyDescent="0.3">
      <c r="B138" s="11" t="s">
        <v>30</v>
      </c>
      <c r="D138" s="115"/>
      <c r="E138" s="115">
        <f t="shared" ref="E138:AJ138" si="627">-(E108-D108)</f>
        <v>0</v>
      </c>
      <c r="F138" s="115">
        <f t="shared" si="627"/>
        <v>0</v>
      </c>
      <c r="G138" s="115">
        <f t="shared" si="627"/>
        <v>0</v>
      </c>
      <c r="H138" s="115">
        <f t="shared" si="627"/>
        <v>0</v>
      </c>
      <c r="I138" s="115">
        <f t="shared" si="627"/>
        <v>0</v>
      </c>
      <c r="J138" s="115">
        <f t="shared" si="627"/>
        <v>0</v>
      </c>
      <c r="K138" s="115">
        <f t="shared" si="627"/>
        <v>0</v>
      </c>
      <c r="L138" s="115">
        <f t="shared" si="627"/>
        <v>0</v>
      </c>
      <c r="M138" s="115">
        <f t="shared" si="627"/>
        <v>0</v>
      </c>
      <c r="N138" s="115">
        <f t="shared" si="627"/>
        <v>0</v>
      </c>
      <c r="O138" s="115">
        <f t="shared" si="627"/>
        <v>0</v>
      </c>
      <c r="P138" s="115">
        <f t="shared" si="627"/>
        <v>0</v>
      </c>
      <c r="Q138" s="115">
        <f t="shared" si="627"/>
        <v>0</v>
      </c>
      <c r="R138" s="115">
        <f t="shared" si="627"/>
        <v>0</v>
      </c>
      <c r="S138" s="115">
        <f t="shared" si="627"/>
        <v>0</v>
      </c>
      <c r="T138" s="115">
        <f t="shared" si="627"/>
        <v>0</v>
      </c>
      <c r="U138" s="115">
        <f t="shared" si="627"/>
        <v>0</v>
      </c>
      <c r="V138" s="115">
        <f t="shared" si="627"/>
        <v>0</v>
      </c>
      <c r="W138" s="115">
        <f t="shared" si="627"/>
        <v>0</v>
      </c>
      <c r="X138" s="115">
        <f t="shared" si="627"/>
        <v>-200</v>
      </c>
      <c r="Y138" s="115">
        <f t="shared" si="627"/>
        <v>200</v>
      </c>
      <c r="Z138" s="115">
        <f t="shared" si="627"/>
        <v>0</v>
      </c>
      <c r="AA138" s="115">
        <f t="shared" si="627"/>
        <v>-200</v>
      </c>
      <c r="AB138" s="115">
        <f t="shared" si="627"/>
        <v>-180</v>
      </c>
      <c r="AC138" s="192">
        <f t="shared" si="627"/>
        <v>0</v>
      </c>
      <c r="AD138" s="115">
        <f t="shared" si="627"/>
        <v>224.90673045644081</v>
      </c>
      <c r="AE138" s="192">
        <f t="shared" si="627"/>
        <v>-185.32331360713431</v>
      </c>
      <c r="AF138" s="115">
        <f t="shared" si="627"/>
        <v>-52.541130932235433</v>
      </c>
      <c r="AG138" s="115">
        <f t="shared" si="627"/>
        <v>-29.224566511025728</v>
      </c>
      <c r="AH138" s="115">
        <f t="shared" si="627"/>
        <v>85.477421114371452</v>
      </c>
      <c r="AI138" s="115">
        <f t="shared" si="627"/>
        <v>-115.96455198746105</v>
      </c>
      <c r="AJ138" s="115">
        <f t="shared" si="627"/>
        <v>-21.276378177851257</v>
      </c>
      <c r="AK138" s="115">
        <f t="shared" ref="AK138:BP138" si="628">-(AK108-AJ108)</f>
        <v>-1089.8754403893104</v>
      </c>
      <c r="AL138" s="115">
        <f t="shared" si="628"/>
        <v>-77.780054874101779</v>
      </c>
      <c r="AM138" s="115">
        <f t="shared" si="628"/>
        <v>1101.8107715430137</v>
      </c>
      <c r="AN138" s="115">
        <f t="shared" si="628"/>
        <v>-17.479450070810458</v>
      </c>
      <c r="AO138" s="115">
        <f t="shared" si="628"/>
        <v>-6.3803270990658802</v>
      </c>
      <c r="AP138" s="115">
        <f t="shared" si="628"/>
        <v>120.87073550280775</v>
      </c>
      <c r="AQ138" s="192">
        <f t="shared" si="628"/>
        <v>-131.03747497423683</v>
      </c>
      <c r="AR138" s="115">
        <f t="shared" si="628"/>
        <v>-17.340928268707785</v>
      </c>
      <c r="AS138" s="115">
        <f t="shared" si="628"/>
        <v>5.2033462237734511</v>
      </c>
      <c r="AT138" s="115">
        <f t="shared" si="628"/>
        <v>132.74975102861595</v>
      </c>
      <c r="AU138" s="115">
        <f t="shared" si="628"/>
        <v>-144.11819294038082</v>
      </c>
      <c r="AV138" s="115">
        <f t="shared" si="628"/>
        <v>-9.4171621456595176</v>
      </c>
      <c r="AW138" s="115">
        <f t="shared" si="628"/>
        <v>-1381.6101833332732</v>
      </c>
      <c r="AX138" s="115">
        <f t="shared" si="628"/>
        <v>-97.497619892088096</v>
      </c>
      <c r="AY138" s="115">
        <f t="shared" si="628"/>
        <v>1400.5610765419083</v>
      </c>
      <c r="AZ138" s="115">
        <f t="shared" si="628"/>
        <v>-19.248085273903484</v>
      </c>
      <c r="BA138" s="115">
        <f t="shared" si="628"/>
        <v>-6.9486270677110724</v>
      </c>
      <c r="BB138" s="115">
        <f t="shared" si="628"/>
        <v>154.20996765766904</v>
      </c>
      <c r="BC138" s="192">
        <f t="shared" si="628"/>
        <v>-165.74374368768156</v>
      </c>
      <c r="BD138" s="115">
        <f t="shared" si="628"/>
        <v>-18.285149650619246</v>
      </c>
      <c r="BE138" s="115">
        <f t="shared" si="628"/>
        <v>-6.3708656937405976</v>
      </c>
      <c r="BF138" s="115">
        <f t="shared" si="628"/>
        <v>161.12837319152413</v>
      </c>
      <c r="BG138" s="115">
        <f t="shared" si="628"/>
        <v>-172.10749830252485</v>
      </c>
      <c r="BH138" s="115">
        <f t="shared" si="628"/>
        <v>-18.160353193841615</v>
      </c>
      <c r="BI138" s="115">
        <f t="shared" si="628"/>
        <v>-1750.4380953137679</v>
      </c>
      <c r="BJ138" s="115">
        <f t="shared" si="628"/>
        <v>-117.14025793021074</v>
      </c>
      <c r="BK138" s="115">
        <f t="shared" si="628"/>
        <v>1775.7529164763437</v>
      </c>
      <c r="BL138" s="115">
        <f t="shared" si="628"/>
        <v>-20.989746764245069</v>
      </c>
      <c r="BM138" s="115">
        <f t="shared" si="628"/>
        <v>-6.6792742200213979</v>
      </c>
      <c r="BN138" s="115">
        <f t="shared" si="628"/>
        <v>195.77359623596169</v>
      </c>
      <c r="BO138" s="192">
        <f t="shared" si="628"/>
        <v>-220.15943220759038</v>
      </c>
      <c r="BP138" s="115">
        <f t="shared" si="628"/>
        <v>-15.447119731411249</v>
      </c>
      <c r="BQ138" s="115">
        <f t="shared" ref="BQ138:CY138" si="629">-(BQ108-BP108)</f>
        <v>-2.860816847110641</v>
      </c>
      <c r="BR138" s="115">
        <f t="shared" si="629"/>
        <v>206.27935654654914</v>
      </c>
      <c r="BS138" s="115">
        <f t="shared" si="629"/>
        <v>-226.99947344018369</v>
      </c>
      <c r="BT138" s="115">
        <f t="shared" si="629"/>
        <v>-14.622332938862542</v>
      </c>
      <c r="BU138" s="115">
        <f t="shared" si="629"/>
        <v>-2216.8809661461946</v>
      </c>
      <c r="BV138" s="115">
        <f t="shared" si="629"/>
        <v>-147.80526936645583</v>
      </c>
      <c r="BW138" s="115">
        <f t="shared" si="629"/>
        <v>2250.6622264911753</v>
      </c>
      <c r="BX138" s="115">
        <f t="shared" si="629"/>
        <v>-36.767381700823307</v>
      </c>
      <c r="BY138" s="115">
        <f t="shared" si="629"/>
        <v>-14.667211722336788</v>
      </c>
      <c r="BZ138" s="115">
        <f t="shared" si="629"/>
        <v>256.69832082930077</v>
      </c>
      <c r="CA138" s="192">
        <f t="shared" si="629"/>
        <v>-271.17314900531289</v>
      </c>
      <c r="CB138" s="115">
        <f t="shared" si="629"/>
        <v>-25.354341375204967</v>
      </c>
      <c r="CC138" s="115">
        <f t="shared" si="629"/>
        <v>-8.312268680176885</v>
      </c>
      <c r="CD138" s="115">
        <f t="shared" si="629"/>
        <v>258.868349477229</v>
      </c>
      <c r="CE138" s="115">
        <f t="shared" si="629"/>
        <v>-274.14276847771316</v>
      </c>
      <c r="CF138" s="115">
        <f t="shared" si="629"/>
        <v>-22.043007808804077</v>
      </c>
      <c r="CG138" s="115">
        <f t="shared" si="629"/>
        <v>-2794.2255648164546</v>
      </c>
      <c r="CH138" s="115">
        <f t="shared" si="629"/>
        <v>-195.55890846661896</v>
      </c>
      <c r="CI138" s="115">
        <f t="shared" si="629"/>
        <v>2842.3502624617672</v>
      </c>
      <c r="CJ138" s="115">
        <f t="shared" si="629"/>
        <v>-43.299315370117029</v>
      </c>
      <c r="CK138" s="115">
        <f t="shared" si="629"/>
        <v>-16.779141028807771</v>
      </c>
      <c r="CL138" s="115">
        <f t="shared" si="629"/>
        <v>322.29870636430428</v>
      </c>
      <c r="CM138" s="192">
        <f t="shared" si="629"/>
        <v>-352.73309393861086</v>
      </c>
      <c r="CN138" s="115">
        <f t="shared" si="629"/>
        <v>-35.35269723155784</v>
      </c>
      <c r="CO138" s="115">
        <f t="shared" si="629"/>
        <v>0.31085868458899313</v>
      </c>
      <c r="CP138" s="115">
        <f t="shared" si="629"/>
        <v>332.8812936278166</v>
      </c>
      <c r="CQ138" s="115">
        <f t="shared" si="629"/>
        <v>-354.59822746734471</v>
      </c>
      <c r="CR138" s="115">
        <f t="shared" si="629"/>
        <v>-29.900028639325001</v>
      </c>
      <c r="CS138" s="115">
        <f t="shared" si="629"/>
        <v>-3538.097213412726</v>
      </c>
      <c r="CT138" s="115">
        <f t="shared" si="629"/>
        <v>-247.11695264634727</v>
      </c>
      <c r="CU138" s="115">
        <f t="shared" si="629"/>
        <v>3599.03951878425</v>
      </c>
      <c r="CV138" s="115">
        <f t="shared" si="629"/>
        <v>-60.44728530228258</v>
      </c>
      <c r="CW138" s="115">
        <f t="shared" si="629"/>
        <v>-13.267250698214866</v>
      </c>
      <c r="CX138" s="115">
        <f t="shared" si="629"/>
        <v>397.84513239101966</v>
      </c>
      <c r="CY138" s="115">
        <f t="shared" si="629"/>
        <v>-434.23998841540765</v>
      </c>
    </row>
    <row r="139" spans="1:103" x14ac:dyDescent="0.3">
      <c r="B139" s="1" t="s">
        <v>31</v>
      </c>
      <c r="D139" s="115"/>
      <c r="E139" s="115"/>
      <c r="F139" s="115">
        <f>F124-D124</f>
        <v>0</v>
      </c>
      <c r="G139" s="115">
        <f>G124-E124</f>
        <v>0</v>
      </c>
      <c r="H139" s="115">
        <f t="shared" ref="H139:AM139" si="630">H124-G124-(H114-G114)</f>
        <v>0</v>
      </c>
      <c r="I139" s="115">
        <f t="shared" si="630"/>
        <v>0</v>
      </c>
      <c r="J139" s="115">
        <f t="shared" si="630"/>
        <v>0</v>
      </c>
      <c r="K139" s="115">
        <f t="shared" si="630"/>
        <v>0</v>
      </c>
      <c r="L139" s="115">
        <f t="shared" si="630"/>
        <v>0</v>
      </c>
      <c r="M139" s="115">
        <f t="shared" si="630"/>
        <v>0</v>
      </c>
      <c r="N139" s="115">
        <f t="shared" si="630"/>
        <v>0</v>
      </c>
      <c r="O139" s="115">
        <f t="shared" si="630"/>
        <v>0</v>
      </c>
      <c r="P139" s="115">
        <f t="shared" si="630"/>
        <v>0</v>
      </c>
      <c r="Q139" s="115">
        <f t="shared" si="630"/>
        <v>0</v>
      </c>
      <c r="R139" s="115">
        <f t="shared" si="630"/>
        <v>0</v>
      </c>
      <c r="S139" s="115">
        <f t="shared" si="630"/>
        <v>0</v>
      </c>
      <c r="T139" s="115">
        <f t="shared" si="630"/>
        <v>2378.2199999999998</v>
      </c>
      <c r="U139" s="115">
        <f t="shared" si="630"/>
        <v>986.7800000000002</v>
      </c>
      <c r="V139" s="115">
        <f t="shared" si="630"/>
        <v>776.10000000000036</v>
      </c>
      <c r="W139" s="115">
        <f t="shared" si="630"/>
        <v>516.97999999999956</v>
      </c>
      <c r="X139" s="115">
        <f t="shared" si="630"/>
        <v>-20.239999999999782</v>
      </c>
      <c r="Y139" s="115">
        <f t="shared" si="630"/>
        <v>-251.35000000000036</v>
      </c>
      <c r="Z139" s="115">
        <f t="shared" si="630"/>
        <v>-138.96999999999935</v>
      </c>
      <c r="AA139" s="115">
        <f t="shared" si="630"/>
        <v>15.919999999999163</v>
      </c>
      <c r="AB139" s="115">
        <f t="shared" si="630"/>
        <v>-329.13999999999942</v>
      </c>
      <c r="AC139" s="192">
        <f t="shared" si="630"/>
        <v>301.82999999999993</v>
      </c>
      <c r="AD139" s="115">
        <f t="shared" si="630"/>
        <v>0</v>
      </c>
      <c r="AE139" s="192">
        <f t="shared" si="630"/>
        <v>0</v>
      </c>
      <c r="AF139" s="115">
        <f t="shared" si="630"/>
        <v>0</v>
      </c>
      <c r="AG139" s="115">
        <f t="shared" si="630"/>
        <v>0</v>
      </c>
      <c r="AH139" s="115">
        <f t="shared" si="630"/>
        <v>0</v>
      </c>
      <c r="AI139" s="115">
        <f t="shared" si="630"/>
        <v>0</v>
      </c>
      <c r="AJ139" s="115">
        <f t="shared" si="630"/>
        <v>0</v>
      </c>
      <c r="AK139" s="115">
        <f t="shared" si="630"/>
        <v>0</v>
      </c>
      <c r="AL139" s="115">
        <f t="shared" si="630"/>
        <v>0</v>
      </c>
      <c r="AM139" s="115">
        <f t="shared" si="630"/>
        <v>0</v>
      </c>
      <c r="AN139" s="115">
        <f t="shared" ref="AN139:BS139" si="631">AN124-AM124-(AN114-AM114)</f>
        <v>0</v>
      </c>
      <c r="AO139" s="115">
        <f t="shared" si="631"/>
        <v>0</v>
      </c>
      <c r="AP139" s="115">
        <f t="shared" si="631"/>
        <v>0</v>
      </c>
      <c r="AQ139" s="192">
        <f t="shared" si="631"/>
        <v>0</v>
      </c>
      <c r="AR139" s="115">
        <f t="shared" si="631"/>
        <v>0</v>
      </c>
      <c r="AS139" s="115">
        <f t="shared" si="631"/>
        <v>0</v>
      </c>
      <c r="AT139" s="115">
        <f t="shared" si="631"/>
        <v>0</v>
      </c>
      <c r="AU139" s="115">
        <f t="shared" si="631"/>
        <v>0</v>
      </c>
      <c r="AV139" s="115">
        <f t="shared" si="631"/>
        <v>0</v>
      </c>
      <c r="AW139" s="115">
        <f t="shared" si="631"/>
        <v>0</v>
      </c>
      <c r="AX139" s="115">
        <f t="shared" si="631"/>
        <v>0</v>
      </c>
      <c r="AY139" s="115">
        <f t="shared" si="631"/>
        <v>0</v>
      </c>
      <c r="AZ139" s="115">
        <f t="shared" si="631"/>
        <v>0</v>
      </c>
      <c r="BA139" s="115">
        <f t="shared" si="631"/>
        <v>0</v>
      </c>
      <c r="BB139" s="115">
        <f t="shared" si="631"/>
        <v>0</v>
      </c>
      <c r="BC139" s="192">
        <f t="shared" si="631"/>
        <v>0</v>
      </c>
      <c r="BD139" s="115">
        <f t="shared" si="631"/>
        <v>0</v>
      </c>
      <c r="BE139" s="115">
        <f t="shared" si="631"/>
        <v>0</v>
      </c>
      <c r="BF139" s="115">
        <f t="shared" si="631"/>
        <v>0</v>
      </c>
      <c r="BG139" s="115">
        <f t="shared" si="631"/>
        <v>0</v>
      </c>
      <c r="BH139" s="115">
        <f t="shared" si="631"/>
        <v>0</v>
      </c>
      <c r="BI139" s="115">
        <f t="shared" si="631"/>
        <v>0</v>
      </c>
      <c r="BJ139" s="115">
        <f t="shared" si="631"/>
        <v>0</v>
      </c>
      <c r="BK139" s="115">
        <f t="shared" si="631"/>
        <v>0</v>
      </c>
      <c r="BL139" s="115">
        <f t="shared" si="631"/>
        <v>0</v>
      </c>
      <c r="BM139" s="115">
        <f t="shared" si="631"/>
        <v>0</v>
      </c>
      <c r="BN139" s="115">
        <f t="shared" si="631"/>
        <v>0</v>
      </c>
      <c r="BO139" s="192">
        <f t="shared" si="631"/>
        <v>0</v>
      </c>
      <c r="BP139" s="115">
        <f t="shared" si="631"/>
        <v>0</v>
      </c>
      <c r="BQ139" s="115">
        <f t="shared" si="631"/>
        <v>0</v>
      </c>
      <c r="BR139" s="115">
        <f t="shared" si="631"/>
        <v>0</v>
      </c>
      <c r="BS139" s="115">
        <f t="shared" si="631"/>
        <v>0</v>
      </c>
      <c r="BT139" s="115">
        <f t="shared" ref="BT139:CY139" si="632">BT124-BS124-(BT114-BS114)</f>
        <v>0</v>
      </c>
      <c r="BU139" s="115">
        <f t="shared" si="632"/>
        <v>0</v>
      </c>
      <c r="BV139" s="115">
        <f t="shared" si="632"/>
        <v>0</v>
      </c>
      <c r="BW139" s="115">
        <f t="shared" si="632"/>
        <v>0</v>
      </c>
      <c r="BX139" s="115">
        <f t="shared" si="632"/>
        <v>0</v>
      </c>
      <c r="BY139" s="115">
        <f t="shared" si="632"/>
        <v>0</v>
      </c>
      <c r="BZ139" s="115">
        <f t="shared" si="632"/>
        <v>0</v>
      </c>
      <c r="CA139" s="192">
        <f t="shared" si="632"/>
        <v>0</v>
      </c>
      <c r="CB139" s="115">
        <f t="shared" si="632"/>
        <v>0</v>
      </c>
      <c r="CC139" s="115">
        <f t="shared" si="632"/>
        <v>0</v>
      </c>
      <c r="CD139" s="115">
        <f t="shared" si="632"/>
        <v>0</v>
      </c>
      <c r="CE139" s="115">
        <f t="shared" si="632"/>
        <v>0</v>
      </c>
      <c r="CF139" s="115">
        <f t="shared" si="632"/>
        <v>0</v>
      </c>
      <c r="CG139" s="115">
        <f t="shared" si="632"/>
        <v>0</v>
      </c>
      <c r="CH139" s="115">
        <f t="shared" si="632"/>
        <v>0</v>
      </c>
      <c r="CI139" s="115">
        <f t="shared" si="632"/>
        <v>0</v>
      </c>
      <c r="CJ139" s="115">
        <f t="shared" si="632"/>
        <v>0</v>
      </c>
      <c r="CK139" s="115">
        <f t="shared" si="632"/>
        <v>0</v>
      </c>
      <c r="CL139" s="115">
        <f t="shared" si="632"/>
        <v>0</v>
      </c>
      <c r="CM139" s="192">
        <f t="shared" si="632"/>
        <v>0</v>
      </c>
      <c r="CN139" s="115">
        <f t="shared" si="632"/>
        <v>0</v>
      </c>
      <c r="CO139" s="115">
        <f t="shared" si="632"/>
        <v>0</v>
      </c>
      <c r="CP139" s="115">
        <f t="shared" si="632"/>
        <v>0</v>
      </c>
      <c r="CQ139" s="115">
        <f t="shared" si="632"/>
        <v>0</v>
      </c>
      <c r="CR139" s="115">
        <f t="shared" si="632"/>
        <v>0</v>
      </c>
      <c r="CS139" s="115">
        <f t="shared" si="632"/>
        <v>0</v>
      </c>
      <c r="CT139" s="115">
        <f t="shared" si="632"/>
        <v>0</v>
      </c>
      <c r="CU139" s="115">
        <f t="shared" si="632"/>
        <v>0</v>
      </c>
      <c r="CV139" s="115">
        <f t="shared" si="632"/>
        <v>0</v>
      </c>
      <c r="CW139" s="115">
        <f t="shared" si="632"/>
        <v>0</v>
      </c>
      <c r="CX139" s="115">
        <f t="shared" si="632"/>
        <v>0</v>
      </c>
      <c r="CY139" s="115">
        <f t="shared" si="632"/>
        <v>0</v>
      </c>
    </row>
    <row r="140" spans="1:103" s="3" customFormat="1" x14ac:dyDescent="0.3">
      <c r="A140"/>
      <c r="B140" s="4" t="s">
        <v>29</v>
      </c>
      <c r="D140" s="10"/>
      <c r="E140" s="10">
        <f t="shared" ref="E140:BH140" si="633">SUM(E137:E139)</f>
        <v>0</v>
      </c>
      <c r="F140" s="10">
        <f t="shared" si="633"/>
        <v>0</v>
      </c>
      <c r="G140" s="10">
        <f t="shared" si="633"/>
        <v>0</v>
      </c>
      <c r="H140" s="10">
        <f>SUM(H137:H139)</f>
        <v>0</v>
      </c>
      <c r="I140" s="10">
        <f t="shared" si="633"/>
        <v>0</v>
      </c>
      <c r="J140" s="10">
        <f t="shared" si="633"/>
        <v>0</v>
      </c>
      <c r="K140" s="10">
        <f t="shared" si="633"/>
        <v>0</v>
      </c>
      <c r="L140" s="10">
        <f t="shared" si="633"/>
        <v>0</v>
      </c>
      <c r="M140" s="10">
        <f t="shared" si="633"/>
        <v>0</v>
      </c>
      <c r="N140" s="10">
        <f t="shared" si="633"/>
        <v>0</v>
      </c>
      <c r="O140" s="10">
        <f t="shared" si="633"/>
        <v>0</v>
      </c>
      <c r="P140" s="10">
        <f t="shared" si="633"/>
        <v>0</v>
      </c>
      <c r="Q140" s="10">
        <f t="shared" si="633"/>
        <v>0</v>
      </c>
      <c r="R140" s="10">
        <f t="shared" si="633"/>
        <v>0</v>
      </c>
      <c r="S140" s="10">
        <f t="shared" ref="S140:T140" si="634">SUM(S137:S139)</f>
        <v>0</v>
      </c>
      <c r="T140" s="10">
        <f t="shared" si="634"/>
        <v>1807.08</v>
      </c>
      <c r="U140" s="10">
        <f t="shared" ref="U140:V140" si="635">SUM(U137:U139)</f>
        <v>212.72000000000025</v>
      </c>
      <c r="V140" s="10">
        <f t="shared" si="635"/>
        <v>-299.97999999999979</v>
      </c>
      <c r="W140" s="10">
        <f t="shared" ref="W140" si="636">SUM(W137:W139)</f>
        <v>-547.23000000000047</v>
      </c>
      <c r="X140" s="10">
        <f t="shared" ref="X140" si="637">SUM(X137:X139)</f>
        <v>396.89000000000033</v>
      </c>
      <c r="Y140" s="10">
        <f t="shared" si="633"/>
        <v>3308.5799999999995</v>
      </c>
      <c r="Z140" s="10">
        <f t="shared" si="633"/>
        <v>3247.2900000000009</v>
      </c>
      <c r="AA140" s="10">
        <f t="shared" si="633"/>
        <v>-480.77000000000078</v>
      </c>
      <c r="AB140" s="10">
        <f t="shared" si="633"/>
        <v>252.7200000000006</v>
      </c>
      <c r="AC140" s="200">
        <f t="shared" si="633"/>
        <v>263.38999999999987</v>
      </c>
      <c r="AD140" s="10">
        <f t="shared" si="633"/>
        <v>-469.35031294399795</v>
      </c>
      <c r="AE140" s="200">
        <f t="shared" si="633"/>
        <v>3351.9062267258018</v>
      </c>
      <c r="AF140" s="10">
        <f t="shared" si="633"/>
        <v>3884.892576871006</v>
      </c>
      <c r="AG140" s="10">
        <f t="shared" si="633"/>
        <v>4602.1222105173229</v>
      </c>
      <c r="AH140" s="10">
        <f t="shared" si="633"/>
        <v>3468.5004500113992</v>
      </c>
      <c r="AI140" s="10">
        <f t="shared" si="633"/>
        <v>2702.5390567850827</v>
      </c>
      <c r="AJ140" s="10">
        <f t="shared" si="633"/>
        <v>5165.9428478356958</v>
      </c>
      <c r="AK140" s="10">
        <f t="shared" si="633"/>
        <v>16326.652798206836</v>
      </c>
      <c r="AL140" s="10">
        <f t="shared" si="633"/>
        <v>17764.917813419004</v>
      </c>
      <c r="AM140" s="10">
        <f t="shared" si="633"/>
        <v>6258.2564534063022</v>
      </c>
      <c r="AN140" s="10">
        <f t="shared" si="633"/>
        <v>6101.1411382605056</v>
      </c>
      <c r="AO140" s="10">
        <f t="shared" si="633"/>
        <v>5977.8435938839384</v>
      </c>
      <c r="AP140" s="10">
        <f t="shared" si="633"/>
        <v>5053.0228771880902</v>
      </c>
      <c r="AQ140" s="200">
        <f t="shared" si="633"/>
        <v>6300.4091911763053</v>
      </c>
      <c r="AR140" s="10">
        <f t="shared" si="633"/>
        <v>3713.7857530476749</v>
      </c>
      <c r="AS140" s="10">
        <f t="shared" si="633"/>
        <v>4072.1594811442656</v>
      </c>
      <c r="AT140" s="10">
        <f t="shared" si="633"/>
        <v>2597.154462806443</v>
      </c>
      <c r="AU140" s="10">
        <f t="shared" si="633"/>
        <v>3662.8190423299102</v>
      </c>
      <c r="AV140" s="10">
        <f t="shared" si="633"/>
        <v>4156.5603035064923</v>
      </c>
      <c r="AW140" s="10">
        <f t="shared" si="633"/>
        <v>17813.544313138151</v>
      </c>
      <c r="AX140" s="10">
        <f t="shared" si="633"/>
        <v>19656.157975648079</v>
      </c>
      <c r="AY140" s="10">
        <f t="shared" si="633"/>
        <v>5363.8117259009741</v>
      </c>
      <c r="AZ140" s="10">
        <f t="shared" si="633"/>
        <v>5098.4602147916949</v>
      </c>
      <c r="BA140" s="10">
        <f t="shared" si="633"/>
        <v>5073.820739115069</v>
      </c>
      <c r="BB140" s="10">
        <f t="shared" si="633"/>
        <v>4135.1772221761676</v>
      </c>
      <c r="BC140" s="200">
        <f t="shared" si="633"/>
        <v>5080.2792302754287</v>
      </c>
      <c r="BD140" s="10">
        <f t="shared" si="633"/>
        <v>5338.9288740982647</v>
      </c>
      <c r="BE140" s="10">
        <f t="shared" si="633"/>
        <v>5724.9449291756137</v>
      </c>
      <c r="BF140" s="10">
        <f t="shared" si="633"/>
        <v>4197.3733031555803</v>
      </c>
      <c r="BG140" s="10">
        <f t="shared" si="633"/>
        <v>5293.5357401399106</v>
      </c>
      <c r="BH140" s="10">
        <f t="shared" si="633"/>
        <v>5890.9305991759275</v>
      </c>
      <c r="BI140" s="10">
        <f t="shared" ref="BI140:CY140" si="638">SUM(BI137:BI139)</f>
        <v>21713.505601266021</v>
      </c>
      <c r="BJ140" s="10">
        <f t="shared" si="638"/>
        <v>24467.379481217438</v>
      </c>
      <c r="BK140" s="10">
        <f t="shared" si="638"/>
        <v>5692.2766500718999</v>
      </c>
      <c r="BL140" s="10">
        <f t="shared" si="638"/>
        <v>5487.2629910146416</v>
      </c>
      <c r="BM140" s="10">
        <f t="shared" si="638"/>
        <v>5613.9264815928136</v>
      </c>
      <c r="BN140" s="10">
        <f t="shared" si="638"/>
        <v>4144.6872045107639</v>
      </c>
      <c r="BO140" s="200">
        <f t="shared" si="638"/>
        <v>5499.6954408012043</v>
      </c>
      <c r="BP140" s="10">
        <f t="shared" si="638"/>
        <v>5859.3670269313825</v>
      </c>
      <c r="BQ140" s="10">
        <f t="shared" si="638"/>
        <v>6087.2211606914025</v>
      </c>
      <c r="BR140" s="10">
        <f t="shared" si="638"/>
        <v>4284.0795751808573</v>
      </c>
      <c r="BS140" s="10">
        <f t="shared" si="638"/>
        <v>6065.339409605439</v>
      </c>
      <c r="BT140" s="10">
        <f t="shared" si="638"/>
        <v>6126.437936505954</v>
      </c>
      <c r="BU140" s="10">
        <f t="shared" si="638"/>
        <v>28341.061811126427</v>
      </c>
      <c r="BV140" s="10">
        <f t="shared" si="638"/>
        <v>32425.644459599229</v>
      </c>
      <c r="BW140" s="10">
        <f t="shared" si="638"/>
        <v>7823.403217928997</v>
      </c>
      <c r="BX140" s="10">
        <f t="shared" si="638"/>
        <v>8037.9982137759216</v>
      </c>
      <c r="BY140" s="10">
        <f t="shared" si="638"/>
        <v>7952.5763907045175</v>
      </c>
      <c r="BZ140" s="10">
        <f t="shared" si="638"/>
        <v>6171.5456609450448</v>
      </c>
      <c r="CA140" s="200">
        <f t="shared" si="638"/>
        <v>8190.6550612377623</v>
      </c>
      <c r="CB140" s="10">
        <f t="shared" si="638"/>
        <v>7953.6112313990643</v>
      </c>
      <c r="CC140" s="10">
        <f t="shared" si="638"/>
        <v>8836.2122667258263</v>
      </c>
      <c r="CD140" s="10">
        <f t="shared" si="638"/>
        <v>6501.9928594028643</v>
      </c>
      <c r="CE140" s="10">
        <f t="shared" si="638"/>
        <v>8400.1836983363482</v>
      </c>
      <c r="CF140" s="10">
        <f t="shared" si="638"/>
        <v>8613.5808703556759</v>
      </c>
      <c r="CG140" s="10">
        <f t="shared" si="638"/>
        <v>37301.090318853385</v>
      </c>
      <c r="CH140" s="10">
        <f t="shared" si="638"/>
        <v>41198.555123431892</v>
      </c>
      <c r="CI140" s="10">
        <f t="shared" si="638"/>
        <v>10803.222999557014</v>
      </c>
      <c r="CJ140" s="10">
        <f t="shared" si="638"/>
        <v>11289.77361970317</v>
      </c>
      <c r="CK140" s="10">
        <f t="shared" si="638"/>
        <v>10732.492208274318</v>
      </c>
      <c r="CL140" s="10">
        <f t="shared" si="638"/>
        <v>8689.4028207396223</v>
      </c>
      <c r="CM140" s="200">
        <f t="shared" si="638"/>
        <v>11324.952528750937</v>
      </c>
      <c r="CN140" s="10">
        <f t="shared" si="638"/>
        <v>11137.29477330241</v>
      </c>
      <c r="CO140" s="10">
        <f t="shared" si="638"/>
        <v>12145.15445367232</v>
      </c>
      <c r="CP140" s="10">
        <f t="shared" si="638"/>
        <v>9291.1760433383588</v>
      </c>
      <c r="CQ140" s="10">
        <f t="shared" si="638"/>
        <v>11342.711564944962</v>
      </c>
      <c r="CR140" s="10">
        <f t="shared" si="638"/>
        <v>11863.567931142667</v>
      </c>
      <c r="CS140" s="10">
        <f t="shared" si="638"/>
        <v>49025.004793243032</v>
      </c>
      <c r="CT140" s="10">
        <f t="shared" si="638"/>
        <v>52293.551309502138</v>
      </c>
      <c r="CU140" s="10">
        <f t="shared" si="638"/>
        <v>15083.693485215343</v>
      </c>
      <c r="CV140" s="10">
        <f t="shared" si="638"/>
        <v>15004.922995199777</v>
      </c>
      <c r="CW140" s="10">
        <f t="shared" si="638"/>
        <v>14593.112896756824</v>
      </c>
      <c r="CX140" s="10">
        <f t="shared" si="638"/>
        <v>12221.893593880313</v>
      </c>
      <c r="CY140" s="10">
        <f t="shared" si="638"/>
        <v>14990.768826014048</v>
      </c>
    </row>
    <row r="141" spans="1:103" x14ac:dyDescent="0.3">
      <c r="AC141" s="191"/>
      <c r="AE141" s="191"/>
    </row>
    <row r="142" spans="1:103" x14ac:dyDescent="0.3">
      <c r="AC142" s="191"/>
      <c r="AE142" s="191"/>
    </row>
    <row r="143" spans="1:103" x14ac:dyDescent="0.3">
      <c r="B143" s="1" t="s">
        <v>32</v>
      </c>
      <c r="D143" s="115"/>
      <c r="E143" s="115">
        <f t="shared" ref="E143:O143" si="639">SUM(E126:E126)-SUM(D126:D126)</f>
        <v>0</v>
      </c>
      <c r="F143" s="115">
        <f t="shared" si="639"/>
        <v>0</v>
      </c>
      <c r="G143" s="115">
        <f t="shared" si="639"/>
        <v>0</v>
      </c>
      <c r="H143" s="115">
        <f t="shared" si="639"/>
        <v>0</v>
      </c>
      <c r="I143" s="115">
        <f t="shared" si="639"/>
        <v>0</v>
      </c>
      <c r="J143" s="115">
        <f t="shared" si="639"/>
        <v>0</v>
      </c>
      <c r="K143" s="115">
        <f t="shared" si="639"/>
        <v>0</v>
      </c>
      <c r="L143" s="115">
        <f t="shared" si="639"/>
        <v>0</v>
      </c>
      <c r="M143" s="115">
        <f t="shared" si="639"/>
        <v>0</v>
      </c>
      <c r="N143" s="115">
        <f t="shared" si="639"/>
        <v>0</v>
      </c>
      <c r="O143" s="115">
        <f t="shared" si="639"/>
        <v>0</v>
      </c>
      <c r="P143" s="115">
        <f>SUM(P126:P127)-SUM(O126:O127)</f>
        <v>0</v>
      </c>
      <c r="Q143" s="115">
        <f>SUM(Q126:Q127)-SUM(P126:P127)</f>
        <v>0</v>
      </c>
      <c r="R143" s="115">
        <f>SUM(R126:R127)-SUM(Q126:Q127)</f>
        <v>0</v>
      </c>
      <c r="S143" s="115">
        <f t="shared" ref="S143:V143" si="640">SUM(S126:S127)-SUM(R126:R127)</f>
        <v>0</v>
      </c>
      <c r="T143" s="115">
        <f t="shared" si="640"/>
        <v>-1807.08</v>
      </c>
      <c r="U143" s="115">
        <f t="shared" si="640"/>
        <v>1065.67</v>
      </c>
      <c r="V143" s="115">
        <f t="shared" si="640"/>
        <v>-1201.0600000000004</v>
      </c>
      <c r="W143" s="115">
        <f>SUM(W126:W127)-SUM(V126:V127)</f>
        <v>1321.3399999999992</v>
      </c>
      <c r="X143" s="115">
        <f t="shared" ref="X143:CI143" si="641">SUM(X126:X127)-SUM(W126:W127)</f>
        <v>-640.77999999999884</v>
      </c>
      <c r="Y143" s="115">
        <f t="shared" si="641"/>
        <v>-2155.59</v>
      </c>
      <c r="Z143" s="115">
        <f t="shared" si="641"/>
        <v>-2421.5500000000011</v>
      </c>
      <c r="AA143" s="115">
        <f t="shared" si="641"/>
        <v>-1794.8099999999995</v>
      </c>
      <c r="AB143" s="115">
        <f t="shared" si="641"/>
        <v>-142.97999999999956</v>
      </c>
      <c r="AC143" s="192">
        <f t="shared" si="641"/>
        <v>217.77000000000044</v>
      </c>
      <c r="AD143" s="115">
        <f t="shared" si="641"/>
        <v>0</v>
      </c>
      <c r="AE143" s="192">
        <f t="shared" si="641"/>
        <v>-2476.0606782330542</v>
      </c>
      <c r="AF143" s="115">
        <f t="shared" si="641"/>
        <v>-2756.2035954622697</v>
      </c>
      <c r="AG143" s="115">
        <f t="shared" si="641"/>
        <v>-3241.9427439198444</v>
      </c>
      <c r="AH143" s="115">
        <f t="shared" si="641"/>
        <v>-2368.1161202279181</v>
      </c>
      <c r="AI143" s="115">
        <f t="shared" si="641"/>
        <v>-1972.9525261407798</v>
      </c>
      <c r="AJ143" s="115">
        <f t="shared" si="641"/>
        <v>-3631.0534582094842</v>
      </c>
      <c r="AK143" s="115">
        <f t="shared" si="641"/>
        <v>-12191.569767017299</v>
      </c>
      <c r="AL143" s="115">
        <f t="shared" si="641"/>
        <v>-12489.888507805183</v>
      </c>
      <c r="AM143" s="115">
        <f t="shared" si="641"/>
        <v>-3609.511977304297</v>
      </c>
      <c r="AN143" s="115">
        <f t="shared" si="641"/>
        <v>-4283.034411831919</v>
      </c>
      <c r="AO143" s="115">
        <f t="shared" si="641"/>
        <v>-4188.9567446880974</v>
      </c>
      <c r="AP143" s="115">
        <f t="shared" si="641"/>
        <v>-3452.5064991796971</v>
      </c>
      <c r="AQ143" s="192">
        <f t="shared" si="641"/>
        <v>-4502.0126663053816</v>
      </c>
      <c r="AR143" s="115">
        <f t="shared" si="641"/>
        <v>-2611.7886769214674</v>
      </c>
      <c r="AS143" s="115">
        <f t="shared" si="641"/>
        <v>-2846.8692944443465</v>
      </c>
      <c r="AT143" s="115">
        <f t="shared" si="641"/>
        <v>-1725.0832982444845</v>
      </c>
      <c r="AU143" s="115">
        <f t="shared" si="641"/>
        <v>-2664.8560646892001</v>
      </c>
      <c r="AV143" s="115">
        <f t="shared" si="641"/>
        <v>-2916.1842259565019</v>
      </c>
      <c r="AW143" s="115">
        <f t="shared" si="641"/>
        <v>-13436.608147530002</v>
      </c>
      <c r="AX143" s="115">
        <f t="shared" si="641"/>
        <v>-13827.558916878115</v>
      </c>
      <c r="AY143" s="115">
        <f t="shared" si="641"/>
        <v>-2774.2754545513453</v>
      </c>
      <c r="AZ143" s="115">
        <f t="shared" si="641"/>
        <v>-3582.3958100459131</v>
      </c>
      <c r="BA143" s="115">
        <f t="shared" si="641"/>
        <v>-3556.5385563279415</v>
      </c>
      <c r="BB143" s="115">
        <f t="shared" si="641"/>
        <v>-2786.6770781629602</v>
      </c>
      <c r="BC143" s="192">
        <f t="shared" si="641"/>
        <v>-3672.2160817741824</v>
      </c>
      <c r="BD143" s="115">
        <f t="shared" si="641"/>
        <v>-3750.0498166242323</v>
      </c>
      <c r="BE143" s="115">
        <f t="shared" si="641"/>
        <v>-4011.9210564085661</v>
      </c>
      <c r="BF143" s="115">
        <f t="shared" si="641"/>
        <v>-2825.3714509748388</v>
      </c>
      <c r="BG143" s="115">
        <f t="shared" si="641"/>
        <v>-3825.9502669096983</v>
      </c>
      <c r="BH143" s="115">
        <f t="shared" si="641"/>
        <v>-4136.3636666588427</v>
      </c>
      <c r="BI143" s="115">
        <f t="shared" si="641"/>
        <v>-16424.760587605851</v>
      </c>
      <c r="BJ143" s="115">
        <f t="shared" si="641"/>
        <v>-17209.163817403343</v>
      </c>
      <c r="BK143" s="115">
        <f t="shared" si="641"/>
        <v>-2741.5666135168867</v>
      </c>
      <c r="BL143" s="115">
        <f t="shared" si="641"/>
        <v>-3855.7769164452329</v>
      </c>
      <c r="BM143" s="115">
        <f t="shared" si="641"/>
        <v>-3934.4240290689922</v>
      </c>
      <c r="BN143" s="115">
        <f t="shared" si="641"/>
        <v>-2764.2395257923636</v>
      </c>
      <c r="BO143" s="192">
        <f t="shared" si="641"/>
        <v>-4003.8984111061436</v>
      </c>
      <c r="BP143" s="115">
        <f t="shared" si="641"/>
        <v>-4112.3699026639515</v>
      </c>
      <c r="BQ143" s="115">
        <f t="shared" si="641"/>
        <v>-4263.0573842769663</v>
      </c>
      <c r="BR143" s="115">
        <f t="shared" si="641"/>
        <v>-2854.4601530440268</v>
      </c>
      <c r="BS143" s="115">
        <f t="shared" si="641"/>
        <v>-4404.6372181319457</v>
      </c>
      <c r="BT143" s="115">
        <f t="shared" si="641"/>
        <v>-4298.7421886113589</v>
      </c>
      <c r="BU143" s="115">
        <f t="shared" si="641"/>
        <v>-21390.559944090841</v>
      </c>
      <c r="BV143" s="115">
        <f t="shared" si="641"/>
        <v>-22801.414810275979</v>
      </c>
      <c r="BW143" s="115">
        <f t="shared" si="641"/>
        <v>-3900.9186940064537</v>
      </c>
      <c r="BX143" s="115">
        <f t="shared" si="641"/>
        <v>-5652.3359168337192</v>
      </c>
      <c r="BY143" s="115">
        <f t="shared" si="641"/>
        <v>-5577.070521698799</v>
      </c>
      <c r="BZ143" s="115">
        <f t="shared" si="641"/>
        <v>-4140.39313808101</v>
      </c>
      <c r="CA143" s="192">
        <f t="shared" si="641"/>
        <v>-5923.2797471701633</v>
      </c>
      <c r="CB143" s="115">
        <f t="shared" si="641"/>
        <v>-5585.2759009419824</v>
      </c>
      <c r="CC143" s="115">
        <f t="shared" si="641"/>
        <v>-6191.1671747841756</v>
      </c>
      <c r="CD143" s="115">
        <f t="shared" si="641"/>
        <v>-4370.1871569479699</v>
      </c>
      <c r="CE143" s="115">
        <f t="shared" si="641"/>
        <v>-6072.0285267698346</v>
      </c>
      <c r="CF143" s="115">
        <f t="shared" si="641"/>
        <v>-6044.9367147151497</v>
      </c>
      <c r="CG143" s="115">
        <f t="shared" si="641"/>
        <v>-28066.721118568908</v>
      </c>
      <c r="CH143" s="115">
        <f t="shared" si="641"/>
        <v>-28975.879822328978</v>
      </c>
      <c r="CI143" s="115">
        <f t="shared" si="641"/>
        <v>-5572.6109159666812</v>
      </c>
      <c r="CJ143" s="115">
        <f t="shared" ref="CJ143:CY143" si="642">SUM(CJ126:CJ127)-SUM(CI126:CI127)</f>
        <v>-7933.1510545513011</v>
      </c>
      <c r="CK143" s="115">
        <f t="shared" si="642"/>
        <v>-7524.4899445121991</v>
      </c>
      <c r="CL143" s="115">
        <f t="shared" si="642"/>
        <v>-5856.9728800627054</v>
      </c>
      <c r="CM143" s="192">
        <f t="shared" si="642"/>
        <v>-8174.3799358826946</v>
      </c>
      <c r="CN143" s="115">
        <f t="shared" si="642"/>
        <v>-7820.8532293737517</v>
      </c>
      <c r="CO143" s="115">
        <f t="shared" si="642"/>
        <v>-8501.3905164914322</v>
      </c>
      <c r="CP143" s="115">
        <f t="shared" si="642"/>
        <v>-6270.8063247973914</v>
      </c>
      <c r="CQ143" s="115">
        <f t="shared" si="642"/>
        <v>-8188.1168546886183</v>
      </c>
      <c r="CR143" s="115">
        <f t="shared" si="642"/>
        <v>-8325.4275718473946</v>
      </c>
      <c r="CS143" s="115">
        <f t="shared" si="642"/>
        <v>-36794.17140465905</v>
      </c>
      <c r="CT143" s="115">
        <f t="shared" si="642"/>
        <v>-36778.467783503991</v>
      </c>
      <c r="CU143" s="115">
        <f t="shared" si="642"/>
        <v>-8039.2577765017631</v>
      </c>
      <c r="CV143" s="115">
        <f t="shared" si="642"/>
        <v>-10545.759196351399</v>
      </c>
      <c r="CW143" s="115">
        <f t="shared" si="642"/>
        <v>-10224.466103218496</v>
      </c>
      <c r="CX143" s="115">
        <f t="shared" si="642"/>
        <v>-8276.833923042519</v>
      </c>
      <c r="CY143" s="115">
        <f t="shared" si="642"/>
        <v>-10797.506170100649</v>
      </c>
    </row>
    <row r="144" spans="1:103" x14ac:dyDescent="0.3">
      <c r="A144" s="3"/>
      <c r="B144" s="4" t="s">
        <v>33</v>
      </c>
      <c r="C144" s="3"/>
      <c r="D144" s="10"/>
      <c r="E144" s="10">
        <f t="shared" ref="E144:BI144" si="643">E143</f>
        <v>0</v>
      </c>
      <c r="F144" s="10">
        <f t="shared" si="643"/>
        <v>0</v>
      </c>
      <c r="G144" s="10">
        <f t="shared" si="643"/>
        <v>0</v>
      </c>
      <c r="H144" s="10">
        <f>H143</f>
        <v>0</v>
      </c>
      <c r="I144" s="10">
        <f t="shared" si="643"/>
        <v>0</v>
      </c>
      <c r="J144" s="10">
        <f t="shared" si="643"/>
        <v>0</v>
      </c>
      <c r="K144" s="10">
        <f t="shared" si="643"/>
        <v>0</v>
      </c>
      <c r="L144" s="10">
        <f t="shared" si="643"/>
        <v>0</v>
      </c>
      <c r="M144" s="10">
        <f t="shared" si="643"/>
        <v>0</v>
      </c>
      <c r="N144" s="10">
        <f t="shared" si="643"/>
        <v>0</v>
      </c>
      <c r="O144" s="10">
        <f t="shared" si="643"/>
        <v>0</v>
      </c>
      <c r="P144" s="10">
        <f t="shared" si="643"/>
        <v>0</v>
      </c>
      <c r="Q144" s="10">
        <f t="shared" si="643"/>
        <v>0</v>
      </c>
      <c r="R144" s="10">
        <f t="shared" si="643"/>
        <v>0</v>
      </c>
      <c r="S144" s="10">
        <f t="shared" ref="S144:T144" si="644">S143</f>
        <v>0</v>
      </c>
      <c r="T144" s="10">
        <f t="shared" si="644"/>
        <v>-1807.08</v>
      </c>
      <c r="U144" s="10">
        <f t="shared" ref="U144:V144" si="645">U143</f>
        <v>1065.67</v>
      </c>
      <c r="V144" s="10">
        <f t="shared" si="645"/>
        <v>-1201.0600000000004</v>
      </c>
      <c r="W144" s="10">
        <f t="shared" ref="W144" si="646">W143</f>
        <v>1321.3399999999992</v>
      </c>
      <c r="X144" s="10">
        <f t="shared" ref="X144" si="647">X143</f>
        <v>-640.77999999999884</v>
      </c>
      <c r="Y144" s="10">
        <f t="shared" si="643"/>
        <v>-2155.59</v>
      </c>
      <c r="Z144" s="10">
        <f t="shared" si="643"/>
        <v>-2421.5500000000011</v>
      </c>
      <c r="AA144" s="10">
        <f t="shared" si="643"/>
        <v>-1794.8099999999995</v>
      </c>
      <c r="AB144" s="10">
        <f t="shared" si="643"/>
        <v>-142.97999999999956</v>
      </c>
      <c r="AC144" s="200">
        <f t="shared" si="643"/>
        <v>217.77000000000044</v>
      </c>
      <c r="AD144" s="10">
        <f t="shared" si="643"/>
        <v>0</v>
      </c>
      <c r="AE144" s="200">
        <f t="shared" si="643"/>
        <v>-2476.0606782330542</v>
      </c>
      <c r="AF144" s="10">
        <f t="shared" si="643"/>
        <v>-2756.2035954622697</v>
      </c>
      <c r="AG144" s="10">
        <f t="shared" si="643"/>
        <v>-3241.9427439198444</v>
      </c>
      <c r="AH144" s="10">
        <f t="shared" si="643"/>
        <v>-2368.1161202279181</v>
      </c>
      <c r="AI144" s="10">
        <f t="shared" si="643"/>
        <v>-1972.9525261407798</v>
      </c>
      <c r="AJ144" s="10">
        <f t="shared" si="643"/>
        <v>-3631.0534582094842</v>
      </c>
      <c r="AK144" s="10">
        <f t="shared" si="643"/>
        <v>-12191.569767017299</v>
      </c>
      <c r="AL144" s="10">
        <f t="shared" si="643"/>
        <v>-12489.888507805183</v>
      </c>
      <c r="AM144" s="10">
        <f t="shared" si="643"/>
        <v>-3609.511977304297</v>
      </c>
      <c r="AN144" s="10">
        <f t="shared" si="643"/>
        <v>-4283.034411831919</v>
      </c>
      <c r="AO144" s="10">
        <f t="shared" si="643"/>
        <v>-4188.9567446880974</v>
      </c>
      <c r="AP144" s="10">
        <f t="shared" si="643"/>
        <v>-3452.5064991796971</v>
      </c>
      <c r="AQ144" s="200">
        <f t="shared" si="643"/>
        <v>-4502.0126663053816</v>
      </c>
      <c r="AR144" s="10">
        <f t="shared" si="643"/>
        <v>-2611.7886769214674</v>
      </c>
      <c r="AS144" s="10">
        <f t="shared" si="643"/>
        <v>-2846.8692944443465</v>
      </c>
      <c r="AT144" s="10">
        <f t="shared" si="643"/>
        <v>-1725.0832982444845</v>
      </c>
      <c r="AU144" s="10">
        <f t="shared" si="643"/>
        <v>-2664.8560646892001</v>
      </c>
      <c r="AV144" s="10">
        <f t="shared" si="643"/>
        <v>-2916.1842259565019</v>
      </c>
      <c r="AW144" s="10">
        <f t="shared" si="643"/>
        <v>-13436.608147530002</v>
      </c>
      <c r="AX144" s="10">
        <f t="shared" si="643"/>
        <v>-13827.558916878115</v>
      </c>
      <c r="AY144" s="10">
        <f t="shared" si="643"/>
        <v>-2774.2754545513453</v>
      </c>
      <c r="AZ144" s="10">
        <f t="shared" si="643"/>
        <v>-3582.3958100459131</v>
      </c>
      <c r="BA144" s="10">
        <f t="shared" si="643"/>
        <v>-3556.5385563279415</v>
      </c>
      <c r="BB144" s="10">
        <f t="shared" si="643"/>
        <v>-2786.6770781629602</v>
      </c>
      <c r="BC144" s="200">
        <f t="shared" si="643"/>
        <v>-3672.2160817741824</v>
      </c>
      <c r="BD144" s="10">
        <f t="shared" si="643"/>
        <v>-3750.0498166242323</v>
      </c>
      <c r="BE144" s="10">
        <f t="shared" si="643"/>
        <v>-4011.9210564085661</v>
      </c>
      <c r="BF144" s="10">
        <f t="shared" si="643"/>
        <v>-2825.3714509748388</v>
      </c>
      <c r="BG144" s="10">
        <f t="shared" si="643"/>
        <v>-3825.9502669096983</v>
      </c>
      <c r="BH144" s="10">
        <f t="shared" si="643"/>
        <v>-4136.3636666588427</v>
      </c>
      <c r="BI144" s="10">
        <f t="shared" si="643"/>
        <v>-16424.760587605851</v>
      </c>
      <c r="BJ144" s="10">
        <f t="shared" ref="BJ144:CY144" si="648">BJ143</f>
        <v>-17209.163817403343</v>
      </c>
      <c r="BK144" s="10">
        <f t="shared" si="648"/>
        <v>-2741.5666135168867</v>
      </c>
      <c r="BL144" s="10">
        <f t="shared" si="648"/>
        <v>-3855.7769164452329</v>
      </c>
      <c r="BM144" s="10">
        <f t="shared" si="648"/>
        <v>-3934.4240290689922</v>
      </c>
      <c r="BN144" s="10">
        <f t="shared" si="648"/>
        <v>-2764.2395257923636</v>
      </c>
      <c r="BO144" s="200">
        <f t="shared" si="648"/>
        <v>-4003.8984111061436</v>
      </c>
      <c r="BP144" s="10">
        <f t="shared" si="648"/>
        <v>-4112.3699026639515</v>
      </c>
      <c r="BQ144" s="10">
        <f t="shared" si="648"/>
        <v>-4263.0573842769663</v>
      </c>
      <c r="BR144" s="10">
        <f t="shared" si="648"/>
        <v>-2854.4601530440268</v>
      </c>
      <c r="BS144" s="10">
        <f t="shared" si="648"/>
        <v>-4404.6372181319457</v>
      </c>
      <c r="BT144" s="10">
        <f t="shared" si="648"/>
        <v>-4298.7421886113589</v>
      </c>
      <c r="BU144" s="10">
        <f t="shared" si="648"/>
        <v>-21390.559944090841</v>
      </c>
      <c r="BV144" s="10">
        <f t="shared" si="648"/>
        <v>-22801.414810275979</v>
      </c>
      <c r="BW144" s="10">
        <f t="shared" si="648"/>
        <v>-3900.9186940064537</v>
      </c>
      <c r="BX144" s="10">
        <f t="shared" si="648"/>
        <v>-5652.3359168337192</v>
      </c>
      <c r="BY144" s="10">
        <f t="shared" si="648"/>
        <v>-5577.070521698799</v>
      </c>
      <c r="BZ144" s="10">
        <f t="shared" si="648"/>
        <v>-4140.39313808101</v>
      </c>
      <c r="CA144" s="200">
        <f t="shared" si="648"/>
        <v>-5923.2797471701633</v>
      </c>
      <c r="CB144" s="10">
        <f t="shared" si="648"/>
        <v>-5585.2759009419824</v>
      </c>
      <c r="CC144" s="10">
        <f t="shared" si="648"/>
        <v>-6191.1671747841756</v>
      </c>
      <c r="CD144" s="10">
        <f t="shared" si="648"/>
        <v>-4370.1871569479699</v>
      </c>
      <c r="CE144" s="10">
        <f t="shared" si="648"/>
        <v>-6072.0285267698346</v>
      </c>
      <c r="CF144" s="10">
        <f t="shared" si="648"/>
        <v>-6044.9367147151497</v>
      </c>
      <c r="CG144" s="10">
        <f t="shared" si="648"/>
        <v>-28066.721118568908</v>
      </c>
      <c r="CH144" s="10">
        <f t="shared" si="648"/>
        <v>-28975.879822328978</v>
      </c>
      <c r="CI144" s="10">
        <f t="shared" si="648"/>
        <v>-5572.6109159666812</v>
      </c>
      <c r="CJ144" s="10">
        <f t="shared" si="648"/>
        <v>-7933.1510545513011</v>
      </c>
      <c r="CK144" s="10">
        <f t="shared" si="648"/>
        <v>-7524.4899445121991</v>
      </c>
      <c r="CL144" s="10">
        <f t="shared" si="648"/>
        <v>-5856.9728800627054</v>
      </c>
      <c r="CM144" s="200">
        <f t="shared" si="648"/>
        <v>-8174.3799358826946</v>
      </c>
      <c r="CN144" s="10">
        <f t="shared" si="648"/>
        <v>-7820.8532293737517</v>
      </c>
      <c r="CO144" s="10">
        <f t="shared" si="648"/>
        <v>-8501.3905164914322</v>
      </c>
      <c r="CP144" s="10">
        <f t="shared" si="648"/>
        <v>-6270.8063247973914</v>
      </c>
      <c r="CQ144" s="10">
        <f t="shared" si="648"/>
        <v>-8188.1168546886183</v>
      </c>
      <c r="CR144" s="10">
        <f t="shared" si="648"/>
        <v>-8325.4275718473946</v>
      </c>
      <c r="CS144" s="10">
        <f t="shared" si="648"/>
        <v>-36794.17140465905</v>
      </c>
      <c r="CT144" s="10">
        <f t="shared" si="648"/>
        <v>-36778.467783503991</v>
      </c>
      <c r="CU144" s="10">
        <f t="shared" si="648"/>
        <v>-8039.2577765017631</v>
      </c>
      <c r="CV144" s="10">
        <f t="shared" si="648"/>
        <v>-10545.759196351399</v>
      </c>
      <c r="CW144" s="10">
        <f t="shared" si="648"/>
        <v>-10224.466103218496</v>
      </c>
      <c r="CX144" s="10">
        <f t="shared" si="648"/>
        <v>-8276.833923042519</v>
      </c>
      <c r="CY144" s="10">
        <f t="shared" si="648"/>
        <v>-10797.506170100649</v>
      </c>
    </row>
    <row r="145" spans="1:103" x14ac:dyDescent="0.3">
      <c r="AC145" s="191"/>
      <c r="AE145" s="191"/>
    </row>
    <row r="146" spans="1:103" x14ac:dyDescent="0.3">
      <c r="B146" s="1" t="s">
        <v>34</v>
      </c>
      <c r="D146" s="9"/>
      <c r="E146" s="9">
        <f t="shared" ref="E146:BH146" si="649">E144+E140</f>
        <v>0</v>
      </c>
      <c r="F146" s="9">
        <f t="shared" si="649"/>
        <v>0</v>
      </c>
      <c r="G146" s="9">
        <f t="shared" si="649"/>
        <v>0</v>
      </c>
      <c r="H146" s="9">
        <f t="shared" si="649"/>
        <v>0</v>
      </c>
      <c r="I146" s="9">
        <f t="shared" si="649"/>
        <v>0</v>
      </c>
      <c r="J146" s="9">
        <f t="shared" si="649"/>
        <v>0</v>
      </c>
      <c r="K146" s="9">
        <f t="shared" si="649"/>
        <v>0</v>
      </c>
      <c r="L146" s="9">
        <f t="shared" si="649"/>
        <v>0</v>
      </c>
      <c r="M146" s="9">
        <f t="shared" si="649"/>
        <v>0</v>
      </c>
      <c r="N146" s="9">
        <f t="shared" si="649"/>
        <v>0</v>
      </c>
      <c r="O146" s="9">
        <f t="shared" si="649"/>
        <v>0</v>
      </c>
      <c r="P146" s="9">
        <f t="shared" si="649"/>
        <v>0</v>
      </c>
      <c r="Q146" s="9">
        <f t="shared" si="649"/>
        <v>0</v>
      </c>
      <c r="R146" s="9">
        <f t="shared" si="649"/>
        <v>0</v>
      </c>
      <c r="S146" s="9">
        <f t="shared" ref="S146:T146" si="650">S144+S140</f>
        <v>0</v>
      </c>
      <c r="T146" s="9">
        <f t="shared" si="650"/>
        <v>0</v>
      </c>
      <c r="U146" s="9">
        <f t="shared" ref="U146:V146" si="651">U144+U140</f>
        <v>1278.3900000000003</v>
      </c>
      <c r="V146" s="9">
        <f t="shared" si="651"/>
        <v>-1501.0400000000002</v>
      </c>
      <c r="W146" s="9">
        <f t="shared" ref="W146" si="652">W144+W140</f>
        <v>774.10999999999876</v>
      </c>
      <c r="X146" s="9">
        <f t="shared" ref="X146" si="653">X144+X140</f>
        <v>-243.88999999999851</v>
      </c>
      <c r="Y146" s="9">
        <f t="shared" si="649"/>
        <v>1152.9899999999993</v>
      </c>
      <c r="Z146" s="9">
        <f t="shared" si="649"/>
        <v>825.73999999999978</v>
      </c>
      <c r="AA146" s="9">
        <f t="shared" si="649"/>
        <v>-2275.5800000000004</v>
      </c>
      <c r="AB146" s="9">
        <f t="shared" si="649"/>
        <v>109.74000000000103</v>
      </c>
      <c r="AC146" s="201">
        <f t="shared" si="649"/>
        <v>481.16000000000031</v>
      </c>
      <c r="AD146" s="9">
        <f t="shared" si="649"/>
        <v>-469.35031294399795</v>
      </c>
      <c r="AE146" s="201">
        <f t="shared" si="649"/>
        <v>875.84554849274764</v>
      </c>
      <c r="AF146" s="9">
        <f t="shared" si="649"/>
        <v>1128.6889814087363</v>
      </c>
      <c r="AG146" s="9">
        <f t="shared" si="649"/>
        <v>1360.1794665974785</v>
      </c>
      <c r="AH146" s="9">
        <f t="shared" si="649"/>
        <v>1100.384329783481</v>
      </c>
      <c r="AI146" s="9">
        <f t="shared" si="649"/>
        <v>729.58653064430291</v>
      </c>
      <c r="AJ146" s="9">
        <f t="shared" si="649"/>
        <v>1534.8893896262116</v>
      </c>
      <c r="AK146" s="9">
        <f t="shared" si="649"/>
        <v>4135.083031189537</v>
      </c>
      <c r="AL146" s="9">
        <f t="shared" si="649"/>
        <v>5275.0293056138216</v>
      </c>
      <c r="AM146" s="9">
        <f t="shared" si="649"/>
        <v>2648.7444761020051</v>
      </c>
      <c r="AN146" s="9">
        <f t="shared" si="649"/>
        <v>1818.1067264285866</v>
      </c>
      <c r="AO146" s="9">
        <f t="shared" si="649"/>
        <v>1788.886849195841</v>
      </c>
      <c r="AP146" s="9">
        <f t="shared" si="649"/>
        <v>1600.5163780083931</v>
      </c>
      <c r="AQ146" s="201">
        <f t="shared" si="649"/>
        <v>1798.3965248709237</v>
      </c>
      <c r="AR146" s="9">
        <f t="shared" si="649"/>
        <v>1101.9970761262075</v>
      </c>
      <c r="AS146" s="9">
        <f t="shared" si="649"/>
        <v>1225.2901866999191</v>
      </c>
      <c r="AT146" s="9">
        <f t="shared" si="649"/>
        <v>872.07116456195854</v>
      </c>
      <c r="AU146" s="9">
        <f t="shared" si="649"/>
        <v>997.96297764071005</v>
      </c>
      <c r="AV146" s="9">
        <f t="shared" si="649"/>
        <v>1240.3760775499904</v>
      </c>
      <c r="AW146" s="9">
        <f t="shared" si="649"/>
        <v>4376.9361656081492</v>
      </c>
      <c r="AX146" s="9">
        <f t="shared" si="649"/>
        <v>5828.5990587699634</v>
      </c>
      <c r="AY146" s="9">
        <f t="shared" si="649"/>
        <v>2589.5362713496288</v>
      </c>
      <c r="AZ146" s="9">
        <f t="shared" si="649"/>
        <v>1516.0644047457818</v>
      </c>
      <c r="BA146" s="9">
        <f t="shared" si="649"/>
        <v>1517.2821827871276</v>
      </c>
      <c r="BB146" s="9">
        <f t="shared" si="649"/>
        <v>1348.5001440132073</v>
      </c>
      <c r="BC146" s="201">
        <f t="shared" si="649"/>
        <v>1408.0631485012464</v>
      </c>
      <c r="BD146" s="9">
        <f t="shared" si="649"/>
        <v>1588.8790574740324</v>
      </c>
      <c r="BE146" s="9">
        <f t="shared" si="649"/>
        <v>1713.0238727670476</v>
      </c>
      <c r="BF146" s="9">
        <f t="shared" si="649"/>
        <v>1372.0018521807415</v>
      </c>
      <c r="BG146" s="9">
        <f t="shared" si="649"/>
        <v>1467.5854732302123</v>
      </c>
      <c r="BH146" s="9">
        <f t="shared" si="649"/>
        <v>1754.5669325170848</v>
      </c>
      <c r="BI146" s="9">
        <f t="shared" ref="BI146:CY146" si="654">BI144+BI140</f>
        <v>5288.7450136601692</v>
      </c>
      <c r="BJ146" s="9">
        <f t="shared" si="654"/>
        <v>7258.215663814095</v>
      </c>
      <c r="BK146" s="9">
        <f t="shared" si="654"/>
        <v>2950.7100365550132</v>
      </c>
      <c r="BL146" s="9">
        <f t="shared" si="654"/>
        <v>1631.4860745694086</v>
      </c>
      <c r="BM146" s="9">
        <f t="shared" si="654"/>
        <v>1679.5024525238214</v>
      </c>
      <c r="BN146" s="9">
        <f t="shared" si="654"/>
        <v>1380.4476787184003</v>
      </c>
      <c r="BO146" s="201">
        <f t="shared" si="654"/>
        <v>1495.7970296950607</v>
      </c>
      <c r="BP146" s="9">
        <f t="shared" si="654"/>
        <v>1746.997124267431</v>
      </c>
      <c r="BQ146" s="9">
        <f t="shared" si="654"/>
        <v>1824.1637764144361</v>
      </c>
      <c r="BR146" s="9">
        <f t="shared" si="654"/>
        <v>1429.6194221368305</v>
      </c>
      <c r="BS146" s="9">
        <f t="shared" si="654"/>
        <v>1660.7021914734933</v>
      </c>
      <c r="BT146" s="9">
        <f t="shared" si="654"/>
        <v>1827.6957478945951</v>
      </c>
      <c r="BU146" s="9">
        <f t="shared" si="654"/>
        <v>6950.5018670355857</v>
      </c>
      <c r="BV146" s="9">
        <f t="shared" si="654"/>
        <v>9624.2296493232498</v>
      </c>
      <c r="BW146" s="9">
        <f t="shared" si="654"/>
        <v>3922.4845239225433</v>
      </c>
      <c r="BX146" s="9">
        <f t="shared" si="654"/>
        <v>2385.6622969422024</v>
      </c>
      <c r="BY146" s="9">
        <f t="shared" si="654"/>
        <v>2375.5058690057185</v>
      </c>
      <c r="BZ146" s="9">
        <f t="shared" si="654"/>
        <v>2031.1525228640348</v>
      </c>
      <c r="CA146" s="201">
        <f t="shared" si="654"/>
        <v>2267.375314067599</v>
      </c>
      <c r="CB146" s="9">
        <f t="shared" si="654"/>
        <v>2368.3353304570819</v>
      </c>
      <c r="CC146" s="9">
        <f t="shared" si="654"/>
        <v>2645.0450919416508</v>
      </c>
      <c r="CD146" s="9">
        <f t="shared" si="654"/>
        <v>2131.8057024548943</v>
      </c>
      <c r="CE146" s="9">
        <f t="shared" si="654"/>
        <v>2328.1551715665137</v>
      </c>
      <c r="CF146" s="9">
        <f t="shared" si="654"/>
        <v>2568.6441556405262</v>
      </c>
      <c r="CG146" s="9">
        <f t="shared" si="654"/>
        <v>9234.3692002844764</v>
      </c>
      <c r="CH146" s="9">
        <f t="shared" si="654"/>
        <v>12222.675301102914</v>
      </c>
      <c r="CI146" s="9">
        <f t="shared" si="654"/>
        <v>5230.612083590333</v>
      </c>
      <c r="CJ146" s="9">
        <f t="shared" si="654"/>
        <v>3356.6225651518689</v>
      </c>
      <c r="CK146" s="9">
        <f t="shared" si="654"/>
        <v>3208.0022637621187</v>
      </c>
      <c r="CL146" s="9">
        <f t="shared" si="654"/>
        <v>2832.4299406769169</v>
      </c>
      <c r="CM146" s="201">
        <f t="shared" si="654"/>
        <v>3150.5725928682423</v>
      </c>
      <c r="CN146" s="9">
        <f t="shared" si="654"/>
        <v>3316.4415439286586</v>
      </c>
      <c r="CO146" s="9">
        <f t="shared" si="654"/>
        <v>3643.7639371808873</v>
      </c>
      <c r="CP146" s="9">
        <f t="shared" si="654"/>
        <v>3020.3697185409674</v>
      </c>
      <c r="CQ146" s="9">
        <f t="shared" si="654"/>
        <v>3154.5947102563441</v>
      </c>
      <c r="CR146" s="9">
        <f t="shared" si="654"/>
        <v>3538.140359295272</v>
      </c>
      <c r="CS146" s="9">
        <f t="shared" si="654"/>
        <v>12230.833388583982</v>
      </c>
      <c r="CT146" s="9">
        <f t="shared" si="654"/>
        <v>15515.083525998147</v>
      </c>
      <c r="CU146" s="9">
        <f t="shared" si="654"/>
        <v>7044.4357087135795</v>
      </c>
      <c r="CV146" s="9">
        <f t="shared" si="654"/>
        <v>4459.1637988483781</v>
      </c>
      <c r="CW146" s="9">
        <f t="shared" si="654"/>
        <v>4368.646793538328</v>
      </c>
      <c r="CX146" s="9">
        <f t="shared" si="654"/>
        <v>3945.0596708377943</v>
      </c>
      <c r="CY146" s="9">
        <f t="shared" si="654"/>
        <v>4193.2626559133987</v>
      </c>
    </row>
    <row r="147" spans="1:103" x14ac:dyDescent="0.3">
      <c r="AC147" s="191"/>
      <c r="AE147" s="191"/>
    </row>
    <row r="148" spans="1:103" x14ac:dyDescent="0.3">
      <c r="B148" s="1" t="s">
        <v>35</v>
      </c>
      <c r="D148" s="9"/>
      <c r="E148" s="9">
        <f t="shared" ref="E148:BI148" si="655">D149</f>
        <v>0</v>
      </c>
      <c r="F148" s="9">
        <f t="shared" si="655"/>
        <v>0</v>
      </c>
      <c r="G148" s="9">
        <f t="shared" si="655"/>
        <v>0</v>
      </c>
      <c r="H148" s="9">
        <f t="shared" si="655"/>
        <v>0</v>
      </c>
      <c r="I148" s="9">
        <f t="shared" si="655"/>
        <v>0</v>
      </c>
      <c r="J148" s="9">
        <f t="shared" si="655"/>
        <v>0</v>
      </c>
      <c r="K148" s="9">
        <f t="shared" si="655"/>
        <v>0</v>
      </c>
      <c r="L148" s="9">
        <f t="shared" si="655"/>
        <v>0</v>
      </c>
      <c r="M148" s="9">
        <f t="shared" si="655"/>
        <v>0</v>
      </c>
      <c r="N148" s="9">
        <f t="shared" si="655"/>
        <v>0</v>
      </c>
      <c r="O148" s="9">
        <f t="shared" si="655"/>
        <v>0</v>
      </c>
      <c r="P148" s="9">
        <f t="shared" si="655"/>
        <v>0</v>
      </c>
      <c r="Q148" s="9">
        <f t="shared" si="655"/>
        <v>0</v>
      </c>
      <c r="R148" s="9">
        <f t="shared" si="655"/>
        <v>0</v>
      </c>
      <c r="S148" s="9">
        <f t="shared" si="655"/>
        <v>0</v>
      </c>
      <c r="T148" s="9">
        <f>S149</f>
        <v>0</v>
      </c>
      <c r="U148" s="9">
        <f t="shared" si="655"/>
        <v>0</v>
      </c>
      <c r="V148" s="9">
        <f t="shared" si="655"/>
        <v>1278.3900000000003</v>
      </c>
      <c r="W148" s="9">
        <f t="shared" si="655"/>
        <v>-222.64999999999986</v>
      </c>
      <c r="X148" s="9">
        <f t="shared" ref="X148" si="656">W149</f>
        <v>551.4599999999989</v>
      </c>
      <c r="Y148" s="9">
        <f t="shared" si="655"/>
        <v>307.57000000000039</v>
      </c>
      <c r="Z148" s="9">
        <f t="shared" si="655"/>
        <v>1460.5599999999997</v>
      </c>
      <c r="AA148" s="9">
        <f t="shared" si="655"/>
        <v>2286.2999999999993</v>
      </c>
      <c r="AB148" s="9">
        <f t="shared" si="655"/>
        <v>10.71999999999889</v>
      </c>
      <c r="AC148" s="201">
        <f t="shared" si="655"/>
        <v>120.45999999999992</v>
      </c>
      <c r="AD148" s="9">
        <f t="shared" si="655"/>
        <v>601.62000000000023</v>
      </c>
      <c r="AE148" s="201">
        <f t="shared" si="655"/>
        <v>132.26968705600228</v>
      </c>
      <c r="AF148" s="9">
        <f t="shared" si="655"/>
        <v>1008.11523554875</v>
      </c>
      <c r="AG148" s="9">
        <f t="shared" si="655"/>
        <v>2136.8042169574865</v>
      </c>
      <c r="AH148" s="9">
        <f t="shared" si="655"/>
        <v>3496.983683554965</v>
      </c>
      <c r="AI148" s="9">
        <f t="shared" si="655"/>
        <v>4597.368013338446</v>
      </c>
      <c r="AJ148" s="9">
        <f t="shared" si="655"/>
        <v>5326.9545439827489</v>
      </c>
      <c r="AK148" s="9">
        <f t="shared" si="655"/>
        <v>6861.8439336089605</v>
      </c>
      <c r="AL148" s="9">
        <f t="shared" si="655"/>
        <v>10996.926964798498</v>
      </c>
      <c r="AM148" s="9">
        <f t="shared" si="655"/>
        <v>16271.95627041232</v>
      </c>
      <c r="AN148" s="9">
        <f t="shared" si="655"/>
        <v>18920.700746514325</v>
      </c>
      <c r="AO148" s="9">
        <f t="shared" si="655"/>
        <v>20738.807472942914</v>
      </c>
      <c r="AP148" s="9">
        <f t="shared" si="655"/>
        <v>22527.694322138756</v>
      </c>
      <c r="AQ148" s="201">
        <f t="shared" si="655"/>
        <v>24128.210700147149</v>
      </c>
      <c r="AR148" s="9">
        <f t="shared" si="655"/>
        <v>25926.607225018073</v>
      </c>
      <c r="AS148" s="9">
        <f t="shared" si="655"/>
        <v>27028.604301144282</v>
      </c>
      <c r="AT148" s="9">
        <f t="shared" si="655"/>
        <v>28253.894487844202</v>
      </c>
      <c r="AU148" s="9">
        <f t="shared" si="655"/>
        <v>29125.965652406161</v>
      </c>
      <c r="AV148" s="9">
        <f t="shared" si="655"/>
        <v>30123.92863004687</v>
      </c>
      <c r="AW148" s="9">
        <f t="shared" si="655"/>
        <v>31364.304707596861</v>
      </c>
      <c r="AX148" s="9">
        <f t="shared" si="655"/>
        <v>35741.24087320501</v>
      </c>
      <c r="AY148" s="9">
        <f t="shared" si="655"/>
        <v>41569.839931974973</v>
      </c>
      <c r="AZ148" s="9">
        <f t="shared" si="655"/>
        <v>44159.376203324602</v>
      </c>
      <c r="BA148" s="9">
        <f t="shared" si="655"/>
        <v>45675.440608070385</v>
      </c>
      <c r="BB148" s="9">
        <f t="shared" si="655"/>
        <v>47192.722790857515</v>
      </c>
      <c r="BC148" s="201">
        <f t="shared" si="655"/>
        <v>48541.222934870719</v>
      </c>
      <c r="BD148" s="9">
        <f t="shared" si="655"/>
        <v>49949.286083371968</v>
      </c>
      <c r="BE148" s="9">
        <f t="shared" si="655"/>
        <v>51538.165140846002</v>
      </c>
      <c r="BF148" s="9">
        <f t="shared" si="655"/>
        <v>53251.189013613053</v>
      </c>
      <c r="BG148" s="9">
        <f t="shared" si="655"/>
        <v>54623.190865793797</v>
      </c>
      <c r="BH148" s="9">
        <f t="shared" si="655"/>
        <v>56090.776339024007</v>
      </c>
      <c r="BI148" s="9">
        <f t="shared" si="655"/>
        <v>57845.343271541089</v>
      </c>
      <c r="BJ148" s="9">
        <f t="shared" ref="BJ148:CY148" si="657">BI149</f>
        <v>63134.088285201258</v>
      </c>
      <c r="BK148" s="9">
        <f t="shared" si="657"/>
        <v>70392.303949015361</v>
      </c>
      <c r="BL148" s="9">
        <f t="shared" si="657"/>
        <v>73343.013985570375</v>
      </c>
      <c r="BM148" s="9">
        <f t="shared" si="657"/>
        <v>74974.500060139777</v>
      </c>
      <c r="BN148" s="9">
        <f t="shared" si="657"/>
        <v>76654.002512663603</v>
      </c>
      <c r="BO148" s="201">
        <f t="shared" si="657"/>
        <v>78034.450191381999</v>
      </c>
      <c r="BP148" s="9">
        <f t="shared" si="657"/>
        <v>79530.247221077065</v>
      </c>
      <c r="BQ148" s="9">
        <f t="shared" si="657"/>
        <v>81277.244345344501</v>
      </c>
      <c r="BR148" s="9">
        <f t="shared" si="657"/>
        <v>83101.408121758941</v>
      </c>
      <c r="BS148" s="9">
        <f t="shared" si="657"/>
        <v>84531.027543895776</v>
      </c>
      <c r="BT148" s="9">
        <f t="shared" si="657"/>
        <v>86191.72973536927</v>
      </c>
      <c r="BU148" s="9">
        <f t="shared" si="657"/>
        <v>88019.425483263869</v>
      </c>
      <c r="BV148" s="9">
        <f t="shared" si="657"/>
        <v>94969.927350299462</v>
      </c>
      <c r="BW148" s="9">
        <f t="shared" si="657"/>
        <v>104594.1569996227</v>
      </c>
      <c r="BX148" s="9">
        <f t="shared" si="657"/>
        <v>108516.64152354524</v>
      </c>
      <c r="BY148" s="9">
        <f t="shared" si="657"/>
        <v>110902.30382048745</v>
      </c>
      <c r="BZ148" s="9">
        <f t="shared" si="657"/>
        <v>113277.80968949317</v>
      </c>
      <c r="CA148" s="201">
        <f t="shared" si="657"/>
        <v>115308.9622123572</v>
      </c>
      <c r="CB148" s="9">
        <f t="shared" si="657"/>
        <v>117576.3375264248</v>
      </c>
      <c r="CC148" s="9">
        <f t="shared" si="657"/>
        <v>119944.67285688188</v>
      </c>
      <c r="CD148" s="9">
        <f t="shared" si="657"/>
        <v>122589.71794882353</v>
      </c>
      <c r="CE148" s="9">
        <f t="shared" si="657"/>
        <v>124721.52365127842</v>
      </c>
      <c r="CF148" s="9">
        <f t="shared" si="657"/>
        <v>127049.67882284493</v>
      </c>
      <c r="CG148" s="9">
        <f t="shared" si="657"/>
        <v>129618.32297848546</v>
      </c>
      <c r="CH148" s="9">
        <f t="shared" si="657"/>
        <v>138852.69217876994</v>
      </c>
      <c r="CI148" s="9">
        <f t="shared" si="657"/>
        <v>151075.36747987286</v>
      </c>
      <c r="CJ148" s="9">
        <f t="shared" si="657"/>
        <v>156305.97956346319</v>
      </c>
      <c r="CK148" s="9">
        <f t="shared" si="657"/>
        <v>159662.60212861505</v>
      </c>
      <c r="CL148" s="9">
        <f t="shared" si="657"/>
        <v>162870.60439237716</v>
      </c>
      <c r="CM148" s="201">
        <f t="shared" si="657"/>
        <v>165703.03433305409</v>
      </c>
      <c r="CN148" s="9">
        <f t="shared" si="657"/>
        <v>168853.60692592233</v>
      </c>
      <c r="CO148" s="9">
        <f t="shared" si="657"/>
        <v>172170.048469851</v>
      </c>
      <c r="CP148" s="9">
        <f t="shared" si="657"/>
        <v>175813.81240703189</v>
      </c>
      <c r="CQ148" s="9">
        <f t="shared" si="657"/>
        <v>178834.18212557284</v>
      </c>
      <c r="CR148" s="9">
        <f t="shared" si="657"/>
        <v>181988.77683582919</v>
      </c>
      <c r="CS148" s="9">
        <f t="shared" si="657"/>
        <v>185526.91719512446</v>
      </c>
      <c r="CT148" s="9">
        <f t="shared" si="657"/>
        <v>197757.75058370846</v>
      </c>
      <c r="CU148" s="9">
        <f t="shared" si="657"/>
        <v>213272.8341097066</v>
      </c>
      <c r="CV148" s="9">
        <f t="shared" si="657"/>
        <v>220317.26981842017</v>
      </c>
      <c r="CW148" s="9">
        <f t="shared" si="657"/>
        <v>224776.43361726854</v>
      </c>
      <c r="CX148" s="9">
        <f t="shared" si="657"/>
        <v>229145.08041080687</v>
      </c>
      <c r="CY148" s="9">
        <f t="shared" si="657"/>
        <v>233090.14008164467</v>
      </c>
    </row>
    <row r="149" spans="1:103" x14ac:dyDescent="0.3">
      <c r="B149" s="1" t="s">
        <v>36</v>
      </c>
      <c r="D149" s="9"/>
      <c r="E149" s="9">
        <f t="shared" ref="E149:BI149" si="658">E148+E146</f>
        <v>0</v>
      </c>
      <c r="F149" s="9">
        <f t="shared" si="658"/>
        <v>0</v>
      </c>
      <c r="G149" s="9">
        <f t="shared" si="658"/>
        <v>0</v>
      </c>
      <c r="H149" s="9">
        <f>H148+H146</f>
        <v>0</v>
      </c>
      <c r="I149" s="9">
        <f t="shared" si="658"/>
        <v>0</v>
      </c>
      <c r="J149" s="9">
        <f t="shared" si="658"/>
        <v>0</v>
      </c>
      <c r="K149" s="9">
        <f t="shared" si="658"/>
        <v>0</v>
      </c>
      <c r="L149" s="9">
        <f t="shared" si="658"/>
        <v>0</v>
      </c>
      <c r="M149" s="9">
        <f t="shared" si="658"/>
        <v>0</v>
      </c>
      <c r="N149" s="9">
        <f t="shared" si="658"/>
        <v>0</v>
      </c>
      <c r="O149" s="9">
        <f t="shared" si="658"/>
        <v>0</v>
      </c>
      <c r="P149" s="9">
        <f t="shared" si="658"/>
        <v>0</v>
      </c>
      <c r="Q149" s="9">
        <f t="shared" si="658"/>
        <v>0</v>
      </c>
      <c r="R149" s="9">
        <f t="shared" si="658"/>
        <v>0</v>
      </c>
      <c r="S149" s="9">
        <f t="shared" ref="S149:T149" si="659">S148+S146</f>
        <v>0</v>
      </c>
      <c r="T149" s="9">
        <f t="shared" si="659"/>
        <v>0</v>
      </c>
      <c r="U149" s="9">
        <f t="shared" ref="U149:V149" si="660">U148+U146</f>
        <v>1278.3900000000003</v>
      </c>
      <c r="V149" s="9">
        <f t="shared" si="660"/>
        <v>-222.64999999999986</v>
      </c>
      <c r="W149" s="9">
        <f t="shared" ref="W149" si="661">W148+W146</f>
        <v>551.4599999999989</v>
      </c>
      <c r="X149" s="9">
        <f t="shared" ref="X149" si="662">X148+X146</f>
        <v>307.57000000000039</v>
      </c>
      <c r="Y149" s="9">
        <f t="shared" si="658"/>
        <v>1460.5599999999997</v>
      </c>
      <c r="Z149" s="9">
        <f t="shared" si="658"/>
        <v>2286.2999999999993</v>
      </c>
      <c r="AA149" s="9">
        <f t="shared" si="658"/>
        <v>10.71999999999889</v>
      </c>
      <c r="AB149" s="9">
        <f t="shared" si="658"/>
        <v>120.45999999999992</v>
      </c>
      <c r="AC149" s="201">
        <f t="shared" si="658"/>
        <v>601.62000000000023</v>
      </c>
      <c r="AD149" s="9">
        <f t="shared" si="658"/>
        <v>132.26968705600228</v>
      </c>
      <c r="AE149" s="201">
        <f t="shared" si="658"/>
        <v>1008.11523554875</v>
      </c>
      <c r="AF149" s="9">
        <f t="shared" si="658"/>
        <v>2136.8042169574865</v>
      </c>
      <c r="AG149" s="9">
        <f t="shared" si="658"/>
        <v>3496.983683554965</v>
      </c>
      <c r="AH149" s="9">
        <f t="shared" si="658"/>
        <v>4597.368013338446</v>
      </c>
      <c r="AI149" s="9">
        <f t="shared" si="658"/>
        <v>5326.9545439827489</v>
      </c>
      <c r="AJ149" s="9">
        <f t="shared" si="658"/>
        <v>6861.8439336089605</v>
      </c>
      <c r="AK149" s="9">
        <f>AK148+AK146</f>
        <v>10996.926964798498</v>
      </c>
      <c r="AL149" s="9">
        <f t="shared" si="658"/>
        <v>16271.95627041232</v>
      </c>
      <c r="AM149" s="9">
        <f t="shared" si="658"/>
        <v>18920.700746514325</v>
      </c>
      <c r="AN149" s="9">
        <f t="shared" si="658"/>
        <v>20738.807472942914</v>
      </c>
      <c r="AO149" s="9">
        <f t="shared" si="658"/>
        <v>22527.694322138756</v>
      </c>
      <c r="AP149" s="9">
        <f t="shared" si="658"/>
        <v>24128.210700147149</v>
      </c>
      <c r="AQ149" s="201">
        <f t="shared" si="658"/>
        <v>25926.607225018073</v>
      </c>
      <c r="AR149" s="9">
        <f t="shared" si="658"/>
        <v>27028.604301144282</v>
      </c>
      <c r="AS149" s="9">
        <f t="shared" si="658"/>
        <v>28253.894487844202</v>
      </c>
      <c r="AT149" s="9">
        <f t="shared" si="658"/>
        <v>29125.965652406161</v>
      </c>
      <c r="AU149" s="9">
        <f t="shared" si="658"/>
        <v>30123.92863004687</v>
      </c>
      <c r="AV149" s="9">
        <f t="shared" si="658"/>
        <v>31364.304707596861</v>
      </c>
      <c r="AW149" s="9">
        <f t="shared" si="658"/>
        <v>35741.24087320501</v>
      </c>
      <c r="AX149" s="9">
        <f t="shared" si="658"/>
        <v>41569.839931974973</v>
      </c>
      <c r="AY149" s="9">
        <f t="shared" si="658"/>
        <v>44159.376203324602</v>
      </c>
      <c r="AZ149" s="9">
        <f t="shared" si="658"/>
        <v>45675.440608070385</v>
      </c>
      <c r="BA149" s="9">
        <f t="shared" si="658"/>
        <v>47192.722790857515</v>
      </c>
      <c r="BB149" s="9">
        <f t="shared" si="658"/>
        <v>48541.222934870719</v>
      </c>
      <c r="BC149" s="201">
        <f t="shared" si="658"/>
        <v>49949.286083371968</v>
      </c>
      <c r="BD149" s="9">
        <f t="shared" si="658"/>
        <v>51538.165140846002</v>
      </c>
      <c r="BE149" s="9">
        <f t="shared" si="658"/>
        <v>53251.189013613053</v>
      </c>
      <c r="BF149" s="9">
        <f t="shared" si="658"/>
        <v>54623.190865793797</v>
      </c>
      <c r="BG149" s="9">
        <f t="shared" si="658"/>
        <v>56090.776339024007</v>
      </c>
      <c r="BH149" s="9">
        <f t="shared" si="658"/>
        <v>57845.343271541089</v>
      </c>
      <c r="BI149" s="9">
        <f t="shared" si="658"/>
        <v>63134.088285201258</v>
      </c>
      <c r="BJ149" s="9">
        <f t="shared" ref="BJ149:CY149" si="663">BJ148+BJ146</f>
        <v>70392.303949015361</v>
      </c>
      <c r="BK149" s="9">
        <f t="shared" si="663"/>
        <v>73343.013985570375</v>
      </c>
      <c r="BL149" s="9">
        <f t="shared" si="663"/>
        <v>74974.500060139777</v>
      </c>
      <c r="BM149" s="9">
        <f t="shared" si="663"/>
        <v>76654.002512663603</v>
      </c>
      <c r="BN149" s="9">
        <f t="shared" si="663"/>
        <v>78034.450191381999</v>
      </c>
      <c r="BO149" s="201">
        <f t="shared" si="663"/>
        <v>79530.247221077065</v>
      </c>
      <c r="BP149" s="9">
        <f t="shared" si="663"/>
        <v>81277.244345344501</v>
      </c>
      <c r="BQ149" s="9">
        <f t="shared" si="663"/>
        <v>83101.408121758941</v>
      </c>
      <c r="BR149" s="9">
        <f t="shared" si="663"/>
        <v>84531.027543895776</v>
      </c>
      <c r="BS149" s="9">
        <f t="shared" si="663"/>
        <v>86191.72973536927</v>
      </c>
      <c r="BT149" s="9">
        <f t="shared" si="663"/>
        <v>88019.425483263869</v>
      </c>
      <c r="BU149" s="9">
        <f t="shared" si="663"/>
        <v>94969.927350299462</v>
      </c>
      <c r="BV149" s="9">
        <f t="shared" si="663"/>
        <v>104594.1569996227</v>
      </c>
      <c r="BW149" s="9">
        <f t="shared" si="663"/>
        <v>108516.64152354524</v>
      </c>
      <c r="BX149" s="9">
        <f t="shared" si="663"/>
        <v>110902.30382048745</v>
      </c>
      <c r="BY149" s="9">
        <f t="shared" si="663"/>
        <v>113277.80968949317</v>
      </c>
      <c r="BZ149" s="9">
        <f t="shared" si="663"/>
        <v>115308.9622123572</v>
      </c>
      <c r="CA149" s="201">
        <f t="shared" si="663"/>
        <v>117576.3375264248</v>
      </c>
      <c r="CB149" s="9">
        <f t="shared" si="663"/>
        <v>119944.67285688188</v>
      </c>
      <c r="CC149" s="9">
        <f t="shared" si="663"/>
        <v>122589.71794882353</v>
      </c>
      <c r="CD149" s="9">
        <f t="shared" si="663"/>
        <v>124721.52365127842</v>
      </c>
      <c r="CE149" s="9">
        <f t="shared" si="663"/>
        <v>127049.67882284493</v>
      </c>
      <c r="CF149" s="9">
        <f t="shared" si="663"/>
        <v>129618.32297848546</v>
      </c>
      <c r="CG149" s="9">
        <f t="shared" si="663"/>
        <v>138852.69217876994</v>
      </c>
      <c r="CH149" s="9">
        <f t="shared" si="663"/>
        <v>151075.36747987286</v>
      </c>
      <c r="CI149" s="9">
        <f t="shared" si="663"/>
        <v>156305.97956346319</v>
      </c>
      <c r="CJ149" s="9">
        <f t="shared" si="663"/>
        <v>159662.60212861505</v>
      </c>
      <c r="CK149" s="9">
        <f t="shared" si="663"/>
        <v>162870.60439237716</v>
      </c>
      <c r="CL149" s="9">
        <f t="shared" si="663"/>
        <v>165703.03433305409</v>
      </c>
      <c r="CM149" s="201">
        <f t="shared" si="663"/>
        <v>168853.60692592233</v>
      </c>
      <c r="CN149" s="9">
        <f t="shared" si="663"/>
        <v>172170.048469851</v>
      </c>
      <c r="CO149" s="9">
        <f t="shared" si="663"/>
        <v>175813.81240703189</v>
      </c>
      <c r="CP149" s="9">
        <f t="shared" si="663"/>
        <v>178834.18212557284</v>
      </c>
      <c r="CQ149" s="9">
        <f t="shared" si="663"/>
        <v>181988.77683582919</v>
      </c>
      <c r="CR149" s="9">
        <f t="shared" si="663"/>
        <v>185526.91719512446</v>
      </c>
      <c r="CS149" s="9">
        <f t="shared" si="663"/>
        <v>197757.75058370846</v>
      </c>
      <c r="CT149" s="9">
        <f t="shared" si="663"/>
        <v>213272.8341097066</v>
      </c>
      <c r="CU149" s="9">
        <f t="shared" si="663"/>
        <v>220317.26981842017</v>
      </c>
      <c r="CV149" s="9">
        <f t="shared" si="663"/>
        <v>224776.43361726854</v>
      </c>
      <c r="CW149" s="9">
        <f t="shared" si="663"/>
        <v>229145.08041080687</v>
      </c>
      <c r="CX149" s="9">
        <f t="shared" si="663"/>
        <v>233090.14008164467</v>
      </c>
      <c r="CY149" s="9">
        <f t="shared" si="663"/>
        <v>237283.40273755806</v>
      </c>
    </row>
    <row r="150" spans="1:103" x14ac:dyDescent="0.3">
      <c r="C150" s="8" t="s">
        <v>37</v>
      </c>
      <c r="D150" s="9"/>
      <c r="E150" s="9">
        <f t="shared" ref="E150:AJ150" si="664">E149-E103</f>
        <v>0</v>
      </c>
      <c r="F150" s="134">
        <f t="shared" si="664"/>
        <v>0</v>
      </c>
      <c r="G150" s="134">
        <f t="shared" si="664"/>
        <v>0</v>
      </c>
      <c r="H150" s="134">
        <f t="shared" si="664"/>
        <v>0</v>
      </c>
      <c r="I150" s="9">
        <f t="shared" si="664"/>
        <v>0</v>
      </c>
      <c r="J150" s="134">
        <f t="shared" si="664"/>
        <v>0</v>
      </c>
      <c r="K150" s="9">
        <f t="shared" si="664"/>
        <v>0</v>
      </c>
      <c r="L150" s="9">
        <f t="shared" si="664"/>
        <v>0</v>
      </c>
      <c r="M150" s="9">
        <f t="shared" si="664"/>
        <v>0</v>
      </c>
      <c r="N150" s="134">
        <f t="shared" si="664"/>
        <v>0</v>
      </c>
      <c r="O150" s="134">
        <f t="shared" si="664"/>
        <v>0</v>
      </c>
      <c r="P150" s="134">
        <f t="shared" si="664"/>
        <v>0</v>
      </c>
      <c r="Q150" s="134">
        <f t="shared" si="664"/>
        <v>0</v>
      </c>
      <c r="R150" s="134">
        <f t="shared" si="664"/>
        <v>0</v>
      </c>
      <c r="S150" s="134">
        <f t="shared" si="664"/>
        <v>0</v>
      </c>
      <c r="T150" s="134">
        <f t="shared" si="664"/>
        <v>0</v>
      </c>
      <c r="U150" s="134">
        <f t="shared" si="664"/>
        <v>0</v>
      </c>
      <c r="V150" s="134">
        <f t="shared" si="664"/>
        <v>0</v>
      </c>
      <c r="W150" s="134">
        <f t="shared" si="664"/>
        <v>-1.1368683772161603E-12</v>
      </c>
      <c r="X150" s="134">
        <f t="shared" si="664"/>
        <v>0</v>
      </c>
      <c r="Y150" s="134">
        <f t="shared" si="664"/>
        <v>0</v>
      </c>
      <c r="Z150" s="134">
        <f t="shared" si="664"/>
        <v>0</v>
      </c>
      <c r="AA150" s="134">
        <f t="shared" si="664"/>
        <v>-1.1102230246251565E-12</v>
      </c>
      <c r="AB150" s="134">
        <f t="shared" si="664"/>
        <v>0</v>
      </c>
      <c r="AC150" s="202">
        <f t="shared" si="664"/>
        <v>0</v>
      </c>
      <c r="AD150" s="9">
        <f t="shared" si="664"/>
        <v>2.2737367544323206E-13</v>
      </c>
      <c r="AE150" s="202">
        <f t="shared" si="664"/>
        <v>0</v>
      </c>
      <c r="AF150" s="9">
        <f t="shared" si="664"/>
        <v>0</v>
      </c>
      <c r="AG150" s="9">
        <f t="shared" si="664"/>
        <v>0</v>
      </c>
      <c r="AH150" s="9">
        <f t="shared" si="664"/>
        <v>0</v>
      </c>
      <c r="AI150" s="9">
        <f t="shared" si="664"/>
        <v>0</v>
      </c>
      <c r="AJ150" s="9">
        <f t="shared" si="664"/>
        <v>0</v>
      </c>
      <c r="AK150" s="9">
        <f t="shared" ref="AK150:BP150" si="665">AK149-AK103</f>
        <v>0</v>
      </c>
      <c r="AL150" s="9">
        <f t="shared" si="665"/>
        <v>0</v>
      </c>
      <c r="AM150" s="9">
        <f t="shared" si="665"/>
        <v>0</v>
      </c>
      <c r="AN150" s="9">
        <f t="shared" si="665"/>
        <v>0</v>
      </c>
      <c r="AO150" s="9">
        <f t="shared" si="665"/>
        <v>0</v>
      </c>
      <c r="AP150" s="9">
        <f t="shared" si="665"/>
        <v>0</v>
      </c>
      <c r="AQ150" s="201">
        <f t="shared" si="665"/>
        <v>0</v>
      </c>
      <c r="AR150" s="9">
        <f t="shared" si="665"/>
        <v>0</v>
      </c>
      <c r="AS150" s="9">
        <f t="shared" si="665"/>
        <v>0</v>
      </c>
      <c r="AT150" s="9">
        <f t="shared" si="665"/>
        <v>0</v>
      </c>
      <c r="AU150" s="9">
        <f t="shared" si="665"/>
        <v>0</v>
      </c>
      <c r="AV150" s="9">
        <f t="shared" si="665"/>
        <v>0</v>
      </c>
      <c r="AW150" s="9">
        <f t="shared" si="665"/>
        <v>0</v>
      </c>
      <c r="AX150" s="9">
        <f t="shared" si="665"/>
        <v>0</v>
      </c>
      <c r="AY150" s="9">
        <f t="shared" si="665"/>
        <v>0</v>
      </c>
      <c r="AZ150" s="9">
        <f t="shared" si="665"/>
        <v>0</v>
      </c>
      <c r="BA150" s="9">
        <f t="shared" si="665"/>
        <v>0</v>
      </c>
      <c r="BB150" s="9">
        <f t="shared" si="665"/>
        <v>0</v>
      </c>
      <c r="BC150" s="201">
        <f t="shared" si="665"/>
        <v>0</v>
      </c>
      <c r="BD150" s="9">
        <f t="shared" si="665"/>
        <v>0</v>
      </c>
      <c r="BE150" s="9">
        <f t="shared" si="665"/>
        <v>0</v>
      </c>
      <c r="BF150" s="9">
        <f t="shared" si="665"/>
        <v>0</v>
      </c>
      <c r="BG150" s="9">
        <f t="shared" si="665"/>
        <v>0</v>
      </c>
      <c r="BH150" s="9">
        <f t="shared" si="665"/>
        <v>0</v>
      </c>
      <c r="BI150" s="9">
        <f t="shared" si="665"/>
        <v>0</v>
      </c>
      <c r="BJ150" s="9">
        <f t="shared" si="665"/>
        <v>0</v>
      </c>
      <c r="BK150" s="9">
        <f t="shared" si="665"/>
        <v>0</v>
      </c>
      <c r="BL150" s="9">
        <f t="shared" si="665"/>
        <v>0</v>
      </c>
      <c r="BM150" s="9">
        <f t="shared" si="665"/>
        <v>0</v>
      </c>
      <c r="BN150" s="9">
        <f t="shared" si="665"/>
        <v>0</v>
      </c>
      <c r="BO150" s="201">
        <f t="shared" si="665"/>
        <v>0</v>
      </c>
      <c r="BP150" s="9">
        <f t="shared" si="665"/>
        <v>0</v>
      </c>
      <c r="BQ150" s="9">
        <f t="shared" ref="BQ150:CV150" si="666">BQ149-BQ103</f>
        <v>0</v>
      </c>
      <c r="BR150" s="9">
        <f t="shared" si="666"/>
        <v>0</v>
      </c>
      <c r="BS150" s="9">
        <f t="shared" si="666"/>
        <v>0</v>
      </c>
      <c r="BT150" s="9">
        <f t="shared" si="666"/>
        <v>0</v>
      </c>
      <c r="BU150" s="9">
        <f t="shared" si="666"/>
        <v>0</v>
      </c>
      <c r="BV150" s="9">
        <f t="shared" si="666"/>
        <v>0</v>
      </c>
      <c r="BW150" s="9">
        <f t="shared" si="666"/>
        <v>0</v>
      </c>
      <c r="BX150" s="9">
        <f t="shared" si="666"/>
        <v>0</v>
      </c>
      <c r="BY150" s="9">
        <f t="shared" si="666"/>
        <v>0</v>
      </c>
      <c r="BZ150" s="9">
        <f t="shared" si="666"/>
        <v>0</v>
      </c>
      <c r="CA150" s="201">
        <f t="shared" si="666"/>
        <v>0</v>
      </c>
      <c r="CB150" s="9">
        <f t="shared" si="666"/>
        <v>0</v>
      </c>
      <c r="CC150" s="9">
        <f t="shared" si="666"/>
        <v>0</v>
      </c>
      <c r="CD150" s="9">
        <f t="shared" si="666"/>
        <v>0</v>
      </c>
      <c r="CE150" s="9">
        <f t="shared" si="666"/>
        <v>0</v>
      </c>
      <c r="CF150" s="9">
        <f t="shared" si="666"/>
        <v>0</v>
      </c>
      <c r="CG150" s="9">
        <f t="shared" si="666"/>
        <v>0</v>
      </c>
      <c r="CH150" s="9">
        <f t="shared" si="666"/>
        <v>0</v>
      </c>
      <c r="CI150" s="9">
        <f t="shared" si="666"/>
        <v>0</v>
      </c>
      <c r="CJ150" s="9">
        <f t="shared" si="666"/>
        <v>0</v>
      </c>
      <c r="CK150" s="9">
        <f t="shared" si="666"/>
        <v>0</v>
      </c>
      <c r="CL150" s="9">
        <f t="shared" si="666"/>
        <v>0</v>
      </c>
      <c r="CM150" s="201">
        <f t="shared" si="666"/>
        <v>0</v>
      </c>
      <c r="CN150" s="9">
        <f t="shared" si="666"/>
        <v>0</v>
      </c>
      <c r="CO150" s="9">
        <f t="shared" si="666"/>
        <v>0</v>
      </c>
      <c r="CP150" s="9">
        <f t="shared" si="666"/>
        <v>0</v>
      </c>
      <c r="CQ150" s="9">
        <f t="shared" si="666"/>
        <v>0</v>
      </c>
      <c r="CR150" s="9">
        <f t="shared" si="666"/>
        <v>0</v>
      </c>
      <c r="CS150" s="9">
        <f t="shared" si="666"/>
        <v>0</v>
      </c>
      <c r="CT150" s="9">
        <f t="shared" si="666"/>
        <v>0</v>
      </c>
      <c r="CU150" s="9">
        <f t="shared" si="666"/>
        <v>0</v>
      </c>
      <c r="CV150" s="9">
        <f t="shared" si="666"/>
        <v>0</v>
      </c>
      <c r="CW150" s="9">
        <f t="shared" ref="CW150:CY150" si="667">CW149-CW103</f>
        <v>0</v>
      </c>
      <c r="CX150" s="9">
        <f t="shared" si="667"/>
        <v>0</v>
      </c>
      <c r="CY150" s="9">
        <f t="shared" si="667"/>
        <v>0</v>
      </c>
    </row>
    <row r="151" spans="1:103" x14ac:dyDescent="0.3">
      <c r="A151" s="3"/>
      <c r="B151" s="3"/>
      <c r="C151" s="3"/>
      <c r="D151" s="3"/>
      <c r="E151" s="3"/>
      <c r="F151" s="6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478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478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478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478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478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</row>
  </sheetData>
  <conditionalFormatting sqref="A149:XFD149">
    <cfRule type="cellIs" dxfId="0" priority="1" operator="lessThan">
      <formula>0</formula>
    </cfRule>
  </conditionalFormatting>
  <pageMargins left="0.7" right="0.7" top="0.75" bottom="0.75" header="0.3" footer="0.3"/>
  <pageSetup scale="10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DED9-53F8-4048-8A0D-110CDCE191FE}">
  <sheetPr>
    <tabColor theme="5"/>
    <pageSetUpPr fitToPage="1"/>
  </sheetPr>
  <dimension ref="B13:AE54"/>
  <sheetViews>
    <sheetView showGridLines="0" topLeftCell="A61" zoomScale="70" zoomScaleNormal="70" workbookViewId="0">
      <selection activeCell="B7" sqref="B7:AE85"/>
    </sheetView>
  </sheetViews>
  <sheetFormatPr defaultRowHeight="14.4" outlineLevelCol="1" x14ac:dyDescent="0.3"/>
  <cols>
    <col min="2" max="2" width="20.44140625" style="330" customWidth="1"/>
    <col min="3" max="3" width="23.5546875" style="330" bestFit="1" customWidth="1"/>
    <col min="4" max="4" width="0.33203125" customWidth="1"/>
    <col min="5" max="5" width="11.109375" hidden="1" customWidth="1" outlineLevel="1"/>
    <col min="6" max="7" width="12.109375" hidden="1" customWidth="1" outlineLevel="1"/>
    <col min="8" max="8" width="12.109375" hidden="1" customWidth="1" outlineLevel="1" collapsed="1"/>
    <col min="9" max="9" width="12.109375" hidden="1" customWidth="1" outlineLevel="1"/>
    <col min="10" max="10" width="12.109375" customWidth="1" collapsed="1"/>
    <col min="11" max="11" width="11.88671875" hidden="1" customWidth="1" outlineLevel="1"/>
    <col min="12" max="12" width="12.109375" hidden="1" customWidth="1" outlineLevel="1"/>
    <col min="13" max="13" width="12.44140625" hidden="1" customWidth="1" outlineLevel="1" collapsed="1"/>
    <col min="14" max="15" width="12.109375" hidden="1" customWidth="1" outlineLevel="1" collapsed="1"/>
    <col min="16" max="16" width="12.109375" customWidth="1" collapsed="1"/>
    <col min="17" max="17" width="11.88671875" hidden="1" customWidth="1" outlineLevel="1"/>
    <col min="18" max="18" width="11.33203125" hidden="1" customWidth="1" outlineLevel="1"/>
    <col min="19" max="21" width="11.88671875" hidden="1" customWidth="1" outlineLevel="1"/>
    <col min="22" max="22" width="13.6640625" hidden="1" customWidth="1" outlineLevel="1" collapsed="1"/>
    <col min="23" max="23" width="11.88671875" hidden="1" customWidth="1" outlineLevel="1" collapsed="1"/>
    <col min="24" max="25" width="14.88671875" hidden="1" customWidth="1" outlineLevel="1"/>
    <col min="26" max="26" width="11.88671875" customWidth="1" collapsed="1"/>
    <col min="27" max="27" width="11.88671875" hidden="1" customWidth="1" outlineLevel="1"/>
    <col min="28" max="28" width="11.33203125" hidden="1" customWidth="1" outlineLevel="1"/>
    <col min="29" max="29" width="0.33203125" customWidth="1" collapsed="1"/>
    <col min="30" max="30" width="20.109375" bestFit="1" customWidth="1"/>
    <col min="31" max="31" width="18.6640625" bestFit="1" customWidth="1"/>
  </cols>
  <sheetData>
    <row r="13" spans="2:31" ht="15" thickBot="1" x14ac:dyDescent="0.35"/>
    <row r="14" spans="2:31" ht="16.8" thickTop="1" thickBot="1" x14ac:dyDescent="0.35">
      <c r="B14" s="666">
        <v>45596</v>
      </c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7"/>
      <c r="N14" s="667"/>
      <c r="O14" s="667"/>
      <c r="P14" s="667"/>
      <c r="Q14" s="667"/>
      <c r="R14" s="667"/>
      <c r="S14" s="667"/>
      <c r="T14" s="667"/>
      <c r="U14" s="667"/>
      <c r="V14" s="667"/>
      <c r="W14" s="667"/>
      <c r="X14" s="667"/>
      <c r="Y14" s="667"/>
      <c r="Z14" s="667"/>
      <c r="AA14" s="667"/>
      <c r="AB14" s="667"/>
      <c r="AC14" s="667"/>
      <c r="AD14" s="667"/>
      <c r="AE14" s="668"/>
    </row>
    <row r="15" spans="2:31" ht="15" thickTop="1" x14ac:dyDescent="0.3">
      <c r="B15" s="401"/>
      <c r="C15" s="400"/>
      <c r="D15" s="399"/>
      <c r="E15" s="170">
        <v>45322</v>
      </c>
      <c r="F15" s="495">
        <v>45473</v>
      </c>
      <c r="G15" s="495">
        <v>45504</v>
      </c>
      <c r="H15" s="495">
        <v>45535</v>
      </c>
      <c r="I15" s="495">
        <v>45565</v>
      </c>
      <c r="J15" s="495" t="s">
        <v>220</v>
      </c>
      <c r="K15" s="398" t="s">
        <v>210</v>
      </c>
      <c r="L15" s="495">
        <v>45473</v>
      </c>
      <c r="M15" s="495">
        <v>45504</v>
      </c>
      <c r="N15" s="495">
        <v>45535</v>
      </c>
      <c r="O15" s="495">
        <v>45565</v>
      </c>
      <c r="P15" s="398" t="s">
        <v>210</v>
      </c>
      <c r="Q15" s="495">
        <v>45322</v>
      </c>
      <c r="R15" s="495">
        <v>45351</v>
      </c>
      <c r="S15" s="397">
        <v>45382</v>
      </c>
      <c r="T15" s="396">
        <v>45412</v>
      </c>
      <c r="U15" s="496">
        <v>45443</v>
      </c>
      <c r="V15" s="396">
        <v>45473</v>
      </c>
      <c r="W15" s="396">
        <v>45504</v>
      </c>
      <c r="X15" s="396">
        <v>45535</v>
      </c>
      <c r="Y15" s="396">
        <v>45565</v>
      </c>
      <c r="Z15" s="495" t="s">
        <v>253</v>
      </c>
      <c r="AA15" s="397">
        <v>45626</v>
      </c>
      <c r="AB15" s="396">
        <v>45657</v>
      </c>
      <c r="AC15" s="395"/>
      <c r="AD15" s="394" t="s">
        <v>252</v>
      </c>
      <c r="AE15" s="393" t="s">
        <v>251</v>
      </c>
    </row>
    <row r="16" spans="2:31" x14ac:dyDescent="0.3">
      <c r="B16" s="669" t="s">
        <v>2</v>
      </c>
      <c r="C16" s="670"/>
      <c r="E16" s="392"/>
      <c r="F16" s="391">
        <v>5458.1746031746025</v>
      </c>
      <c r="G16" s="391">
        <v>8505</v>
      </c>
      <c r="H16" s="391">
        <v>5738.5714285714294</v>
      </c>
      <c r="I16" s="391">
        <v>1870</v>
      </c>
      <c r="J16" s="391">
        <v>4667.5</v>
      </c>
      <c r="K16" s="390">
        <f>+SUMIF('Monthly Detail'!$4:$4, 'Sensitivity Analysis'!K14,'Monthly Detail'!$12:$12)</f>
        <v>0</v>
      </c>
      <c r="L16" s="390">
        <v>3945</v>
      </c>
      <c r="M16" s="390">
        <v>4742.9400000000005</v>
      </c>
      <c r="N16" s="390">
        <v>1705</v>
      </c>
      <c r="O16" s="390">
        <v>1705</v>
      </c>
      <c r="P16" s="390">
        <f>+SUMIF('Monthly Detail'!$4:$4, 'Sensitivity Analysis'!$B$14,'Monthly Detail'!$12:$12)</f>
        <v>810</v>
      </c>
      <c r="Q16" s="390">
        <v>0</v>
      </c>
      <c r="R16" s="390">
        <v>0</v>
      </c>
      <c r="S16" s="390">
        <v>0</v>
      </c>
      <c r="T16" s="390">
        <v>0</v>
      </c>
      <c r="U16" s="390">
        <v>2730</v>
      </c>
      <c r="V16" s="390">
        <v>5458.1746031746025</v>
      </c>
      <c r="W16" s="390">
        <v>9557.539682539682</v>
      </c>
      <c r="X16" s="390">
        <v>10746.031746031746</v>
      </c>
      <c r="Y16" s="390">
        <v>5136.8253968253975</v>
      </c>
      <c r="Z16" s="390">
        <v>5569.460317460318</v>
      </c>
      <c r="AA16" s="390">
        <v>4951.5682539682548</v>
      </c>
      <c r="AB16" s="390">
        <v>6741.2546031746033</v>
      </c>
      <c r="AD16" s="492">
        <f>+P16-J16</f>
        <v>-3857.5</v>
      </c>
      <c r="AE16" s="492">
        <f>+P16-Z16</f>
        <v>-4759.460317460318</v>
      </c>
    </row>
    <row r="17" spans="2:31" x14ac:dyDescent="0.3">
      <c r="B17" s="675" t="s">
        <v>340</v>
      </c>
      <c r="C17" s="389" t="s">
        <v>237</v>
      </c>
      <c r="D17" s="167"/>
      <c r="E17" s="388"/>
      <c r="F17" s="387">
        <v>53.206349206349202</v>
      </c>
      <c r="G17" s="387">
        <v>58</v>
      </c>
      <c r="H17" s="387">
        <v>26.685714285714287</v>
      </c>
      <c r="I17" s="387">
        <v>17.5</v>
      </c>
      <c r="J17" s="387">
        <v>41.150000000000006</v>
      </c>
      <c r="K17" s="386">
        <f>+SUMIF('Monthly Detail'!$4:$4, 'Sensitivity Analysis'!K$14,'Monthly Detail'!14:14)</f>
        <v>0</v>
      </c>
      <c r="L17" s="489">
        <v>37</v>
      </c>
      <c r="M17" s="489">
        <v>39</v>
      </c>
      <c r="N17" s="586">
        <v>8</v>
      </c>
      <c r="O17" s="586">
        <v>8</v>
      </c>
      <c r="P17" s="586">
        <f>+SUMIF('Monthly Detail'!$4:$4, 'Sensitivity Analysis'!$B14,'Monthly Detail'!14:14)</f>
        <v>7</v>
      </c>
      <c r="Q17" s="386">
        <v>20</v>
      </c>
      <c r="R17" s="386">
        <v>20</v>
      </c>
      <c r="S17" s="386">
        <v>20</v>
      </c>
      <c r="T17" s="386">
        <v>20</v>
      </c>
      <c r="U17" s="386">
        <v>9</v>
      </c>
      <c r="V17" s="386">
        <v>53.206349206349202</v>
      </c>
      <c r="W17" s="386">
        <v>57.365079365079367</v>
      </c>
      <c r="X17" s="386">
        <v>61.092063492063488</v>
      </c>
      <c r="Y17" s="386">
        <v>30.473650793650791</v>
      </c>
      <c r="Z17" s="386">
        <v>23.578920634920635</v>
      </c>
      <c r="AA17" s="386">
        <v>16.953136507936506</v>
      </c>
      <c r="AB17" s="386">
        <v>26.182509206349206</v>
      </c>
      <c r="AC17" s="169"/>
      <c r="AD17" s="493">
        <f t="shared" ref="AD17:AD31" si="0">+P17-J17</f>
        <v>-34.150000000000006</v>
      </c>
      <c r="AE17" s="493">
        <f t="shared" ref="AE17:AE31" si="1">+P17-Z17</f>
        <v>-16.578920634920635</v>
      </c>
    </row>
    <row r="18" spans="2:31" x14ac:dyDescent="0.3">
      <c r="B18" s="676"/>
      <c r="C18" s="484" t="s">
        <v>280</v>
      </c>
      <c r="D18" s="169"/>
      <c r="E18" s="384"/>
      <c r="F18" s="383">
        <v>9.2063492063492056</v>
      </c>
      <c r="G18" s="383">
        <v>8</v>
      </c>
      <c r="H18" s="383">
        <v>9.1428571428571423</v>
      </c>
      <c r="I18" s="383">
        <v>7</v>
      </c>
      <c r="J18" s="383">
        <v>13</v>
      </c>
      <c r="K18" s="382"/>
      <c r="L18" s="490">
        <v>4</v>
      </c>
      <c r="M18" s="490">
        <v>6</v>
      </c>
      <c r="N18" s="587">
        <v>3</v>
      </c>
      <c r="O18" s="587">
        <v>3</v>
      </c>
      <c r="P18" s="587">
        <f>+SUMIF('Monthly Detail'!$4:$4, 'Sensitivity Analysis'!$B14,'Monthly Detail'!15:15)</f>
        <v>3</v>
      </c>
      <c r="Q18" s="382">
        <v>2</v>
      </c>
      <c r="R18" s="382">
        <v>2</v>
      </c>
      <c r="S18" s="382">
        <v>2</v>
      </c>
      <c r="T18" s="382">
        <v>2</v>
      </c>
      <c r="U18" s="382">
        <v>8</v>
      </c>
      <c r="V18" s="382">
        <v>9.2063492063492056</v>
      </c>
      <c r="W18" s="382">
        <v>11.365079365079364</v>
      </c>
      <c r="X18" s="382">
        <v>13.092063492063492</v>
      </c>
      <c r="Y18" s="382">
        <v>15.473650793650794</v>
      </c>
      <c r="Z18" s="382">
        <v>16.378920634920636</v>
      </c>
      <c r="AA18" s="382">
        <v>17.103136507936508</v>
      </c>
      <c r="AB18" s="382">
        <v>18.682509206349206</v>
      </c>
      <c r="AC18" s="169"/>
      <c r="AD18" s="491">
        <f t="shared" si="0"/>
        <v>-10</v>
      </c>
      <c r="AE18" s="491">
        <f t="shared" si="1"/>
        <v>-13.378920634920636</v>
      </c>
    </row>
    <row r="19" spans="2:31" x14ac:dyDescent="0.3">
      <c r="B19" s="676"/>
      <c r="C19" s="385" t="s">
        <v>307</v>
      </c>
      <c r="D19" s="169"/>
      <c r="E19" s="384"/>
      <c r="F19" s="383">
        <v>43.999999999999993</v>
      </c>
      <c r="G19" s="383">
        <v>50</v>
      </c>
      <c r="H19" s="383">
        <v>17.542857142857144</v>
      </c>
      <c r="I19" s="383">
        <v>10.5</v>
      </c>
      <c r="J19" s="383">
        <v>28.150000000000002</v>
      </c>
      <c r="K19" s="384">
        <f>+SUMIF('Monthly Detail'!$4:$4, 'Sensitivity Analysis'!K$14,'Monthly Detail'!16:16)</f>
        <v>0</v>
      </c>
      <c r="L19" s="497">
        <v>30</v>
      </c>
      <c r="M19" s="497">
        <v>1</v>
      </c>
      <c r="N19" s="497">
        <v>4</v>
      </c>
      <c r="O19" s="497">
        <v>4</v>
      </c>
      <c r="P19" s="497">
        <f>+SUMIF('Monthly Detail'!$4:$4, 'Sensitivity Analysis'!$B14,'Monthly Detail'!16:16)</f>
        <v>-1</v>
      </c>
      <c r="Q19" s="382">
        <v>0</v>
      </c>
      <c r="R19" s="382">
        <v>0</v>
      </c>
      <c r="S19" s="382">
        <v>0</v>
      </c>
      <c r="T19" s="382">
        <v>0</v>
      </c>
      <c r="U19" s="382">
        <v>-11</v>
      </c>
      <c r="V19" s="382">
        <v>43.999999999999993</v>
      </c>
      <c r="W19" s="382">
        <v>46</v>
      </c>
      <c r="X19" s="382">
        <v>48</v>
      </c>
      <c r="Y19" s="382">
        <v>-33</v>
      </c>
      <c r="Z19" s="382">
        <v>7.2000000000000011</v>
      </c>
      <c r="AA19" s="382">
        <v>-7.3500000000000005</v>
      </c>
      <c r="AB19" s="382">
        <v>7.5</v>
      </c>
      <c r="AC19" s="169"/>
      <c r="AD19" s="491">
        <f t="shared" si="0"/>
        <v>-29.150000000000002</v>
      </c>
      <c r="AE19" s="491">
        <f t="shared" si="1"/>
        <v>-8.2000000000000011</v>
      </c>
    </row>
    <row r="20" spans="2:31" x14ac:dyDescent="0.3">
      <c r="B20" s="676"/>
      <c r="C20" s="385" t="s">
        <v>281</v>
      </c>
      <c r="D20" s="169"/>
      <c r="E20" s="384"/>
      <c r="F20" s="383">
        <v>1.2063492063492065</v>
      </c>
      <c r="G20" s="383">
        <v>4</v>
      </c>
      <c r="H20" s="383">
        <v>3.1428571428571428</v>
      </c>
      <c r="I20" s="383">
        <v>3</v>
      </c>
      <c r="J20" s="383">
        <v>10</v>
      </c>
      <c r="K20" s="382">
        <f>+SUMIF('Monthly Detail'!$4:$4, 'Sensitivity Analysis'!K$14,'Monthly Detail'!20:20)</f>
        <v>0</v>
      </c>
      <c r="L20" s="490">
        <v>1</v>
      </c>
      <c r="M20" s="490">
        <v>2</v>
      </c>
      <c r="N20" s="587">
        <v>-1</v>
      </c>
      <c r="O20" s="587">
        <v>-1</v>
      </c>
      <c r="P20" s="587">
        <f>+SUMIF('Monthly Detail'!$4:$4, 'Sensitivity Analysis'!$B$14,'Monthly Detail'!17:17)</f>
        <v>0</v>
      </c>
      <c r="Q20" s="382">
        <v>0</v>
      </c>
      <c r="R20" s="382">
        <v>0</v>
      </c>
      <c r="S20" s="382">
        <v>0</v>
      </c>
      <c r="T20" s="382">
        <v>0</v>
      </c>
      <c r="U20" s="382">
        <v>6</v>
      </c>
      <c r="V20" s="382">
        <v>1.2063492063492065</v>
      </c>
      <c r="W20" s="382">
        <v>2.1587301587301591</v>
      </c>
      <c r="X20" s="382">
        <v>1.7269841269841271</v>
      </c>
      <c r="Y20" s="382">
        <v>2.3815873015873015</v>
      </c>
      <c r="Z20" s="382">
        <v>0.905269841269841</v>
      </c>
      <c r="AA20" s="382">
        <v>0.72421587301587254</v>
      </c>
      <c r="AB20" s="382">
        <v>1.5793726984126981</v>
      </c>
      <c r="AC20" s="169"/>
      <c r="AD20" s="491">
        <f t="shared" si="0"/>
        <v>-10</v>
      </c>
      <c r="AE20" s="491">
        <f t="shared" si="1"/>
        <v>-0.905269841269841</v>
      </c>
    </row>
    <row r="21" spans="2:31" x14ac:dyDescent="0.3">
      <c r="B21" s="676"/>
      <c r="C21" s="385" t="s">
        <v>305</v>
      </c>
      <c r="D21" s="169"/>
      <c r="E21" s="384"/>
      <c r="F21" s="383">
        <v>944.43355305527132</v>
      </c>
      <c r="G21" s="383">
        <v>1173.1034482758621</v>
      </c>
      <c r="H21" s="383">
        <v>1966.1058427653718</v>
      </c>
      <c r="I21" s="591">
        <v>748</v>
      </c>
      <c r="J21" s="591">
        <v>1474.5443499392466</v>
      </c>
      <c r="K21" s="382"/>
      <c r="L21" s="486">
        <v>426.48648648648651</v>
      </c>
      <c r="M21" s="486">
        <v>729.68307692307701</v>
      </c>
      <c r="N21" s="486">
        <v>639.375</v>
      </c>
      <c r="O21" s="486">
        <v>639.375</v>
      </c>
      <c r="P21" s="486">
        <f>+SUMIF('Monthly Detail'!$4:$4, 'Sensitivity Analysis'!$B$14,'Monthly Detail'!42:42)</f>
        <v>347.14285714285711</v>
      </c>
      <c r="Q21" s="485">
        <v>0</v>
      </c>
      <c r="R21" s="485">
        <v>0</v>
      </c>
      <c r="S21" s="485">
        <v>0</v>
      </c>
      <c r="T21" s="485">
        <v>0</v>
      </c>
      <c r="U21" s="485">
        <v>2426.6666666666665</v>
      </c>
      <c r="V21" s="486">
        <v>944.43355305527132</v>
      </c>
      <c r="W21" s="486">
        <v>1893.5247406470426</v>
      </c>
      <c r="X21" s="486">
        <v>2302.880633996826</v>
      </c>
      <c r="Y21" s="485">
        <v>2608.3334391622589</v>
      </c>
      <c r="Z21" s="486">
        <v>3868.7838994598442</v>
      </c>
      <c r="AA21" s="485">
        <v>4995.3793350474134</v>
      </c>
      <c r="AB21" s="485">
        <v>4810.217011424269</v>
      </c>
      <c r="AC21" s="169"/>
      <c r="AD21" s="491">
        <f t="shared" si="0"/>
        <v>-1127.4014927963894</v>
      </c>
      <c r="AE21" s="491">
        <f t="shared" si="1"/>
        <v>-3521.6410423169873</v>
      </c>
    </row>
    <row r="22" spans="2:31" x14ac:dyDescent="0.3">
      <c r="B22" s="676"/>
      <c r="C22" s="373" t="s">
        <v>51</v>
      </c>
      <c r="D22" s="169"/>
      <c r="E22" s="381"/>
      <c r="F22" s="380">
        <v>0.04</v>
      </c>
      <c r="G22" s="380">
        <v>0.04</v>
      </c>
      <c r="H22" s="380">
        <v>0.05</v>
      </c>
      <c r="I22" s="380">
        <v>0.05</v>
      </c>
      <c r="J22" s="380">
        <v>0.05</v>
      </c>
      <c r="K22" s="379">
        <f>+SUMIF('Monthly Detail'!$4:$4, 'Sensitivity Analysis'!K$14,'Monthly Detail'!23:23)</f>
        <v>0</v>
      </c>
      <c r="L22" s="488">
        <v>4.3243243243243246E-2</v>
      </c>
      <c r="M22" s="488">
        <v>3.1468531468531472E-2</v>
      </c>
      <c r="N22" s="588">
        <v>8.3333333333333329E-2</v>
      </c>
      <c r="O22" s="589">
        <v>8.3333333333333329E-2</v>
      </c>
      <c r="P22" s="589">
        <f>+SUMIF('Monthly Detail'!$4:$4, 'Sensitivity Analysis'!$B$14,'Monthly Detail'!32:32)</f>
        <v>5.5900621118012424E-2</v>
      </c>
      <c r="Q22" s="379">
        <v>0.18181818181818182</v>
      </c>
      <c r="R22" s="379">
        <v>0.19047619047619047</v>
      </c>
      <c r="S22" s="379">
        <v>0.19047619047619047</v>
      </c>
      <c r="T22" s="379">
        <v>3.4090909090909089E-3</v>
      </c>
      <c r="U22" s="379">
        <v>7.246376811594203E-3</v>
      </c>
      <c r="V22" s="379">
        <v>0.04</v>
      </c>
      <c r="W22" s="379">
        <v>0.04</v>
      </c>
      <c r="X22" s="379">
        <v>0.04</v>
      </c>
      <c r="Y22" s="379">
        <v>0.04</v>
      </c>
      <c r="Z22" s="379">
        <v>0.04</v>
      </c>
      <c r="AA22" s="379">
        <v>0.04</v>
      </c>
      <c r="AB22" s="379">
        <v>0.04</v>
      </c>
      <c r="AC22" s="169"/>
      <c r="AD22" s="378">
        <f t="shared" si="0"/>
        <v>5.900621118012421E-3</v>
      </c>
      <c r="AE22" s="378">
        <f t="shared" si="1"/>
        <v>1.5900621118012423E-2</v>
      </c>
    </row>
    <row r="23" spans="2:31" x14ac:dyDescent="0.3">
      <c r="B23" s="676"/>
      <c r="C23" s="373" t="s">
        <v>52</v>
      </c>
      <c r="D23" s="169"/>
      <c r="E23" s="381"/>
      <c r="F23" s="380">
        <v>42.565079365079363</v>
      </c>
      <c r="G23" s="380">
        <v>51.04</v>
      </c>
      <c r="H23" s="380">
        <v>29.354285714285716</v>
      </c>
      <c r="I23" s="380">
        <v>18.375</v>
      </c>
      <c r="J23" s="380">
        <v>47.322500000000012</v>
      </c>
      <c r="K23" s="379">
        <f>+SUMIF('Monthly Detail'!$4:$4, 'Sensitivity Analysis'!K$14,'Monthly Detail'!24:24)</f>
        <v>0</v>
      </c>
      <c r="L23" s="487">
        <v>32</v>
      </c>
      <c r="M23" s="487">
        <v>27</v>
      </c>
      <c r="N23" s="589">
        <v>14</v>
      </c>
      <c r="O23" s="589">
        <v>14</v>
      </c>
      <c r="P23" s="589">
        <f>+SUMIF('Monthly Detail'!$4:$4, 'Sensitivity Analysis'!$B$14,'Monthly Detail'!33:33)</f>
        <v>9</v>
      </c>
      <c r="Q23" s="379">
        <v>80</v>
      </c>
      <c r="R23" s="379">
        <v>80</v>
      </c>
      <c r="S23" s="379">
        <v>80</v>
      </c>
      <c r="T23" s="379">
        <v>1.5</v>
      </c>
      <c r="U23" s="379">
        <v>1.5</v>
      </c>
      <c r="V23" s="379">
        <v>42.565079365079363</v>
      </c>
      <c r="W23" s="379">
        <v>50.481269841269842</v>
      </c>
      <c r="X23" s="379">
        <v>53.761015873015872</v>
      </c>
      <c r="Y23" s="379">
        <v>12.997866666666667</v>
      </c>
      <c r="Z23" s="379">
        <v>15.068606984126985</v>
      </c>
      <c r="AA23" s="379">
        <v>12.998383746031747</v>
      </c>
      <c r="AB23" s="379">
        <v>14.198706996825397</v>
      </c>
      <c r="AC23" s="169"/>
      <c r="AD23" s="378">
        <f t="shared" si="0"/>
        <v>-38.322500000000012</v>
      </c>
      <c r="AE23" s="378">
        <f t="shared" si="1"/>
        <v>-6.0686069841269852</v>
      </c>
    </row>
    <row r="24" spans="2:31" x14ac:dyDescent="0.3">
      <c r="B24" s="676"/>
      <c r="C24" s="373" t="s">
        <v>53</v>
      </c>
      <c r="D24" s="169"/>
      <c r="E24" s="377"/>
      <c r="F24" s="376">
        <v>50</v>
      </c>
      <c r="G24" s="376">
        <v>85</v>
      </c>
      <c r="H24" s="376">
        <v>195.49347868405687</v>
      </c>
      <c r="I24" s="376">
        <v>101.76870748299319</v>
      </c>
      <c r="J24" s="376">
        <v>98.631729092926179</v>
      </c>
      <c r="K24" s="375">
        <f>+SUMIF('Monthly Detail'!$4:$4, 'Sensitivity Analysis'!K$14,'Monthly Detail'!28:28)</f>
        <v>0</v>
      </c>
      <c r="L24" s="375">
        <v>123.28125</v>
      </c>
      <c r="M24" s="375">
        <v>175.66444444444446</v>
      </c>
      <c r="N24" s="375">
        <v>121.78571428571429</v>
      </c>
      <c r="O24" s="375">
        <v>121.78571428571429</v>
      </c>
      <c r="P24" s="375">
        <f>+SUMIF('Monthly Detail'!$4:$4, 'Sensitivity Analysis'!$B$14,'Monthly Detail'!35:35)</f>
        <v>90</v>
      </c>
      <c r="Q24" s="375">
        <v>0</v>
      </c>
      <c r="R24" s="375">
        <v>0</v>
      </c>
      <c r="S24" s="375">
        <v>0</v>
      </c>
      <c r="T24" s="375">
        <v>0</v>
      </c>
      <c r="U24" s="375">
        <v>0</v>
      </c>
      <c r="V24" s="375">
        <v>50</v>
      </c>
      <c r="W24" s="375">
        <v>0</v>
      </c>
      <c r="X24" s="375">
        <v>0</v>
      </c>
      <c r="Y24" s="375">
        <v>105</v>
      </c>
      <c r="Z24" s="375">
        <v>369.60684709124695</v>
      </c>
      <c r="AA24" s="375">
        <v>0</v>
      </c>
      <c r="AB24" s="375">
        <v>0</v>
      </c>
      <c r="AC24" s="169"/>
      <c r="AD24" s="369">
        <f t="shared" si="0"/>
        <v>-8.6317290929261787</v>
      </c>
      <c r="AE24" s="369">
        <f t="shared" si="1"/>
        <v>-279.60684709124695</v>
      </c>
    </row>
    <row r="25" spans="2:31" ht="2.4" customHeight="1" x14ac:dyDescent="0.3">
      <c r="B25" s="374"/>
      <c r="C25" s="373"/>
      <c r="D25" s="169"/>
      <c r="E25" s="372"/>
      <c r="F25" s="371"/>
      <c r="G25" s="371"/>
      <c r="H25" s="371"/>
      <c r="I25" s="371"/>
      <c r="J25" s="371"/>
      <c r="K25" s="370"/>
      <c r="L25" s="370"/>
      <c r="M25" s="370"/>
      <c r="N25" s="370"/>
      <c r="O25" s="370"/>
      <c r="P25" s="370"/>
      <c r="Q25" s="370">
        <v>0</v>
      </c>
      <c r="R25" s="370">
        <v>0</v>
      </c>
      <c r="S25" s="370">
        <v>0</v>
      </c>
      <c r="T25" s="370">
        <v>0</v>
      </c>
      <c r="U25" s="370">
        <v>1820</v>
      </c>
      <c r="V25" s="370">
        <v>50</v>
      </c>
      <c r="W25" s="370">
        <v>189.32843235900788</v>
      </c>
      <c r="X25" s="370">
        <v>199.88520625082671</v>
      </c>
      <c r="Y25" s="370">
        <v>395.20526933846048</v>
      </c>
      <c r="Z25" s="370">
        <v>369.60684709124695</v>
      </c>
      <c r="AA25" s="370">
        <v>380.93722655941053</v>
      </c>
      <c r="AB25" s="370">
        <v>474.77947144636761</v>
      </c>
      <c r="AC25" s="169"/>
      <c r="AD25" s="369">
        <f t="shared" si="0"/>
        <v>0</v>
      </c>
      <c r="AE25" s="369">
        <f t="shared" si="1"/>
        <v>-369.60684709124695</v>
      </c>
    </row>
    <row r="26" spans="2:31" ht="15" thickBot="1" x14ac:dyDescent="0.35">
      <c r="B26" s="368"/>
      <c r="C26" s="367" t="s">
        <v>54</v>
      </c>
      <c r="D26" s="168"/>
      <c r="E26" s="366"/>
      <c r="F26" s="365">
        <v>5.0000000000000001E-3</v>
      </c>
      <c r="G26" s="365">
        <v>5.0000000000000001E-3</v>
      </c>
      <c r="H26" s="365">
        <v>6.2500000000000003E-3</v>
      </c>
      <c r="I26" s="365">
        <v>6.2500000000000003E-3</v>
      </c>
      <c r="J26" s="365">
        <v>6.2500000000000003E-3</v>
      </c>
      <c r="K26" s="364">
        <f>+SUMIF('Monthly Detail'!$4:$4, 'Sensitivity Analysis'!K$14,'Monthly Detail'!40:40)</f>
        <v>0</v>
      </c>
      <c r="L26" s="364">
        <v>5.4054054054054057E-3</v>
      </c>
      <c r="M26" s="364">
        <v>3.9335664335664339E-3</v>
      </c>
      <c r="N26" s="364">
        <v>1.0416666666666666E-2</v>
      </c>
      <c r="O26" s="364">
        <v>1.0416666666666666E-2</v>
      </c>
      <c r="P26" s="364">
        <f>+SUMIF('Monthly Detail'!$4:$4, 'Sensitivity Analysis'!$B$14,'Monthly Detail'!47:47)</f>
        <v>6.987577639751553E-3</v>
      </c>
      <c r="Q26" s="364">
        <v>2.2727272727272728E-2</v>
      </c>
      <c r="R26" s="364">
        <v>2.3809523809523808E-2</v>
      </c>
      <c r="S26" s="364">
        <v>2.3809523809523808E-2</v>
      </c>
      <c r="T26" s="364">
        <v>4.2613636363636362E-4</v>
      </c>
      <c r="U26" s="364">
        <v>9.0579710144927537E-4</v>
      </c>
      <c r="V26" s="364">
        <v>5.0000000000000001E-3</v>
      </c>
      <c r="W26" s="364">
        <v>5.0000000000000001E-3</v>
      </c>
      <c r="X26" s="364">
        <v>5.0000000000000001E-3</v>
      </c>
      <c r="Y26" s="364">
        <v>5.0000000000000001E-3</v>
      </c>
      <c r="Z26" s="364">
        <v>5.0000000000000001E-3</v>
      </c>
      <c r="AA26" s="364">
        <v>5.0000000000000001E-3</v>
      </c>
      <c r="AB26" s="364">
        <v>5.0000000000000001E-3</v>
      </c>
      <c r="AC26" s="169"/>
      <c r="AD26" s="363">
        <f t="shared" si="0"/>
        <v>7.3757763975155263E-4</v>
      </c>
      <c r="AE26" s="363">
        <f t="shared" si="1"/>
        <v>1.9875776397515529E-3</v>
      </c>
    </row>
    <row r="27" spans="2:31" ht="15.6" customHeight="1" x14ac:dyDescent="0.3">
      <c r="B27" s="673" t="s">
        <v>317</v>
      </c>
      <c r="C27" s="403" t="s">
        <v>272</v>
      </c>
      <c r="D27" s="169"/>
      <c r="E27" s="404"/>
      <c r="F27" s="483">
        <v>30.799999999999997</v>
      </c>
      <c r="G27" s="483">
        <v>32.199999999999996</v>
      </c>
      <c r="H27" s="483">
        <v>0</v>
      </c>
      <c r="I27" s="483">
        <v>0</v>
      </c>
      <c r="J27" s="483">
        <v>0</v>
      </c>
      <c r="K27" s="406"/>
      <c r="L27" s="490">
        <v>28</v>
      </c>
      <c r="M27" s="490">
        <v>28</v>
      </c>
      <c r="N27" s="587">
        <v>0</v>
      </c>
      <c r="O27" s="587">
        <v>0</v>
      </c>
      <c r="P27" s="587">
        <f>+SUMIF('Monthly Detail'!$4:$4, 'Sensitivity Analysis'!$B$14,'Monthly Detail'!18:18)</f>
        <v>0</v>
      </c>
      <c r="Q27" s="494">
        <v>0</v>
      </c>
      <c r="R27" s="494">
        <v>0</v>
      </c>
      <c r="S27" s="494">
        <v>0</v>
      </c>
      <c r="T27" s="494">
        <v>0</v>
      </c>
      <c r="U27" s="494">
        <v>0</v>
      </c>
      <c r="V27" s="494">
        <v>30.799999999999997</v>
      </c>
      <c r="W27" s="494">
        <v>32.199999999999996</v>
      </c>
      <c r="X27" s="494">
        <v>33.599999999999994</v>
      </c>
      <c r="Y27" s="494">
        <v>0</v>
      </c>
      <c r="Z27" s="494">
        <v>0</v>
      </c>
      <c r="AA27" s="494">
        <v>0</v>
      </c>
      <c r="AB27" s="494">
        <v>0</v>
      </c>
      <c r="AC27" s="169"/>
      <c r="AD27" s="491">
        <f t="shared" si="0"/>
        <v>0</v>
      </c>
      <c r="AE27" s="491">
        <f t="shared" si="1"/>
        <v>0</v>
      </c>
    </row>
    <row r="28" spans="2:31" x14ac:dyDescent="0.3">
      <c r="B28" s="674"/>
      <c r="C28" s="403" t="s">
        <v>279</v>
      </c>
      <c r="D28" s="169"/>
      <c r="E28" s="404"/>
      <c r="F28" s="483">
        <v>8.8000000000000007</v>
      </c>
      <c r="G28" s="483">
        <v>9.2000000000000011</v>
      </c>
      <c r="H28" s="483">
        <v>9.6000000000000014</v>
      </c>
      <c r="I28" s="483">
        <v>5</v>
      </c>
      <c r="J28" s="483">
        <v>12.100000000000001</v>
      </c>
      <c r="K28" s="406"/>
      <c r="L28" s="490">
        <v>5</v>
      </c>
      <c r="M28" s="490">
        <v>1</v>
      </c>
      <c r="N28" s="587">
        <v>0</v>
      </c>
      <c r="O28" s="587">
        <v>0</v>
      </c>
      <c r="P28" s="587">
        <f>+SUMIF('Monthly Detail'!$4:$4, 'Sensitivity Analysis'!$B$14,'Monthly Detail'!19:19)</f>
        <v>0</v>
      </c>
      <c r="Q28" s="494"/>
      <c r="R28" s="494"/>
      <c r="S28" s="494"/>
      <c r="T28" s="494"/>
      <c r="U28" s="494">
        <v>0</v>
      </c>
      <c r="V28" s="494">
        <v>8.8000000000000007</v>
      </c>
      <c r="W28" s="494">
        <v>9.2000000000000011</v>
      </c>
      <c r="X28" s="494">
        <v>9.6000000000000014</v>
      </c>
      <c r="Y28" s="494">
        <v>5</v>
      </c>
      <c r="Z28" s="494">
        <v>4.9000000000000004</v>
      </c>
      <c r="AA28" s="494">
        <v>0</v>
      </c>
      <c r="AB28" s="494">
        <v>5</v>
      </c>
      <c r="AC28" s="169"/>
      <c r="AD28" s="491">
        <f t="shared" si="0"/>
        <v>-12.100000000000001</v>
      </c>
      <c r="AE28" s="491">
        <f t="shared" si="1"/>
        <v>-4.9000000000000004</v>
      </c>
    </row>
    <row r="29" spans="2:31" x14ac:dyDescent="0.3">
      <c r="B29" s="674"/>
      <c r="C29" s="403" t="s">
        <v>278</v>
      </c>
      <c r="D29" s="169"/>
      <c r="E29" s="404"/>
      <c r="F29" s="483">
        <v>4.4000000000000004</v>
      </c>
      <c r="G29" s="483">
        <v>4.6000000000000005</v>
      </c>
      <c r="H29" s="483">
        <v>4.8000000000000007</v>
      </c>
      <c r="I29" s="483">
        <v>2.5</v>
      </c>
      <c r="J29" s="483">
        <v>6.0500000000000007</v>
      </c>
      <c r="K29" s="406"/>
      <c r="L29" s="490">
        <v>0</v>
      </c>
      <c r="M29" s="490">
        <v>2</v>
      </c>
      <c r="N29" s="587">
        <v>0</v>
      </c>
      <c r="O29" s="587">
        <v>0</v>
      </c>
      <c r="P29" s="587">
        <f>+SUMIF('Monthly Detail'!$4:$4, 'Sensitivity Analysis'!$B$14,'Monthly Detail'!20:20)</f>
        <v>0</v>
      </c>
      <c r="Q29" s="494"/>
      <c r="R29" s="494"/>
      <c r="S29" s="494"/>
      <c r="T29" s="494"/>
      <c r="U29" s="494"/>
      <c r="V29" s="494">
        <v>4.4000000000000004</v>
      </c>
      <c r="W29" s="494">
        <v>4.6000000000000005</v>
      </c>
      <c r="X29" s="494">
        <v>4.8000000000000007</v>
      </c>
      <c r="Y29" s="494">
        <v>2.5</v>
      </c>
      <c r="Z29" s="494">
        <v>2.4500000000000002</v>
      </c>
      <c r="AA29" s="494">
        <v>0</v>
      </c>
      <c r="AB29" s="494">
        <v>2.5</v>
      </c>
      <c r="AC29" s="169"/>
      <c r="AD29" s="491">
        <f t="shared" si="0"/>
        <v>-6.0500000000000007</v>
      </c>
      <c r="AE29" s="491">
        <f t="shared" si="1"/>
        <v>-2.4500000000000002</v>
      </c>
    </row>
    <row r="30" spans="2:31" x14ac:dyDescent="0.3">
      <c r="B30" s="674"/>
      <c r="C30" s="403" t="s">
        <v>274</v>
      </c>
      <c r="D30" s="169"/>
      <c r="E30" s="404"/>
      <c r="F30" s="483">
        <v>2</v>
      </c>
      <c r="G30" s="483">
        <v>2</v>
      </c>
      <c r="H30" s="483">
        <v>2</v>
      </c>
      <c r="I30" s="483">
        <v>2.5</v>
      </c>
      <c r="J30" s="483">
        <v>6</v>
      </c>
      <c r="K30" s="406"/>
      <c r="L30" s="490">
        <v>3</v>
      </c>
      <c r="M30" s="490">
        <v>5</v>
      </c>
      <c r="N30" s="587">
        <v>5</v>
      </c>
      <c r="O30" s="587">
        <v>5</v>
      </c>
      <c r="P30" s="587">
        <f>+SUMIF('Monthly Detail'!$4:$4, 'Sensitivity Analysis'!$B$14,'Monthly Detail'!21:21)</f>
        <v>1</v>
      </c>
      <c r="Q30" s="494"/>
      <c r="R30" s="494"/>
      <c r="S30" s="494"/>
      <c r="T30" s="494"/>
      <c r="U30" s="494">
        <v>9</v>
      </c>
      <c r="V30" s="494">
        <v>2</v>
      </c>
      <c r="W30" s="494">
        <v>2</v>
      </c>
      <c r="X30" s="494">
        <v>2</v>
      </c>
      <c r="Y30" s="494">
        <v>2.5</v>
      </c>
      <c r="Z30" s="494">
        <v>2</v>
      </c>
      <c r="AA30" s="494">
        <v>2</v>
      </c>
      <c r="AB30" s="494">
        <v>2.5</v>
      </c>
      <c r="AC30" s="169"/>
      <c r="AD30" s="491">
        <f t="shared" si="0"/>
        <v>-5</v>
      </c>
      <c r="AE30" s="491">
        <f t="shared" si="1"/>
        <v>-1</v>
      </c>
    </row>
    <row r="31" spans="2:31" x14ac:dyDescent="0.3">
      <c r="B31" s="674"/>
      <c r="C31" s="403" t="s">
        <v>273</v>
      </c>
      <c r="D31" s="169"/>
      <c r="E31" s="404"/>
      <c r="F31" s="483">
        <v>2</v>
      </c>
      <c r="G31" s="483">
        <v>2</v>
      </c>
      <c r="H31" s="483">
        <v>2</v>
      </c>
      <c r="I31" s="483">
        <v>2.5</v>
      </c>
      <c r="J31" s="483">
        <v>6</v>
      </c>
      <c r="K31" s="406"/>
      <c r="L31" s="490">
        <v>2</v>
      </c>
      <c r="M31" s="490">
        <v>3</v>
      </c>
      <c r="N31" s="587">
        <v>3</v>
      </c>
      <c r="O31" s="587">
        <v>3</v>
      </c>
      <c r="P31" s="587">
        <f>+SUMIF('Monthly Detail'!$4:$4, 'Sensitivity Analysis'!$B$14,'Monthly Detail'!22:22)</f>
        <v>6</v>
      </c>
      <c r="Q31" s="494"/>
      <c r="R31" s="494"/>
      <c r="S31" s="494"/>
      <c r="T31" s="494"/>
      <c r="U31" s="494"/>
      <c r="V31" s="494">
        <v>2</v>
      </c>
      <c r="W31" s="494">
        <v>2</v>
      </c>
      <c r="X31" s="494">
        <v>2</v>
      </c>
      <c r="Y31" s="494">
        <v>2.5</v>
      </c>
      <c r="Z31" s="494">
        <v>2</v>
      </c>
      <c r="AA31" s="494">
        <v>2</v>
      </c>
      <c r="AB31" s="494">
        <v>2.5</v>
      </c>
      <c r="AC31" s="169"/>
      <c r="AD31" s="491">
        <f t="shared" si="0"/>
        <v>0</v>
      </c>
      <c r="AE31" s="491">
        <f t="shared" si="1"/>
        <v>4</v>
      </c>
    </row>
    <row r="32" spans="2:31" ht="3" customHeight="1" thickBot="1" x14ac:dyDescent="0.35">
      <c r="B32" s="402"/>
      <c r="C32" s="403"/>
      <c r="D32" s="169"/>
      <c r="E32" s="404"/>
      <c r="F32" s="405"/>
      <c r="G32" s="405"/>
      <c r="H32" s="405"/>
      <c r="I32" s="405"/>
      <c r="J32" s="405"/>
      <c r="K32" s="406"/>
      <c r="L32" s="406"/>
      <c r="M32" s="406"/>
      <c r="N32" s="590"/>
      <c r="O32" s="590"/>
      <c r="P32" s="590"/>
      <c r="Q32" s="406"/>
      <c r="R32" s="406"/>
      <c r="S32" s="406"/>
      <c r="T32" s="406"/>
      <c r="U32" s="406"/>
      <c r="V32" s="406"/>
      <c r="W32" s="406"/>
      <c r="X32" s="406"/>
      <c r="Y32" s="406"/>
      <c r="Z32" s="406"/>
      <c r="AA32" s="406"/>
      <c r="AB32" s="406"/>
      <c r="AC32" s="169"/>
      <c r="AD32" s="407"/>
      <c r="AE32" s="407"/>
    </row>
    <row r="33" spans="2:31" x14ac:dyDescent="0.3">
      <c r="B33" s="671" t="s">
        <v>4</v>
      </c>
      <c r="C33" s="672"/>
      <c r="D33" s="223"/>
      <c r="E33" s="362"/>
      <c r="F33" s="361"/>
      <c r="G33" s="361"/>
      <c r="H33" s="361"/>
      <c r="I33" s="361"/>
      <c r="J33" s="361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0"/>
      <c r="Z33" s="360"/>
      <c r="AA33" s="360"/>
      <c r="AB33" s="360"/>
      <c r="AC33" s="356"/>
      <c r="AD33" s="359"/>
      <c r="AE33" s="359"/>
    </row>
    <row r="34" spans="2:31" x14ac:dyDescent="0.3">
      <c r="B34" s="662" t="s">
        <v>308</v>
      </c>
      <c r="C34" s="663"/>
      <c r="D34" s="356"/>
      <c r="E34" s="358"/>
      <c r="F34" s="351">
        <v>0</v>
      </c>
      <c r="G34" s="351">
        <v>0</v>
      </c>
      <c r="H34" s="351">
        <v>0</v>
      </c>
      <c r="I34" s="351">
        <v>0</v>
      </c>
      <c r="J34" s="351">
        <v>500</v>
      </c>
      <c r="K34" s="357"/>
      <c r="L34" s="350">
        <v>0</v>
      </c>
      <c r="M34" s="350">
        <v>0</v>
      </c>
      <c r="N34" s="350">
        <v>0</v>
      </c>
      <c r="O34" s="350">
        <v>0</v>
      </c>
      <c r="P34" s="350">
        <f>+SUMIF('Monthly Detail'!$4:$4, 'Sensitivity Analysis'!$B$14,'Monthly Detail'!64:64)</f>
        <v>14</v>
      </c>
      <c r="Q34" s="350"/>
      <c r="R34" s="350"/>
      <c r="S34" s="350"/>
      <c r="T34" s="350"/>
      <c r="U34" s="350"/>
      <c r="V34" s="350">
        <v>0</v>
      </c>
      <c r="W34" s="350">
        <v>250</v>
      </c>
      <c r="X34" s="350">
        <v>500</v>
      </c>
      <c r="Y34" s="350">
        <v>700</v>
      </c>
      <c r="Z34" s="350">
        <v>700</v>
      </c>
      <c r="AA34" s="350">
        <v>700</v>
      </c>
      <c r="AB34" s="350">
        <v>700</v>
      </c>
      <c r="AC34" s="356"/>
      <c r="AD34" s="349">
        <f t="shared" ref="AD34:AD52" si="2">+P34-J34</f>
        <v>-486</v>
      </c>
      <c r="AE34" s="349">
        <f t="shared" ref="AE34:AE52" si="3">+P34-Z34</f>
        <v>-686</v>
      </c>
    </row>
    <row r="35" spans="2:31" x14ac:dyDescent="0.3">
      <c r="B35" s="662" t="s">
        <v>318</v>
      </c>
      <c r="C35" s="663"/>
      <c r="E35" s="352"/>
      <c r="F35" s="351">
        <v>125</v>
      </c>
      <c r="G35" s="351">
        <v>426.98499999999996</v>
      </c>
      <c r="H35" s="351">
        <v>565.18833333333328</v>
      </c>
      <c r="I35" s="351">
        <v>595.27833333333331</v>
      </c>
      <c r="J35" s="351">
        <v>502.11</v>
      </c>
      <c r="K35" s="350">
        <f>+SUMIF('Monthly Detail'!$4:$4, 'Sensitivity Analysis'!K$14,'Monthly Detail'!65:65)</f>
        <v>0</v>
      </c>
      <c r="L35" s="350">
        <v>271.06</v>
      </c>
      <c r="M35" s="350">
        <v>558.85</v>
      </c>
      <c r="N35" s="350">
        <v>304.77</v>
      </c>
      <c r="O35" s="350">
        <v>304.77</v>
      </c>
      <c r="P35" s="350">
        <f>+SUMIF('Monthly Detail'!$4:$4, 'Sensitivity Analysis'!$B$14,'Monthly Detail'!71:71)</f>
        <v>462.98</v>
      </c>
      <c r="Q35" s="350">
        <v>194.91</v>
      </c>
      <c r="R35" s="350">
        <v>181.38</v>
      </c>
      <c r="S35" s="350">
        <v>746.18000000000006</v>
      </c>
      <c r="T35" s="350">
        <v>401.05</v>
      </c>
      <c r="U35" s="350">
        <v>488.44</v>
      </c>
      <c r="V35" s="350">
        <v>125</v>
      </c>
      <c r="W35" s="350">
        <v>125</v>
      </c>
      <c r="X35" s="350">
        <v>125</v>
      </c>
      <c r="Y35" s="350">
        <v>125</v>
      </c>
      <c r="Z35" s="350">
        <v>125</v>
      </c>
      <c r="AA35" s="350">
        <v>125</v>
      </c>
      <c r="AB35" s="350">
        <v>125</v>
      </c>
      <c r="AD35" s="349">
        <f t="shared" si="2"/>
        <v>-39.129999999999995</v>
      </c>
      <c r="AE35" s="349">
        <f t="shared" si="3"/>
        <v>337.98</v>
      </c>
    </row>
    <row r="36" spans="2:31" x14ac:dyDescent="0.3">
      <c r="B36" s="662" t="s">
        <v>319</v>
      </c>
      <c r="C36" s="663"/>
      <c r="E36" s="352"/>
      <c r="F36" s="351">
        <v>30</v>
      </c>
      <c r="G36" s="351">
        <v>30</v>
      </c>
      <c r="H36" s="351">
        <v>30</v>
      </c>
      <c r="I36" s="351">
        <v>30</v>
      </c>
      <c r="J36" s="351">
        <v>30</v>
      </c>
      <c r="K36" s="350">
        <f>+SUMIF('Monthly Detail'!$4:$4, 'Sensitivity Analysis'!K$14,'Monthly Detail'!69:69)</f>
        <v>0</v>
      </c>
      <c r="L36" s="350">
        <v>0</v>
      </c>
      <c r="M36" s="350">
        <v>30</v>
      </c>
      <c r="N36" s="350">
        <v>199</v>
      </c>
      <c r="O36" s="350">
        <v>199</v>
      </c>
      <c r="P36" s="350">
        <f>+SUMIF('Monthly Detail'!$4:$4, 'Sensitivity Analysis'!$B$14,'Monthly Detail'!72:72)</f>
        <v>0</v>
      </c>
      <c r="Q36" s="350"/>
      <c r="R36" s="350"/>
      <c r="S36" s="350"/>
      <c r="T36" s="350"/>
      <c r="U36" s="350">
        <v>30</v>
      </c>
      <c r="V36" s="350">
        <v>30</v>
      </c>
      <c r="W36" s="350">
        <v>30</v>
      </c>
      <c r="X36" s="350">
        <v>30</v>
      </c>
      <c r="Y36" s="350">
        <v>30</v>
      </c>
      <c r="Z36" s="350">
        <v>30</v>
      </c>
      <c r="AA36" s="350">
        <v>30</v>
      </c>
      <c r="AB36" s="350">
        <v>30</v>
      </c>
      <c r="AD36" s="349">
        <f t="shared" si="2"/>
        <v>-30</v>
      </c>
      <c r="AE36" s="349">
        <f t="shared" si="3"/>
        <v>-30</v>
      </c>
    </row>
    <row r="37" spans="2:31" x14ac:dyDescent="0.3">
      <c r="B37" s="662" t="s">
        <v>325</v>
      </c>
      <c r="C37" s="663"/>
      <c r="E37" s="352"/>
      <c r="F37" s="351">
        <v>61.333333333333336</v>
      </c>
      <c r="G37" s="351">
        <v>53.333333333333336</v>
      </c>
      <c r="H37" s="351">
        <v>50</v>
      </c>
      <c r="I37" s="351">
        <v>50</v>
      </c>
      <c r="J37" s="351">
        <v>50</v>
      </c>
      <c r="K37" s="350">
        <f>+SUMIF('Monthly Detail'!$4:$4, 'Sensitivity Analysis'!K$14,'Monthly Detail'!70:70)</f>
        <v>0</v>
      </c>
      <c r="L37" s="350">
        <v>50</v>
      </c>
      <c r="M37" s="350">
        <v>50</v>
      </c>
      <c r="N37" s="350">
        <v>50</v>
      </c>
      <c r="O37" s="350">
        <v>50</v>
      </c>
      <c r="P37" s="350">
        <f>+SUMIF('Monthly Detail'!$4:$4, 'Sensitivity Analysis'!$B$14,'Monthly Detail'!73:73)</f>
        <v>50</v>
      </c>
      <c r="Q37" s="350"/>
      <c r="R37" s="350"/>
      <c r="S37" s="350">
        <v>74</v>
      </c>
      <c r="T37" s="350">
        <v>60</v>
      </c>
      <c r="U37" s="350">
        <v>50</v>
      </c>
      <c r="V37" s="350">
        <v>0</v>
      </c>
      <c r="W37" s="350">
        <v>0</v>
      </c>
      <c r="X37" s="350">
        <v>0</v>
      </c>
      <c r="Y37" s="350">
        <v>0</v>
      </c>
      <c r="Z37" s="350">
        <v>0</v>
      </c>
      <c r="AA37" s="350">
        <v>0</v>
      </c>
      <c r="AB37" s="350">
        <v>0</v>
      </c>
      <c r="AD37" s="349">
        <f t="shared" si="2"/>
        <v>0</v>
      </c>
      <c r="AE37" s="349">
        <f t="shared" si="3"/>
        <v>50</v>
      </c>
    </row>
    <row r="38" spans="2:31" x14ac:dyDescent="0.3">
      <c r="B38" s="662" t="s">
        <v>250</v>
      </c>
      <c r="C38" s="663"/>
      <c r="E38" s="352"/>
      <c r="F38" s="351">
        <v>109.16349206349206</v>
      </c>
      <c r="G38" s="351">
        <v>145.17611615725036</v>
      </c>
      <c r="H38" s="351">
        <v>116.24651062073653</v>
      </c>
      <c r="I38" s="351">
        <v>47.127139807411737</v>
      </c>
      <c r="J38" s="351">
        <v>121.96917445662564</v>
      </c>
      <c r="K38" s="350">
        <f>+SUMIF('Monthly Detail'!$4:$4, 'Sensitivity Analysis'!K$14,'Monthly Detail'!71:71)</f>
        <v>0</v>
      </c>
      <c r="L38" s="350">
        <v>50.56</v>
      </c>
      <c r="M38" s="350">
        <v>90.71</v>
      </c>
      <c r="N38" s="350">
        <v>59.66</v>
      </c>
      <c r="O38" s="350">
        <v>59.66</v>
      </c>
      <c r="P38" s="350">
        <f>+SUMIF('Monthly Detail'!$4:$4, 'Sensitivity Analysis'!$B$14,'Monthly Detail'!74:74)</f>
        <v>68.63</v>
      </c>
      <c r="Q38" s="350"/>
      <c r="R38" s="350">
        <v>15</v>
      </c>
      <c r="S38" s="350">
        <v>15</v>
      </c>
      <c r="T38" s="350">
        <v>15</v>
      </c>
      <c r="U38" s="350">
        <v>32.42</v>
      </c>
      <c r="V38" s="350">
        <v>75</v>
      </c>
      <c r="W38" s="350">
        <v>75</v>
      </c>
      <c r="X38" s="350">
        <v>75</v>
      </c>
      <c r="Y38" s="350">
        <v>225</v>
      </c>
      <c r="Z38" s="350">
        <v>75</v>
      </c>
      <c r="AA38" s="350">
        <v>75</v>
      </c>
      <c r="AB38" s="350">
        <v>225</v>
      </c>
      <c r="AD38" s="349">
        <f t="shared" si="2"/>
        <v>-53.339174456625642</v>
      </c>
      <c r="AE38" s="349">
        <f t="shared" si="3"/>
        <v>-6.3700000000000045</v>
      </c>
    </row>
    <row r="39" spans="2:31" x14ac:dyDescent="0.3">
      <c r="B39" s="662" t="s">
        <v>320</v>
      </c>
      <c r="C39" s="663"/>
      <c r="E39" s="352"/>
      <c r="F39" s="351">
        <v>75</v>
      </c>
      <c r="G39" s="351">
        <v>75</v>
      </c>
      <c r="H39" s="351">
        <v>75</v>
      </c>
      <c r="I39" s="351">
        <v>75</v>
      </c>
      <c r="J39" s="351">
        <v>75</v>
      </c>
      <c r="K39" s="350" t="e">
        <f>+SUMIF('Monthly Detail'!$4:$4, 'Sensitivity Analysis'!K$14,'Monthly Detail'!#REF!)</f>
        <v>#REF!</v>
      </c>
      <c r="L39" s="350">
        <v>75</v>
      </c>
      <c r="M39" s="350">
        <v>75</v>
      </c>
      <c r="N39" s="350">
        <v>75</v>
      </c>
      <c r="O39" s="350">
        <v>75</v>
      </c>
      <c r="P39" s="350">
        <f>+SUMIF('Monthly Detail'!$4:$4, 'Sensitivity Analysis'!$B$14,'Monthly Detail'!75:75)</f>
        <v>75</v>
      </c>
      <c r="Q39" s="350"/>
      <c r="R39" s="350"/>
      <c r="S39" s="350"/>
      <c r="T39" s="350">
        <v>300</v>
      </c>
      <c r="U39" s="350">
        <v>75</v>
      </c>
      <c r="V39" s="350">
        <v>200</v>
      </c>
      <c r="W39" s="350">
        <v>200</v>
      </c>
      <c r="X39" s="350">
        <v>200</v>
      </c>
      <c r="Y39" s="350">
        <v>200</v>
      </c>
      <c r="Z39" s="350">
        <v>200</v>
      </c>
      <c r="AA39" s="350">
        <v>200</v>
      </c>
      <c r="AB39" s="350">
        <v>200</v>
      </c>
      <c r="AD39" s="349">
        <f t="shared" si="2"/>
        <v>0</v>
      </c>
      <c r="AE39" s="349">
        <f t="shared" si="3"/>
        <v>-125</v>
      </c>
    </row>
    <row r="40" spans="2:31" x14ac:dyDescent="0.3">
      <c r="B40" s="662" t="s">
        <v>321</v>
      </c>
      <c r="C40" s="663"/>
      <c r="E40" s="352"/>
      <c r="F40" s="351">
        <v>0</v>
      </c>
      <c r="G40" s="351">
        <v>171.17999999999998</v>
      </c>
      <c r="H40" s="351">
        <v>226.14666666666665</v>
      </c>
      <c r="I40" s="351">
        <v>234.33666666666667</v>
      </c>
      <c r="J40" s="351">
        <v>243.79833333333332</v>
      </c>
      <c r="K40" s="350" t="e">
        <f>+SUMIF('Monthly Detail'!$4:$4, 'Sensitivity Analysis'!K$14,'Monthly Detail'!#REF!)</f>
        <v>#REF!</v>
      </c>
      <c r="L40" s="350">
        <v>60.06</v>
      </c>
      <c r="M40" s="350">
        <v>356.03</v>
      </c>
      <c r="N40" s="350">
        <v>254.71</v>
      </c>
      <c r="O40" s="350">
        <v>254.71</v>
      </c>
      <c r="P40" s="350">
        <f>+SUMIF('Monthly Detail'!$4:$4, 'Sensitivity Analysis'!$B$14,'Monthly Detail'!76:76)</f>
        <v>177.83</v>
      </c>
      <c r="Q40" s="350">
        <v>26.23</v>
      </c>
      <c r="R40" s="350">
        <v>87.49</v>
      </c>
      <c r="S40" s="350">
        <v>183.92</v>
      </c>
      <c r="T40" s="350">
        <v>288.16000000000003</v>
      </c>
      <c r="U40" s="350">
        <v>357.01</v>
      </c>
      <c r="V40" s="350">
        <v>357.01</v>
      </c>
      <c r="W40" s="350">
        <v>357.01</v>
      </c>
      <c r="X40" s="350">
        <v>357.01</v>
      </c>
      <c r="Y40" s="350">
        <v>357.01</v>
      </c>
      <c r="Z40" s="350">
        <v>357.01</v>
      </c>
      <c r="AA40" s="350">
        <v>357.01</v>
      </c>
      <c r="AB40" s="350">
        <v>357.01</v>
      </c>
      <c r="AD40" s="349">
        <f t="shared" si="2"/>
        <v>-65.968333333333305</v>
      </c>
      <c r="AE40" s="349">
        <f t="shared" si="3"/>
        <v>-179.17999999999998</v>
      </c>
    </row>
    <row r="41" spans="2:31" x14ac:dyDescent="0.3">
      <c r="B41" s="662" t="s">
        <v>322</v>
      </c>
      <c r="C41" s="663"/>
      <c r="E41" s="352"/>
      <c r="F41" s="351">
        <v>0</v>
      </c>
      <c r="G41" s="351">
        <v>42.725000000000001</v>
      </c>
      <c r="H41" s="351">
        <v>150.81333333333336</v>
      </c>
      <c r="I41" s="351">
        <v>123.26250000000002</v>
      </c>
      <c r="J41" s="351">
        <v>78.772500000000008</v>
      </c>
      <c r="K41" s="350">
        <f>+SUMIF('Monthly Detail'!$4:$4, 'Sensitivity Analysis'!K$14,'Monthly Detail'!73:73)</f>
        <v>0</v>
      </c>
      <c r="L41" s="350">
        <v>78.39</v>
      </c>
      <c r="M41" s="350">
        <v>196.09</v>
      </c>
      <c r="N41" s="350">
        <v>0</v>
      </c>
      <c r="O41" s="350">
        <v>0</v>
      </c>
      <c r="P41" s="350">
        <f>+SUMIF('Monthly Detail'!$4:$4, 'Sensitivity Analysis'!$B$14,'Monthly Detail'!77:77)</f>
        <v>0</v>
      </c>
      <c r="Q41" s="350"/>
      <c r="R41" s="350"/>
      <c r="S41" s="350">
        <v>177.96</v>
      </c>
      <c r="T41" s="350"/>
      <c r="U41" s="350"/>
      <c r="V41" s="350"/>
      <c r="W41" s="350">
        <v>0</v>
      </c>
      <c r="X41" s="350"/>
      <c r="Y41" s="350"/>
      <c r="Z41" s="350">
        <v>0</v>
      </c>
      <c r="AA41" s="350"/>
      <c r="AB41" s="350"/>
      <c r="AD41" s="349">
        <f t="shared" si="2"/>
        <v>-78.772500000000008</v>
      </c>
      <c r="AE41" s="349">
        <f t="shared" si="3"/>
        <v>0</v>
      </c>
    </row>
    <row r="42" spans="2:31" ht="14.4" customHeight="1" x14ac:dyDescent="0.3">
      <c r="B42" s="662" t="s">
        <v>323</v>
      </c>
      <c r="C42" s="663"/>
      <c r="E42" s="352"/>
      <c r="F42" s="351">
        <v>1500</v>
      </c>
      <c r="G42" s="351">
        <v>2500</v>
      </c>
      <c r="H42" s="351">
        <v>0</v>
      </c>
      <c r="I42" s="351">
        <v>0</v>
      </c>
      <c r="J42" s="351">
        <v>0</v>
      </c>
      <c r="K42" s="350">
        <f>+SUMIF('Monthly Detail'!$4:$4, 'Sensitivity Analysis'!K$14,'Monthly Detail'!74:74)</f>
        <v>0</v>
      </c>
      <c r="L42" s="350">
        <v>0</v>
      </c>
      <c r="M42" s="350">
        <v>0</v>
      </c>
      <c r="N42" s="350">
        <v>0</v>
      </c>
      <c r="O42" s="350">
        <v>0</v>
      </c>
      <c r="P42" s="350">
        <f>+SUMIF('Monthly Detail'!$4:$4, 'Sensitivity Analysis'!$B$14,'Monthly Detail'!78:78)</f>
        <v>0</v>
      </c>
      <c r="Q42" s="350">
        <v>350</v>
      </c>
      <c r="R42" s="350">
        <v>850</v>
      </c>
      <c r="S42" s="350">
        <v>375</v>
      </c>
      <c r="T42" s="350"/>
      <c r="U42" s="350"/>
      <c r="V42" s="350">
        <v>2500</v>
      </c>
      <c r="W42" s="350">
        <v>2500</v>
      </c>
      <c r="X42" s="350">
        <v>2500</v>
      </c>
      <c r="Y42" s="350">
        <v>2500</v>
      </c>
      <c r="Z42" s="350">
        <v>2500</v>
      </c>
      <c r="AA42" s="350">
        <v>2500</v>
      </c>
      <c r="AB42" s="350">
        <v>2500</v>
      </c>
      <c r="AD42" s="492">
        <f t="shared" si="2"/>
        <v>0</v>
      </c>
      <c r="AE42" s="349">
        <f t="shared" si="3"/>
        <v>-2500</v>
      </c>
    </row>
    <row r="43" spans="2:31" x14ac:dyDescent="0.3">
      <c r="B43" s="662" t="s">
        <v>324</v>
      </c>
      <c r="C43" s="663"/>
      <c r="E43" s="352"/>
      <c r="F43" s="351">
        <v>0</v>
      </c>
      <c r="G43" s="351">
        <v>31.199999999999974</v>
      </c>
      <c r="H43" s="351">
        <v>0</v>
      </c>
      <c r="I43" s="351">
        <v>0</v>
      </c>
      <c r="J43" s="351">
        <v>0</v>
      </c>
      <c r="K43" s="350">
        <f>+SUMIF('Monthly Detail'!$4:$4, 'Sensitivity Analysis'!K$14,'Monthly Detail'!75:75)</f>
        <v>0</v>
      </c>
      <c r="L43" s="350">
        <v>0</v>
      </c>
      <c r="M43" s="350">
        <v>0</v>
      </c>
      <c r="N43" s="350">
        <v>0</v>
      </c>
      <c r="O43" s="350">
        <v>0</v>
      </c>
      <c r="P43" s="350">
        <f>+SUMIF('Monthly Detail'!$4:$4, 'Sensitivity Analysis'!$B$14,'Monthly Detail'!58:58)</f>
        <v>0</v>
      </c>
      <c r="Q43" s="350"/>
      <c r="R43" s="350"/>
      <c r="S43" s="350"/>
      <c r="T43" s="350"/>
      <c r="U43" s="350"/>
      <c r="V43" s="350">
        <v>0</v>
      </c>
      <c r="W43" s="350">
        <v>14.438095238095272</v>
      </c>
      <c r="X43" s="350">
        <v>112.83047619047615</v>
      </c>
      <c r="Y43" s="350">
        <v>0</v>
      </c>
      <c r="Z43" s="350">
        <v>0</v>
      </c>
      <c r="AA43" s="350">
        <v>0</v>
      </c>
      <c r="AB43" s="350">
        <v>0</v>
      </c>
      <c r="AD43" s="492">
        <f t="shared" si="2"/>
        <v>0</v>
      </c>
      <c r="AE43" s="349">
        <f t="shared" si="3"/>
        <v>0</v>
      </c>
    </row>
    <row r="44" spans="2:31" x14ac:dyDescent="0.3">
      <c r="B44" s="664" t="s">
        <v>359</v>
      </c>
      <c r="C44" s="665"/>
      <c r="E44" s="352"/>
      <c r="F44" s="351"/>
      <c r="G44" s="351"/>
      <c r="H44" s="351">
        <v>0</v>
      </c>
      <c r="I44" s="351">
        <v>0</v>
      </c>
      <c r="J44" s="351">
        <v>0</v>
      </c>
      <c r="K44" s="350">
        <f>+SUMIF('Monthly Detail'!$4:$4, 'Sensitivity Analysis'!K$14,'Monthly Detail'!76:76)</f>
        <v>0</v>
      </c>
      <c r="L44" s="350">
        <v>0</v>
      </c>
      <c r="M44" s="350">
        <v>0</v>
      </c>
      <c r="N44" s="350">
        <v>0</v>
      </c>
      <c r="O44" s="350">
        <v>0</v>
      </c>
      <c r="P44" s="350">
        <f>+SUMIF('Monthly Detail'!$4:$4, 'Sensitivity Analysis'!$B$14,'Monthly Detail'!79:79)</f>
        <v>0</v>
      </c>
      <c r="Q44" s="350"/>
      <c r="R44" s="350"/>
      <c r="S44" s="350"/>
      <c r="T44" s="350"/>
      <c r="U44" s="350"/>
      <c r="V44" s="350">
        <v>0</v>
      </c>
      <c r="W44" s="350">
        <v>14.438095238095272</v>
      </c>
      <c r="X44" s="350">
        <v>50</v>
      </c>
      <c r="Y44" s="350">
        <v>0</v>
      </c>
      <c r="Z44" s="350">
        <v>0</v>
      </c>
      <c r="AA44" s="350">
        <v>0</v>
      </c>
      <c r="AB44" s="350">
        <v>0</v>
      </c>
      <c r="AD44" s="492">
        <f t="shared" si="2"/>
        <v>0</v>
      </c>
      <c r="AE44" s="349">
        <f t="shared" si="3"/>
        <v>0</v>
      </c>
    </row>
    <row r="45" spans="2:31" x14ac:dyDescent="0.3">
      <c r="B45" s="654" t="s">
        <v>5</v>
      </c>
      <c r="C45" s="655"/>
      <c r="D45" s="5"/>
      <c r="E45" s="348"/>
      <c r="F45" s="347">
        <v>1900.4968253968254</v>
      </c>
      <c r="G45" s="347">
        <v>3475.5994494905835</v>
      </c>
      <c r="H45" s="347">
        <v>1213.3948439540698</v>
      </c>
      <c r="I45" s="347">
        <v>1155.0046398074116</v>
      </c>
      <c r="J45" s="347">
        <v>1101.6500077899589</v>
      </c>
      <c r="K45" s="346" t="e">
        <f>SUM(K35:K43)</f>
        <v>#REF!</v>
      </c>
      <c r="L45" s="346">
        <v>585.07000000000005</v>
      </c>
      <c r="M45" s="346">
        <v>1356.68</v>
      </c>
      <c r="N45" s="346">
        <v>943.14</v>
      </c>
      <c r="O45" s="346">
        <v>943.14</v>
      </c>
      <c r="P45" s="346">
        <f>SUM(P34:P44)</f>
        <v>848.44</v>
      </c>
      <c r="Q45" s="346">
        <f t="shared" ref="Q45:AB45" si="4">SUM(Q34:Q43)</f>
        <v>571.14</v>
      </c>
      <c r="R45" s="346">
        <f t="shared" si="4"/>
        <v>1133.8699999999999</v>
      </c>
      <c r="S45" s="346">
        <f t="shared" si="4"/>
        <v>1572.06</v>
      </c>
      <c r="T45" s="346">
        <f t="shared" si="4"/>
        <v>1064.21</v>
      </c>
      <c r="U45" s="346">
        <f t="shared" si="4"/>
        <v>1032.8699999999999</v>
      </c>
      <c r="V45" s="346">
        <f t="shared" si="4"/>
        <v>3287.01</v>
      </c>
      <c r="W45" s="346">
        <f t="shared" si="4"/>
        <v>3551.4480952380954</v>
      </c>
      <c r="X45" s="346">
        <f t="shared" si="4"/>
        <v>3899.8404761904762</v>
      </c>
      <c r="Y45" s="346">
        <f t="shared" si="4"/>
        <v>4137.01</v>
      </c>
      <c r="Z45" s="346">
        <f t="shared" si="4"/>
        <v>3987.01</v>
      </c>
      <c r="AA45" s="346">
        <f t="shared" si="4"/>
        <v>3987.01</v>
      </c>
      <c r="AB45" s="346">
        <f t="shared" si="4"/>
        <v>4137.01</v>
      </c>
      <c r="AD45" s="498">
        <f t="shared" si="2"/>
        <v>-253.21000778995881</v>
      </c>
      <c r="AE45" s="345">
        <f t="shared" si="3"/>
        <v>-3138.57</v>
      </c>
    </row>
    <row r="46" spans="2:31" x14ac:dyDescent="0.3">
      <c r="B46" s="656" t="s">
        <v>6</v>
      </c>
      <c r="C46" s="657"/>
      <c r="E46" s="355"/>
      <c r="F46" s="354">
        <v>3557.677777777777</v>
      </c>
      <c r="G46" s="354">
        <v>5029.4005505094165</v>
      </c>
      <c r="H46" s="354">
        <v>4525.1765846173594</v>
      </c>
      <c r="I46" s="354">
        <v>714.99536019258835</v>
      </c>
      <c r="J46" s="354">
        <v>3565.8499922100409</v>
      </c>
      <c r="K46" s="353" t="e">
        <f>+K16-K45</f>
        <v>#REF!</v>
      </c>
      <c r="L46" s="353">
        <v>3359.93</v>
      </c>
      <c r="M46" s="353">
        <v>3386.26</v>
      </c>
      <c r="N46" s="353">
        <v>761.86</v>
      </c>
      <c r="O46" s="353">
        <v>761.86</v>
      </c>
      <c r="P46" s="353">
        <f>+P16-P45</f>
        <v>-38.440000000000055</v>
      </c>
      <c r="Q46" s="353">
        <f t="shared" ref="Q46:AB46" si="5">+Q16-Q45</f>
        <v>-571.14</v>
      </c>
      <c r="R46" s="353">
        <f t="shared" si="5"/>
        <v>-1133.8699999999999</v>
      </c>
      <c r="S46" s="353">
        <f t="shared" si="5"/>
        <v>-1572.06</v>
      </c>
      <c r="T46" s="353">
        <f t="shared" si="5"/>
        <v>-1064.21</v>
      </c>
      <c r="U46" s="353">
        <f t="shared" si="5"/>
        <v>1697.13</v>
      </c>
      <c r="V46" s="353">
        <f t="shared" si="5"/>
        <v>2171.1646031746022</v>
      </c>
      <c r="W46" s="353">
        <f t="shared" si="5"/>
        <v>6006.0915873015865</v>
      </c>
      <c r="X46" s="353">
        <f t="shared" si="5"/>
        <v>6846.1912698412689</v>
      </c>
      <c r="Y46" s="353">
        <f t="shared" si="5"/>
        <v>999.81539682539733</v>
      </c>
      <c r="Z46" s="353">
        <f t="shared" si="5"/>
        <v>1582.4503174603178</v>
      </c>
      <c r="AA46" s="353">
        <f t="shared" si="5"/>
        <v>964.55825396825458</v>
      </c>
      <c r="AB46" s="353">
        <f t="shared" si="5"/>
        <v>2604.2446031746031</v>
      </c>
      <c r="AD46" s="492">
        <f t="shared" si="2"/>
        <v>-3604.289992210041</v>
      </c>
      <c r="AE46" s="492">
        <f t="shared" si="3"/>
        <v>-1620.8903174603179</v>
      </c>
    </row>
    <row r="47" spans="2:31" x14ac:dyDescent="0.3">
      <c r="B47" s="658" t="s">
        <v>249</v>
      </c>
      <c r="C47" s="659"/>
      <c r="D47" s="337"/>
      <c r="E47" s="340"/>
      <c r="F47" s="500">
        <v>0.65180724993820249</v>
      </c>
      <c r="G47" s="500">
        <v>0.59134633162956107</v>
      </c>
      <c r="H47" s="500">
        <v>0.78855454548970649</v>
      </c>
      <c r="I47" s="500">
        <v>0.38235045999603656</v>
      </c>
      <c r="J47" s="500">
        <v>0.76397428863632366</v>
      </c>
      <c r="K47" s="338"/>
      <c r="L47" s="501">
        <v>0.85169328263624833</v>
      </c>
      <c r="M47" s="501">
        <v>0.71395800916730967</v>
      </c>
      <c r="N47" s="501">
        <v>0.44683870967741934</v>
      </c>
      <c r="O47" s="501">
        <v>0.44683870967741934</v>
      </c>
      <c r="P47" s="501">
        <f>+P46/P16</f>
        <v>-4.7456790123456855E-2</v>
      </c>
      <c r="Q47" s="501" t="e">
        <f t="shared" ref="Q47:AB47" si="6">+Q46/Q16</f>
        <v>#DIV/0!</v>
      </c>
      <c r="R47" s="501" t="e">
        <f t="shared" si="6"/>
        <v>#DIV/0!</v>
      </c>
      <c r="S47" s="501" t="e">
        <f t="shared" si="6"/>
        <v>#DIV/0!</v>
      </c>
      <c r="T47" s="501" t="e">
        <f t="shared" si="6"/>
        <v>#DIV/0!</v>
      </c>
      <c r="U47" s="501">
        <f t="shared" si="6"/>
        <v>0.6216593406593407</v>
      </c>
      <c r="V47" s="501">
        <f t="shared" si="6"/>
        <v>0.39778218196094384</v>
      </c>
      <c r="W47" s="501">
        <f t="shared" si="6"/>
        <v>0.62841398380734892</v>
      </c>
      <c r="X47" s="501">
        <f t="shared" si="6"/>
        <v>0.63709017725258488</v>
      </c>
      <c r="Y47" s="501">
        <f t="shared" si="6"/>
        <v>0.1946368271429455</v>
      </c>
      <c r="Z47" s="501">
        <f t="shared" si="6"/>
        <v>0.28412992054172986</v>
      </c>
      <c r="AA47" s="501">
        <f t="shared" si="6"/>
        <v>0.19479853745229994</v>
      </c>
      <c r="AB47" s="501">
        <f t="shared" si="6"/>
        <v>0.38631452993159576</v>
      </c>
      <c r="AC47" s="337"/>
      <c r="AD47" s="502">
        <f t="shared" si="2"/>
        <v>-0.81143107875978049</v>
      </c>
      <c r="AE47" s="502">
        <f t="shared" si="3"/>
        <v>-0.33158671066518675</v>
      </c>
    </row>
    <row r="48" spans="2:31" hidden="1" x14ac:dyDescent="0.3">
      <c r="B48" s="664" t="s">
        <v>8</v>
      </c>
      <c r="C48" s="665"/>
      <c r="E48" s="352"/>
      <c r="F48" s="351">
        <v>0</v>
      </c>
      <c r="G48" s="351">
        <v>0</v>
      </c>
      <c r="H48" s="351">
        <v>0</v>
      </c>
      <c r="I48" s="351">
        <v>0</v>
      </c>
      <c r="J48" s="351">
        <v>0</v>
      </c>
      <c r="K48" s="350">
        <f>+SUMIF('Monthly Detail'!$4:$4, 'Sensitivity Analysis'!K$14,'Monthly Detail'!90:90)</f>
        <v>0</v>
      </c>
      <c r="L48" s="350">
        <v>0</v>
      </c>
      <c r="M48" s="350">
        <v>0</v>
      </c>
      <c r="N48" s="350">
        <v>0</v>
      </c>
      <c r="O48" s="350">
        <v>0</v>
      </c>
      <c r="P48" s="350">
        <f>+SUMIF('Monthly Detail'!$4:$4, 'Sensitivity Analysis'!$B$14,'Monthly Detail'!89:89)</f>
        <v>0</v>
      </c>
      <c r="Q48" s="350">
        <v>0</v>
      </c>
      <c r="R48" s="350">
        <v>0</v>
      </c>
      <c r="S48" s="350">
        <v>0</v>
      </c>
      <c r="T48" s="350">
        <v>0</v>
      </c>
      <c r="U48" s="350">
        <v>0</v>
      </c>
      <c r="V48" s="350">
        <v>0</v>
      </c>
      <c r="W48" s="350">
        <v>0</v>
      </c>
      <c r="X48" s="350">
        <v>0</v>
      </c>
      <c r="Y48" s="350">
        <v>0</v>
      </c>
      <c r="Z48" s="350">
        <v>0</v>
      </c>
      <c r="AA48" s="350">
        <v>0</v>
      </c>
      <c r="AB48" s="350">
        <v>0</v>
      </c>
      <c r="AD48" s="349">
        <f t="shared" si="2"/>
        <v>0</v>
      </c>
      <c r="AE48" s="349">
        <f t="shared" si="3"/>
        <v>0</v>
      </c>
    </row>
    <row r="49" spans="2:31" hidden="1" x14ac:dyDescent="0.3">
      <c r="B49" s="654" t="s">
        <v>9</v>
      </c>
      <c r="C49" s="655"/>
      <c r="D49" s="5"/>
      <c r="E49" s="348"/>
      <c r="F49" s="347">
        <v>0</v>
      </c>
      <c r="G49" s="347">
        <v>0</v>
      </c>
      <c r="H49" s="347">
        <v>0</v>
      </c>
      <c r="I49" s="347">
        <v>0</v>
      </c>
      <c r="J49" s="347">
        <v>0</v>
      </c>
      <c r="K49" s="346">
        <f t="shared" ref="K49:K50" si="7">+K48</f>
        <v>0</v>
      </c>
      <c r="L49" s="346">
        <v>0</v>
      </c>
      <c r="M49" s="346">
        <v>0</v>
      </c>
      <c r="N49" s="346">
        <v>0</v>
      </c>
      <c r="O49" s="346">
        <v>0</v>
      </c>
      <c r="P49" s="346">
        <f t="shared" ref="P49" si="8">+P48</f>
        <v>0</v>
      </c>
      <c r="Q49" s="346">
        <f t="shared" ref="Q49:AB49" si="9">+Q48</f>
        <v>0</v>
      </c>
      <c r="R49" s="346">
        <f t="shared" si="9"/>
        <v>0</v>
      </c>
      <c r="S49" s="346">
        <f t="shared" si="9"/>
        <v>0</v>
      </c>
      <c r="T49" s="346">
        <f t="shared" si="9"/>
        <v>0</v>
      </c>
      <c r="U49" s="346">
        <f t="shared" si="9"/>
        <v>0</v>
      </c>
      <c r="V49" s="346">
        <f t="shared" si="9"/>
        <v>0</v>
      </c>
      <c r="W49" s="346">
        <f t="shared" si="9"/>
        <v>0</v>
      </c>
      <c r="X49" s="346">
        <f t="shared" si="9"/>
        <v>0</v>
      </c>
      <c r="Y49" s="346">
        <f t="shared" si="9"/>
        <v>0</v>
      </c>
      <c r="Z49" s="346">
        <f t="shared" si="9"/>
        <v>0</v>
      </c>
      <c r="AA49" s="346">
        <f t="shared" si="9"/>
        <v>0</v>
      </c>
      <c r="AB49" s="346">
        <f t="shared" si="9"/>
        <v>0</v>
      </c>
      <c r="AD49" s="345">
        <f t="shared" si="2"/>
        <v>0</v>
      </c>
      <c r="AE49" s="345">
        <f t="shared" si="3"/>
        <v>0</v>
      </c>
    </row>
    <row r="50" spans="2:31" hidden="1" x14ac:dyDescent="0.3">
      <c r="B50" s="656" t="s">
        <v>10</v>
      </c>
      <c r="C50" s="657"/>
      <c r="D50" s="3"/>
      <c r="E50" s="344"/>
      <c r="F50" s="343">
        <v>0</v>
      </c>
      <c r="G50" s="343">
        <v>0</v>
      </c>
      <c r="H50" s="343">
        <v>0</v>
      </c>
      <c r="I50" s="343">
        <v>0</v>
      </c>
      <c r="J50" s="343">
        <v>0</v>
      </c>
      <c r="K50" s="342">
        <f t="shared" si="7"/>
        <v>0</v>
      </c>
      <c r="L50" s="342">
        <v>0</v>
      </c>
      <c r="M50" s="342">
        <v>0</v>
      </c>
      <c r="N50" s="342">
        <v>0</v>
      </c>
      <c r="O50" s="342">
        <v>0</v>
      </c>
      <c r="P50" s="342">
        <f t="shared" ref="P50" si="10">+P49</f>
        <v>0</v>
      </c>
      <c r="Q50" s="342">
        <f t="shared" ref="Q50:AB50" si="11">+Q49</f>
        <v>0</v>
      </c>
      <c r="R50" s="342">
        <f t="shared" si="11"/>
        <v>0</v>
      </c>
      <c r="S50" s="342">
        <f t="shared" si="11"/>
        <v>0</v>
      </c>
      <c r="T50" s="342">
        <f t="shared" si="11"/>
        <v>0</v>
      </c>
      <c r="U50" s="342">
        <f t="shared" si="11"/>
        <v>0</v>
      </c>
      <c r="V50" s="342">
        <f t="shared" si="11"/>
        <v>0</v>
      </c>
      <c r="W50" s="342">
        <f t="shared" si="11"/>
        <v>0</v>
      </c>
      <c r="X50" s="342">
        <f t="shared" si="11"/>
        <v>0</v>
      </c>
      <c r="Y50" s="342">
        <f t="shared" si="11"/>
        <v>0</v>
      </c>
      <c r="Z50" s="342">
        <f t="shared" si="11"/>
        <v>0</v>
      </c>
      <c r="AA50" s="342">
        <f t="shared" si="11"/>
        <v>0</v>
      </c>
      <c r="AB50" s="342">
        <f t="shared" si="11"/>
        <v>0</v>
      </c>
      <c r="AD50" s="341">
        <f t="shared" si="2"/>
        <v>0</v>
      </c>
      <c r="AE50" s="341">
        <f t="shared" si="3"/>
        <v>0</v>
      </c>
    </row>
    <row r="51" spans="2:31" x14ac:dyDescent="0.3">
      <c r="B51" s="658" t="s">
        <v>248</v>
      </c>
      <c r="C51" s="659"/>
      <c r="D51" s="337"/>
      <c r="E51" s="340"/>
      <c r="F51" s="339">
        <v>2490.3744444444437</v>
      </c>
      <c r="G51" s="339">
        <v>3345.5803853565913</v>
      </c>
      <c r="H51" s="339">
        <v>2992.6236092321515</v>
      </c>
      <c r="I51" s="339">
        <v>150.49675213481183</v>
      </c>
      <c r="J51" s="339">
        <v>-2146.0949945470302</v>
      </c>
      <c r="K51" s="338"/>
      <c r="L51" s="338">
        <v>2205.59</v>
      </c>
      <c r="M51" s="338">
        <v>2421.5500000000011</v>
      </c>
      <c r="N51" s="338">
        <v>642.97999999999956</v>
      </c>
      <c r="O51" s="338">
        <v>642.97999999999956</v>
      </c>
      <c r="P51" s="338">
        <f>-SUMIF('Monthly Detail'!$4:$4, 'Sensitivity Analysis'!$B$14,'Monthly Detail'!132:132)</f>
        <v>-217.77000000000044</v>
      </c>
      <c r="Q51" s="338">
        <v>1907.08</v>
      </c>
      <c r="R51" s="338">
        <v>5195.53</v>
      </c>
      <c r="S51" s="338">
        <v>1858.4100000000008</v>
      </c>
      <c r="T51" s="338">
        <v>893.65999999999985</v>
      </c>
      <c r="U51" s="338">
        <v>890.77999999999884</v>
      </c>
      <c r="V51" s="338">
        <v>1519.8152222222216</v>
      </c>
      <c r="W51" s="338">
        <v>4204.2641111111107</v>
      </c>
      <c r="X51" s="338">
        <v>4792.3338888888875</v>
      </c>
      <c r="Y51" s="338">
        <v>699.87077777777813</v>
      </c>
      <c r="Z51" s="338">
        <v>-1107.7152222222201</v>
      </c>
      <c r="AA51" s="338">
        <v>675.19077777777818</v>
      </c>
      <c r="AB51" s="338">
        <v>1822.971222222222</v>
      </c>
      <c r="AC51" s="337"/>
      <c r="AD51" s="499">
        <f t="shared" si="2"/>
        <v>1928.3249945470297</v>
      </c>
      <c r="AE51" s="499">
        <f t="shared" si="3"/>
        <v>889.94522222221963</v>
      </c>
    </row>
    <row r="52" spans="2:31" ht="15" thickBot="1" x14ac:dyDescent="0.35">
      <c r="B52" s="660" t="s">
        <v>11</v>
      </c>
      <c r="C52" s="661"/>
      <c r="D52" s="172"/>
      <c r="E52" s="336"/>
      <c r="F52" s="335">
        <v>3557.677777777777</v>
      </c>
      <c r="G52" s="335">
        <v>5029.4005505094165</v>
      </c>
      <c r="H52" s="335">
        <v>4525.1765846173594</v>
      </c>
      <c r="I52" s="335">
        <v>714.99536019258835</v>
      </c>
      <c r="J52" s="335">
        <v>3565.8499922100409</v>
      </c>
      <c r="K52" s="334" t="e">
        <f t="shared" ref="K52:AB52" si="12">+K50+K46</f>
        <v>#REF!</v>
      </c>
      <c r="L52" s="334">
        <v>3359.93</v>
      </c>
      <c r="M52" s="334">
        <v>3386.26</v>
      </c>
      <c r="N52" s="334">
        <v>761.86</v>
      </c>
      <c r="O52" s="334">
        <v>761.86</v>
      </c>
      <c r="P52" s="334">
        <f t="shared" ref="P52" si="13">+P50+P46</f>
        <v>-38.440000000000055</v>
      </c>
      <c r="Q52" s="334">
        <f t="shared" si="12"/>
        <v>-571.14</v>
      </c>
      <c r="R52" s="334">
        <f t="shared" si="12"/>
        <v>-1133.8699999999999</v>
      </c>
      <c r="S52" s="334">
        <f t="shared" si="12"/>
        <v>-1572.06</v>
      </c>
      <c r="T52" s="334">
        <f t="shared" si="12"/>
        <v>-1064.21</v>
      </c>
      <c r="U52" s="334">
        <f t="shared" si="12"/>
        <v>1697.13</v>
      </c>
      <c r="V52" s="334">
        <f t="shared" si="12"/>
        <v>2171.1646031746022</v>
      </c>
      <c r="W52" s="334">
        <f t="shared" si="12"/>
        <v>6006.0915873015865</v>
      </c>
      <c r="X52" s="334">
        <f t="shared" si="12"/>
        <v>6846.1912698412689</v>
      </c>
      <c r="Y52" s="334">
        <f t="shared" si="12"/>
        <v>999.81539682539733</v>
      </c>
      <c r="Z52" s="334">
        <f t="shared" si="12"/>
        <v>1582.4503174603178</v>
      </c>
      <c r="AA52" s="334">
        <f t="shared" si="12"/>
        <v>964.55825396825458</v>
      </c>
      <c r="AB52" s="334">
        <f t="shared" si="12"/>
        <v>2604.2446031746031</v>
      </c>
      <c r="AD52" s="333">
        <f t="shared" si="2"/>
        <v>-3604.289992210041</v>
      </c>
      <c r="AE52" s="333">
        <f t="shared" si="3"/>
        <v>-1620.8903174603179</v>
      </c>
    </row>
    <row r="53" spans="2:31" ht="15" thickTop="1" x14ac:dyDescent="0.3"/>
    <row r="54" spans="2:31" x14ac:dyDescent="0.3">
      <c r="B54" s="332"/>
      <c r="C54" s="332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D54" s="331"/>
      <c r="AE54" s="331"/>
    </row>
  </sheetData>
  <mergeCells count="24">
    <mergeCell ref="B42:C42"/>
    <mergeCell ref="B14:AE14"/>
    <mergeCell ref="B16:C16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7:B31"/>
    <mergeCell ref="B17:B24"/>
    <mergeCell ref="B49:C49"/>
    <mergeCell ref="B50:C50"/>
    <mergeCell ref="B51:C51"/>
    <mergeCell ref="B52:C52"/>
    <mergeCell ref="B43:C43"/>
    <mergeCell ref="B45:C45"/>
    <mergeCell ref="B46:C46"/>
    <mergeCell ref="B47:C47"/>
    <mergeCell ref="B48:C48"/>
    <mergeCell ref="B44:C44"/>
  </mergeCells>
  <pageMargins left="0.7" right="0.7" top="0.75" bottom="0.75" header="0.3" footer="0.3"/>
  <pageSetup scale="58" fitToWidth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3AA7-7BCC-44D6-8871-7998465A90CA}">
  <sheetPr>
    <tabColor theme="5"/>
  </sheetPr>
  <dimension ref="A2:CK29"/>
  <sheetViews>
    <sheetView showGridLines="0" zoomScale="70" zoomScaleNormal="100" workbookViewId="0">
      <selection activeCell="D8" sqref="D8"/>
    </sheetView>
  </sheetViews>
  <sheetFormatPr defaultRowHeight="14.4" x14ac:dyDescent="0.3"/>
  <cols>
    <col min="1" max="1" width="10.5546875" bestFit="1" customWidth="1"/>
    <col min="2" max="2" width="23.5546875" bestFit="1" customWidth="1"/>
    <col min="3" max="3" width="0.6640625" customWidth="1"/>
    <col min="4" max="4" width="52" customWidth="1"/>
    <col min="5" max="5" width="0.6640625" hidden="1" customWidth="1"/>
    <col min="6" max="6" width="10.6640625" bestFit="1" customWidth="1"/>
    <col min="7" max="7" width="12.6640625" bestFit="1" customWidth="1"/>
    <col min="8" max="8" width="11.109375" bestFit="1" customWidth="1"/>
    <col min="9" max="10" width="12.33203125" bestFit="1" customWidth="1"/>
    <col min="11" max="11" width="13" bestFit="1" customWidth="1"/>
    <col min="12" max="14" width="12.33203125" bestFit="1" customWidth="1"/>
    <col min="15" max="17" width="11.88671875" bestFit="1" customWidth="1"/>
    <col min="18" max="24" width="11.109375" bestFit="1" customWidth="1"/>
    <col min="25" max="26" width="6.33203125" bestFit="1" customWidth="1"/>
    <col min="27" max="30" width="11.109375" bestFit="1" customWidth="1"/>
    <col min="31" max="33" width="6.33203125" bestFit="1" customWidth="1"/>
    <col min="34" max="37" width="11.109375" bestFit="1" customWidth="1"/>
    <col min="38" max="39" width="6.33203125" bestFit="1" customWidth="1"/>
    <col min="40" max="43" width="11.109375" bestFit="1" customWidth="1"/>
    <col min="44" max="45" width="6.33203125" bestFit="1" customWidth="1"/>
    <col min="46" max="49" width="11.109375" bestFit="1" customWidth="1"/>
    <col min="50" max="51" width="6.33203125" bestFit="1" customWidth="1"/>
    <col min="52" max="55" width="11.109375" bestFit="1" customWidth="1"/>
    <col min="56" max="58" width="6.33203125" bestFit="1" customWidth="1"/>
    <col min="59" max="62" width="11.109375" bestFit="1" customWidth="1"/>
    <col min="63" max="64" width="6.33203125" bestFit="1" customWidth="1"/>
    <col min="65" max="68" width="11.109375" bestFit="1" customWidth="1"/>
    <col min="69" max="70" width="6.33203125" bestFit="1" customWidth="1"/>
    <col min="71" max="74" width="11.109375" bestFit="1" customWidth="1"/>
    <col min="75" max="76" width="6.33203125" bestFit="1" customWidth="1"/>
    <col min="77" max="80" width="11.109375" bestFit="1" customWidth="1"/>
    <col min="81" max="83" width="6.33203125" bestFit="1" customWidth="1"/>
    <col min="84" max="87" width="11.109375" bestFit="1" customWidth="1"/>
    <col min="88" max="89" width="6.33203125" bestFit="1" customWidth="1"/>
  </cols>
  <sheetData>
    <row r="2" spans="1:89" s="248" customFormat="1" x14ac:dyDescent="0.3">
      <c r="A2" s="253" t="s">
        <v>231</v>
      </c>
      <c r="B2" s="254" t="s">
        <v>232</v>
      </c>
      <c r="C2" s="254"/>
      <c r="D2" s="255" t="s">
        <v>275</v>
      </c>
      <c r="E2" s="5"/>
      <c r="F2" s="250">
        <v>45322</v>
      </c>
      <c r="G2" s="251">
        <v>45351</v>
      </c>
      <c r="H2" s="251">
        <v>45382</v>
      </c>
      <c r="I2" s="251">
        <v>45412</v>
      </c>
      <c r="J2" s="251">
        <v>45443</v>
      </c>
      <c r="K2" s="251">
        <v>45473</v>
      </c>
      <c r="L2" s="251">
        <v>45504</v>
      </c>
      <c r="M2" s="251">
        <v>45535</v>
      </c>
      <c r="N2" s="251">
        <v>45565</v>
      </c>
      <c r="O2" s="252">
        <v>45596</v>
      </c>
      <c r="P2" s="251">
        <v>45626</v>
      </c>
      <c r="Q2" s="251">
        <v>45657</v>
      </c>
      <c r="R2" s="251">
        <v>45688</v>
      </c>
      <c r="S2" s="251">
        <v>45716</v>
      </c>
      <c r="T2" s="251">
        <v>45747</v>
      </c>
      <c r="U2" s="251">
        <v>45777</v>
      </c>
      <c r="V2" s="251">
        <v>45808</v>
      </c>
      <c r="W2" s="251">
        <v>45838</v>
      </c>
      <c r="X2" s="251">
        <v>45869</v>
      </c>
      <c r="Y2" s="251">
        <v>45900</v>
      </c>
      <c r="Z2" s="251">
        <v>45930</v>
      </c>
      <c r="AA2" s="251">
        <v>45961</v>
      </c>
      <c r="AB2" s="251">
        <v>45991</v>
      </c>
      <c r="AC2" s="251">
        <v>46022</v>
      </c>
      <c r="AD2" s="251">
        <v>46053</v>
      </c>
      <c r="AE2" s="251">
        <v>46081</v>
      </c>
      <c r="AF2" s="251">
        <v>46112</v>
      </c>
      <c r="AG2" s="251">
        <v>46142</v>
      </c>
      <c r="AH2" s="251">
        <v>46173</v>
      </c>
      <c r="AI2" s="251">
        <v>46203</v>
      </c>
      <c r="AJ2" s="251">
        <v>46234</v>
      </c>
      <c r="AK2" s="251">
        <v>46265</v>
      </c>
      <c r="AL2" s="251">
        <v>46295</v>
      </c>
      <c r="AM2" s="251">
        <v>46326</v>
      </c>
      <c r="AN2" s="251">
        <v>46356</v>
      </c>
      <c r="AO2" s="251">
        <v>46387</v>
      </c>
      <c r="AP2" s="251">
        <v>46418</v>
      </c>
      <c r="AQ2" s="251">
        <v>46446</v>
      </c>
      <c r="AR2" s="251">
        <v>46477</v>
      </c>
      <c r="AS2" s="251">
        <v>46507</v>
      </c>
      <c r="AT2" s="251">
        <v>46538</v>
      </c>
      <c r="AU2" s="251">
        <v>46568</v>
      </c>
      <c r="AV2" s="251">
        <v>46599</v>
      </c>
      <c r="AW2" s="251">
        <v>46630</v>
      </c>
      <c r="AX2" s="251">
        <v>46660</v>
      </c>
      <c r="AY2" s="251">
        <v>46691</v>
      </c>
      <c r="AZ2" s="251">
        <v>46721</v>
      </c>
      <c r="BA2" s="251">
        <v>46752</v>
      </c>
      <c r="BB2" s="251">
        <v>46783</v>
      </c>
      <c r="BC2" s="251">
        <v>46812</v>
      </c>
      <c r="BD2" s="251">
        <v>46843</v>
      </c>
      <c r="BE2" s="251">
        <v>46873</v>
      </c>
      <c r="BF2" s="251">
        <v>46904</v>
      </c>
      <c r="BG2" s="251">
        <v>46934</v>
      </c>
      <c r="BH2" s="251">
        <v>46965</v>
      </c>
      <c r="BI2" s="251">
        <v>46996</v>
      </c>
      <c r="BJ2" s="251">
        <v>47026</v>
      </c>
      <c r="BK2" s="251">
        <v>47057</v>
      </c>
      <c r="BL2" s="251">
        <v>47087</v>
      </c>
      <c r="BM2" s="251">
        <v>47118</v>
      </c>
      <c r="BN2" s="251">
        <v>47149</v>
      </c>
      <c r="BO2" s="251">
        <v>47177</v>
      </c>
      <c r="BP2" s="251">
        <v>47208</v>
      </c>
      <c r="BQ2" s="251">
        <v>47238</v>
      </c>
      <c r="BR2" s="251">
        <v>47269</v>
      </c>
      <c r="BS2" s="251">
        <v>47299</v>
      </c>
      <c r="BT2" s="251">
        <v>47330</v>
      </c>
      <c r="BU2" s="251">
        <v>47361</v>
      </c>
      <c r="BV2" s="251">
        <v>47391</v>
      </c>
      <c r="BW2" s="251">
        <v>47422</v>
      </c>
      <c r="BX2" s="251">
        <v>47452</v>
      </c>
      <c r="BY2" s="251">
        <v>47483</v>
      </c>
      <c r="BZ2" s="251">
        <v>47514</v>
      </c>
      <c r="CA2" s="251">
        <v>47542</v>
      </c>
      <c r="CB2" s="251">
        <v>47573</v>
      </c>
      <c r="CC2" s="251">
        <v>47603</v>
      </c>
      <c r="CD2" s="251">
        <v>47634</v>
      </c>
      <c r="CE2" s="251">
        <v>47664</v>
      </c>
      <c r="CF2" s="251">
        <v>47695</v>
      </c>
      <c r="CG2" s="251">
        <v>47726</v>
      </c>
      <c r="CH2" s="251">
        <v>47756</v>
      </c>
      <c r="CI2" s="251">
        <v>47787</v>
      </c>
      <c r="CJ2" s="251">
        <v>47817</v>
      </c>
      <c r="CK2" s="252">
        <v>47848</v>
      </c>
    </row>
    <row r="3" spans="1:89" ht="1.5" customHeight="1" x14ac:dyDescent="0.3">
      <c r="A3" s="253"/>
      <c r="B3" s="254"/>
      <c r="C3" s="254"/>
      <c r="D3" s="255"/>
      <c r="F3" s="241"/>
      <c r="O3" s="191"/>
      <c r="CK3" s="191"/>
    </row>
    <row r="4" spans="1:89" x14ac:dyDescent="0.3">
      <c r="A4" s="261">
        <v>150</v>
      </c>
      <c r="B4" s="262" t="s">
        <v>272</v>
      </c>
      <c r="C4" s="259"/>
      <c r="D4" s="431">
        <v>1</v>
      </c>
      <c r="F4" s="300">
        <f>+'Bookings by Service Type'!F15</f>
        <v>0</v>
      </c>
      <c r="G4" s="301">
        <f>+'Bookings by Service Type'!G15</f>
        <v>0</v>
      </c>
      <c r="H4" s="301">
        <f>+'Bookings by Service Type'!H15</f>
        <v>0</v>
      </c>
      <c r="I4" s="301">
        <f>+'Bookings by Service Type'!I15</f>
        <v>0</v>
      </c>
      <c r="J4" s="301">
        <f>+'Bookings by Service Type'!J15</f>
        <v>0</v>
      </c>
      <c r="K4" s="301">
        <f>+'Bookings by Service Type'!K15</f>
        <v>28</v>
      </c>
      <c r="L4" s="301">
        <f>+'Bookings by Service Type'!L15</f>
        <v>28</v>
      </c>
      <c r="M4" s="301">
        <f>+'Bookings by Service Type'!M15</f>
        <v>0</v>
      </c>
      <c r="N4" s="301">
        <f>+'Bookings by Service Type'!N15</f>
        <v>0</v>
      </c>
      <c r="O4" s="302">
        <f>+'Bookings by Service Type'!O15</f>
        <v>0</v>
      </c>
      <c r="P4" s="301">
        <f>+'Bookings by Service Type'!P15</f>
        <v>0</v>
      </c>
      <c r="Q4" s="301">
        <f>+'Bookings by Service Type'!Q15</f>
        <v>0</v>
      </c>
      <c r="R4" s="301">
        <f>+'Bookings by Service Type'!R15</f>
        <v>0</v>
      </c>
      <c r="S4" s="301">
        <f>+'Bookings by Service Type'!S15</f>
        <v>0</v>
      </c>
      <c r="T4" s="301">
        <f>+'Bookings by Service Type'!T15</f>
        <v>0</v>
      </c>
      <c r="U4" s="301">
        <f>+'Bookings by Service Type'!U15</f>
        <v>0</v>
      </c>
      <c r="V4" s="301">
        <f>+'Bookings by Service Type'!V15</f>
        <v>0</v>
      </c>
      <c r="W4" s="301">
        <f>+'Bookings by Service Type'!W15</f>
        <v>97.3</v>
      </c>
      <c r="X4" s="301">
        <f>+'Bookings by Service Type'!X15</f>
        <v>102.19999999999999</v>
      </c>
      <c r="Y4" s="301">
        <f>+'Bookings by Service Type'!Y15</f>
        <v>0</v>
      </c>
      <c r="Z4" s="301">
        <f>+'Bookings by Service Type'!Z15</f>
        <v>0</v>
      </c>
      <c r="AA4" s="301">
        <f>+'Bookings by Service Type'!AA15</f>
        <v>0</v>
      </c>
      <c r="AB4" s="301">
        <f>+'Bookings by Service Type'!AB15</f>
        <v>0</v>
      </c>
      <c r="AC4" s="301">
        <f>+'Bookings by Service Type'!AC15</f>
        <v>0</v>
      </c>
      <c r="AD4" s="301">
        <f>+'Bookings by Service Type'!AD15</f>
        <v>0</v>
      </c>
      <c r="AE4" s="301">
        <f>+'Bookings by Service Type'!AE15</f>
        <v>0</v>
      </c>
      <c r="AF4" s="301">
        <f>+'Bookings by Service Type'!AF15</f>
        <v>0</v>
      </c>
      <c r="AG4" s="301">
        <f>+'Bookings by Service Type'!AG15</f>
        <v>0</v>
      </c>
      <c r="AH4" s="301">
        <f>+'Bookings by Service Type'!AH15</f>
        <v>0</v>
      </c>
      <c r="AI4" s="301">
        <f>+'Bookings by Service Type'!AI15</f>
        <v>123.19999999999999</v>
      </c>
      <c r="AJ4" s="301">
        <f>+'Bookings by Service Type'!AJ15</f>
        <v>129.5</v>
      </c>
      <c r="AK4" s="301">
        <f>+'Bookings by Service Type'!AK15</f>
        <v>0</v>
      </c>
      <c r="AL4" s="301">
        <f>+'Bookings by Service Type'!AL15</f>
        <v>0</v>
      </c>
      <c r="AM4" s="301">
        <f>+'Bookings by Service Type'!AM15</f>
        <v>0</v>
      </c>
      <c r="AN4" s="301">
        <f>+'Bookings by Service Type'!AN15</f>
        <v>0</v>
      </c>
      <c r="AO4" s="301">
        <f>+'Bookings by Service Type'!AO15</f>
        <v>0</v>
      </c>
      <c r="AP4" s="301">
        <f>+'Bookings by Service Type'!AP15</f>
        <v>0</v>
      </c>
      <c r="AQ4" s="301">
        <f>+'Bookings by Service Type'!AQ15</f>
        <v>0</v>
      </c>
      <c r="AR4" s="301">
        <f>+'Bookings by Service Type'!AR15</f>
        <v>0</v>
      </c>
      <c r="AS4" s="301">
        <f>+'Bookings by Service Type'!AS15</f>
        <v>0</v>
      </c>
      <c r="AT4" s="301">
        <f>+'Bookings by Service Type'!AT15</f>
        <v>0</v>
      </c>
      <c r="AU4" s="301">
        <f>+'Bookings by Service Type'!AU15</f>
        <v>156.1</v>
      </c>
      <c r="AV4" s="301">
        <f>+'Bookings by Service Type'!AV15</f>
        <v>163.79999999999998</v>
      </c>
      <c r="AW4" s="301">
        <f>+'Bookings by Service Type'!AW15</f>
        <v>0</v>
      </c>
      <c r="AX4" s="301">
        <f>+'Bookings by Service Type'!AX15</f>
        <v>0</v>
      </c>
      <c r="AY4" s="301">
        <f>+'Bookings by Service Type'!AY15</f>
        <v>0</v>
      </c>
      <c r="AZ4" s="301">
        <f>+'Bookings by Service Type'!AZ15</f>
        <v>0</v>
      </c>
      <c r="BA4" s="301">
        <f>+'Bookings by Service Type'!BA15</f>
        <v>0</v>
      </c>
      <c r="BB4" s="301">
        <f>+'Bookings by Service Type'!BB15</f>
        <v>0</v>
      </c>
      <c r="BC4" s="301">
        <f>+'Bookings by Service Type'!BC15</f>
        <v>0</v>
      </c>
      <c r="BD4" s="301">
        <f>+'Bookings by Service Type'!BD15</f>
        <v>0</v>
      </c>
      <c r="BE4" s="301">
        <f>+'Bookings by Service Type'!BE15</f>
        <v>0</v>
      </c>
      <c r="BF4" s="301">
        <f>+'Bookings by Service Type'!BF15</f>
        <v>0</v>
      </c>
      <c r="BG4" s="301">
        <f>+'Bookings by Service Type'!BG15</f>
        <v>197.39999999999998</v>
      </c>
      <c r="BH4" s="301">
        <f>+'Bookings by Service Type'!BH15</f>
        <v>207.2</v>
      </c>
      <c r="BI4" s="301">
        <f>+'Bookings by Service Type'!BI15</f>
        <v>0</v>
      </c>
      <c r="BJ4" s="301">
        <f>+'Bookings by Service Type'!BJ15</f>
        <v>0</v>
      </c>
      <c r="BK4" s="301">
        <f>+'Bookings by Service Type'!BK15</f>
        <v>0</v>
      </c>
      <c r="BL4" s="301">
        <f>+'Bookings by Service Type'!BL15</f>
        <v>0</v>
      </c>
      <c r="BM4" s="301">
        <f>+'Bookings by Service Type'!BM15</f>
        <v>0</v>
      </c>
      <c r="BN4" s="301">
        <f>+'Bookings by Service Type'!BN15</f>
        <v>0</v>
      </c>
      <c r="BO4" s="301">
        <f>+'Bookings by Service Type'!BO15</f>
        <v>0</v>
      </c>
      <c r="BP4" s="301">
        <f>+'Bookings by Service Type'!BP15</f>
        <v>0</v>
      </c>
      <c r="BQ4" s="301">
        <f>+'Bookings by Service Type'!BQ15</f>
        <v>0</v>
      </c>
      <c r="BR4" s="301">
        <f>+'Bookings by Service Type'!BR15</f>
        <v>0</v>
      </c>
      <c r="BS4" s="301">
        <f>+'Bookings by Service Type'!BS15</f>
        <v>249.2</v>
      </c>
      <c r="BT4" s="301">
        <f>+'Bookings by Service Type'!BT15</f>
        <v>261.8</v>
      </c>
      <c r="BU4" s="301">
        <f>+'Bookings by Service Type'!BU15</f>
        <v>0</v>
      </c>
      <c r="BV4" s="301">
        <f>+'Bookings by Service Type'!BV15</f>
        <v>0</v>
      </c>
      <c r="BW4" s="301">
        <f>+'Bookings by Service Type'!BW15</f>
        <v>0</v>
      </c>
      <c r="BX4" s="301">
        <f>+'Bookings by Service Type'!BX15</f>
        <v>0</v>
      </c>
      <c r="BY4" s="301">
        <f>+'Bookings by Service Type'!BY15</f>
        <v>0</v>
      </c>
      <c r="BZ4" s="301">
        <f>+'Bookings by Service Type'!BZ15</f>
        <v>0</v>
      </c>
      <c r="CA4" s="301">
        <f>+'Bookings by Service Type'!CA15</f>
        <v>0</v>
      </c>
      <c r="CB4" s="301">
        <f>+'Bookings by Service Type'!CB15</f>
        <v>0</v>
      </c>
      <c r="CC4" s="301">
        <f>+'Bookings by Service Type'!CC15</f>
        <v>0</v>
      </c>
      <c r="CD4" s="301">
        <f>+'Bookings by Service Type'!CD15</f>
        <v>0</v>
      </c>
      <c r="CE4" s="301">
        <f>+'Bookings by Service Type'!CE15</f>
        <v>315</v>
      </c>
      <c r="CF4" s="301">
        <f>+'Bookings by Service Type'!CF15</f>
        <v>331.09999999999997</v>
      </c>
      <c r="CG4" s="301">
        <f>+'Bookings by Service Type'!CG15</f>
        <v>0</v>
      </c>
      <c r="CH4" s="301">
        <f>+'Bookings by Service Type'!CH15</f>
        <v>0</v>
      </c>
      <c r="CI4" s="301">
        <f>+'Bookings by Service Type'!CI15</f>
        <v>0</v>
      </c>
      <c r="CJ4" s="301">
        <f>+'Bookings by Service Type'!CJ15</f>
        <v>0</v>
      </c>
      <c r="CK4" s="302">
        <f>+'Bookings by Service Type'!CK15</f>
        <v>0</v>
      </c>
    </row>
    <row r="5" spans="1:89" x14ac:dyDescent="0.3">
      <c r="A5" s="249">
        <v>100</v>
      </c>
      <c r="B5" s="262" t="s">
        <v>277</v>
      </c>
      <c r="C5" s="262"/>
      <c r="D5" s="432">
        <v>1</v>
      </c>
      <c r="F5" s="300">
        <f>+'Bookings by Service Type'!F16</f>
        <v>0</v>
      </c>
      <c r="G5" s="301">
        <f>+'Bookings by Service Type'!G16</f>
        <v>0</v>
      </c>
      <c r="H5" s="301">
        <f>+'Bookings by Service Type'!H16</f>
        <v>0</v>
      </c>
      <c r="I5" s="301">
        <f>+'Bookings by Service Type'!I16</f>
        <v>0</v>
      </c>
      <c r="J5" s="301">
        <f>+'Bookings by Service Type'!J16</f>
        <v>1</v>
      </c>
      <c r="K5" s="301">
        <f>+'Bookings by Service Type'!K16</f>
        <v>2</v>
      </c>
      <c r="L5" s="301">
        <f>+'Bookings by Service Type'!L16</f>
        <v>1</v>
      </c>
      <c r="M5" s="301">
        <f>+'Bookings by Service Type'!M16</f>
        <v>0</v>
      </c>
      <c r="N5" s="301">
        <f>+'Bookings by Service Type'!N16</f>
        <v>0</v>
      </c>
      <c r="O5" s="302">
        <f>+'Bookings by Service Type'!O16</f>
        <v>0</v>
      </c>
      <c r="P5" s="301">
        <f>+'Bookings by Service Type'!P16</f>
        <v>0</v>
      </c>
      <c r="Q5" s="301">
        <f>+'Bookings by Service Type'!Q16</f>
        <v>12.4</v>
      </c>
      <c r="R5" s="301">
        <f>+'Bookings by Service Type'!R16</f>
        <v>12.700000000000001</v>
      </c>
      <c r="S5" s="301">
        <f>+'Bookings by Service Type'!S16</f>
        <v>12.600000000000001</v>
      </c>
      <c r="T5" s="301">
        <f>+'Bookings by Service Type'!T16</f>
        <v>0</v>
      </c>
      <c r="U5" s="301">
        <f>+'Bookings by Service Type'!U16</f>
        <v>12.8</v>
      </c>
      <c r="V5" s="301">
        <f>+'Bookings by Service Type'!V16</f>
        <v>13.200000000000001</v>
      </c>
      <c r="W5" s="301">
        <f>+'Bookings by Service Type'!W16</f>
        <v>27.8</v>
      </c>
      <c r="X5" s="301">
        <f>+'Bookings by Service Type'!X16</f>
        <v>29.200000000000003</v>
      </c>
      <c r="Y5" s="301">
        <f>+'Bookings by Service Type'!Y16</f>
        <v>15</v>
      </c>
      <c r="Z5" s="301">
        <f>+'Bookings by Service Type'!Z16</f>
        <v>15.5</v>
      </c>
      <c r="AA5" s="301">
        <f>+'Bookings by Service Type'!AA16</f>
        <v>15.3</v>
      </c>
      <c r="AB5" s="301">
        <f>+'Bookings by Service Type'!AB16</f>
        <v>0</v>
      </c>
      <c r="AC5" s="301">
        <f>+'Bookings by Service Type'!AC16</f>
        <v>15.600000000000001</v>
      </c>
      <c r="AD5" s="301">
        <f>+'Bookings by Service Type'!AD16</f>
        <v>16.100000000000001</v>
      </c>
      <c r="AE5" s="301">
        <f>+'Bookings by Service Type'!AE16</f>
        <v>15.9</v>
      </c>
      <c r="AF5" s="301">
        <f>+'Bookings by Service Type'!AF16</f>
        <v>0</v>
      </c>
      <c r="AG5" s="301">
        <f>+'Bookings by Service Type'!AG16</f>
        <v>16.3</v>
      </c>
      <c r="AH5" s="301">
        <f>+'Bookings by Service Type'!AH16</f>
        <v>16.7</v>
      </c>
      <c r="AI5" s="301">
        <f>+'Bookings by Service Type'!AI16</f>
        <v>35.200000000000003</v>
      </c>
      <c r="AJ5" s="301">
        <f>+'Bookings by Service Type'!AJ16</f>
        <v>37</v>
      </c>
      <c r="AK5" s="301">
        <f>+'Bookings by Service Type'!AK16</f>
        <v>19</v>
      </c>
      <c r="AL5" s="301">
        <f>+'Bookings by Service Type'!AL16</f>
        <v>19.600000000000001</v>
      </c>
      <c r="AM5" s="301">
        <f>+'Bookings by Service Type'!AM16</f>
        <v>19.400000000000002</v>
      </c>
      <c r="AN5" s="301">
        <f>+'Bookings by Service Type'!AN16</f>
        <v>0</v>
      </c>
      <c r="AO5" s="301">
        <f>+'Bookings by Service Type'!AO16</f>
        <v>19.8</v>
      </c>
      <c r="AP5" s="301">
        <f>+'Bookings by Service Type'!AP16</f>
        <v>20.400000000000002</v>
      </c>
      <c r="AQ5" s="301">
        <f>+'Bookings by Service Type'!AQ16</f>
        <v>20.200000000000003</v>
      </c>
      <c r="AR5" s="301">
        <f>+'Bookings by Service Type'!AR16</f>
        <v>0</v>
      </c>
      <c r="AS5" s="301">
        <f>+'Bookings by Service Type'!AS16</f>
        <v>20.6</v>
      </c>
      <c r="AT5" s="301">
        <f>+'Bookings by Service Type'!AT16</f>
        <v>21.200000000000003</v>
      </c>
      <c r="AU5" s="301">
        <f>+'Bookings by Service Type'!AU16</f>
        <v>44.6</v>
      </c>
      <c r="AV5" s="301">
        <f>+'Bookings by Service Type'!AV16</f>
        <v>46.800000000000004</v>
      </c>
      <c r="AW5" s="301">
        <f>+'Bookings by Service Type'!AW16</f>
        <v>24.1</v>
      </c>
      <c r="AX5" s="301">
        <f>+'Bookings by Service Type'!AX16</f>
        <v>24.8</v>
      </c>
      <c r="AY5" s="301">
        <f>+'Bookings by Service Type'!AY16</f>
        <v>24.5</v>
      </c>
      <c r="AZ5" s="301">
        <f>+'Bookings by Service Type'!AZ16</f>
        <v>0</v>
      </c>
      <c r="BA5" s="301">
        <f>+'Bookings by Service Type'!BA16</f>
        <v>25</v>
      </c>
      <c r="BB5" s="301">
        <f>+'Bookings by Service Type'!BB16</f>
        <v>25.8</v>
      </c>
      <c r="BC5" s="301">
        <f>+'Bookings by Service Type'!BC16</f>
        <v>25.5</v>
      </c>
      <c r="BD5" s="301">
        <f>+'Bookings by Service Type'!BD16</f>
        <v>0</v>
      </c>
      <c r="BE5" s="301">
        <f>+'Bookings by Service Type'!BE16</f>
        <v>26</v>
      </c>
      <c r="BF5" s="301">
        <f>+'Bookings by Service Type'!BF16</f>
        <v>26.8</v>
      </c>
      <c r="BG5" s="301">
        <f>+'Bookings by Service Type'!BG16</f>
        <v>56.400000000000006</v>
      </c>
      <c r="BH5" s="301">
        <f>+'Bookings by Service Type'!BH16</f>
        <v>59.2</v>
      </c>
      <c r="BI5" s="301">
        <f>+'Bookings by Service Type'!BI16</f>
        <v>30.400000000000002</v>
      </c>
      <c r="BJ5" s="301">
        <f>+'Bookings by Service Type'!BJ16</f>
        <v>31.400000000000002</v>
      </c>
      <c r="BK5" s="301">
        <f>+'Bookings by Service Type'!BK16</f>
        <v>31.1</v>
      </c>
      <c r="BL5" s="301">
        <f>+'Bookings by Service Type'!BL16</f>
        <v>0</v>
      </c>
      <c r="BM5" s="301">
        <f>+'Bookings by Service Type'!BM16</f>
        <v>31.700000000000003</v>
      </c>
      <c r="BN5" s="301">
        <f>+'Bookings by Service Type'!BN16</f>
        <v>32.6</v>
      </c>
      <c r="BO5" s="301">
        <f>+'Bookings by Service Type'!BO16</f>
        <v>32.300000000000004</v>
      </c>
      <c r="BP5" s="301">
        <f>+'Bookings by Service Type'!BP16</f>
        <v>0</v>
      </c>
      <c r="BQ5" s="301">
        <f>+'Bookings by Service Type'!BQ16</f>
        <v>32.9</v>
      </c>
      <c r="BR5" s="301">
        <f>+'Bookings by Service Type'!BR16</f>
        <v>33.9</v>
      </c>
      <c r="BS5" s="301">
        <f>+'Bookings by Service Type'!BS16</f>
        <v>71.2</v>
      </c>
      <c r="BT5" s="301">
        <f>+'Bookings by Service Type'!BT16</f>
        <v>74.8</v>
      </c>
      <c r="BU5" s="301">
        <f>+'Bookings by Service Type'!BU16</f>
        <v>38.5</v>
      </c>
      <c r="BV5" s="301">
        <f>+'Bookings by Service Type'!BV16</f>
        <v>39.700000000000003</v>
      </c>
      <c r="BW5" s="301">
        <f>+'Bookings by Service Type'!BW16</f>
        <v>39.300000000000004</v>
      </c>
      <c r="BX5" s="301">
        <f>+'Bookings by Service Type'!BX16</f>
        <v>0</v>
      </c>
      <c r="BY5" s="301">
        <f>+'Bookings by Service Type'!BY16</f>
        <v>40.1</v>
      </c>
      <c r="BZ5" s="301">
        <f>+'Bookings by Service Type'!BZ16</f>
        <v>41.300000000000004</v>
      </c>
      <c r="CA5" s="301">
        <f>+'Bookings by Service Type'!CA16</f>
        <v>40.800000000000004</v>
      </c>
      <c r="CB5" s="301">
        <f>+'Bookings by Service Type'!CB16</f>
        <v>0</v>
      </c>
      <c r="CC5" s="301">
        <f>+'Bookings by Service Type'!CC16</f>
        <v>41.6</v>
      </c>
      <c r="CD5" s="301">
        <f>+'Bookings by Service Type'!CD16</f>
        <v>42.900000000000006</v>
      </c>
      <c r="CE5" s="301">
        <f>+'Bookings by Service Type'!CE16</f>
        <v>90</v>
      </c>
      <c r="CF5" s="301">
        <f>+'Bookings by Service Type'!CF16</f>
        <v>94.600000000000009</v>
      </c>
      <c r="CG5" s="301">
        <f>+'Bookings by Service Type'!CG16</f>
        <v>48.7</v>
      </c>
      <c r="CH5" s="301">
        <f>+'Bookings by Service Type'!CH16</f>
        <v>50.2</v>
      </c>
      <c r="CI5" s="301">
        <f>+'Bookings by Service Type'!CI16</f>
        <v>49.7</v>
      </c>
      <c r="CJ5" s="301">
        <f>+'Bookings by Service Type'!CJ16</f>
        <v>0</v>
      </c>
      <c r="CK5" s="302">
        <f>+'Bookings by Service Type'!CK16</f>
        <v>50.7</v>
      </c>
    </row>
    <row r="6" spans="1:89" x14ac:dyDescent="0.3">
      <c r="A6" s="261">
        <v>25</v>
      </c>
      <c r="B6" s="262" t="s">
        <v>276</v>
      </c>
      <c r="C6" s="262"/>
      <c r="D6" s="432">
        <v>2</v>
      </c>
      <c r="F6" s="300">
        <f>+'Bookings by Service Type'!F17</f>
        <v>0</v>
      </c>
      <c r="G6" s="301">
        <f>+'Bookings by Service Type'!G17</f>
        <v>0</v>
      </c>
      <c r="H6" s="301">
        <f>+'Bookings by Service Type'!H17</f>
        <v>0</v>
      </c>
      <c r="I6" s="301">
        <f>+'Bookings by Service Type'!I17</f>
        <v>0</v>
      </c>
      <c r="J6" s="301">
        <f>+'Bookings by Service Type'!J17</f>
        <v>3</v>
      </c>
      <c r="K6" s="301">
        <f>+'Bookings by Service Type'!K17</f>
        <v>4</v>
      </c>
      <c r="L6" s="301">
        <f>+'Bookings by Service Type'!L17</f>
        <v>2</v>
      </c>
      <c r="M6" s="301">
        <f>+'Bookings by Service Type'!M17</f>
        <v>0</v>
      </c>
      <c r="N6" s="301">
        <f>+'Bookings by Service Type'!N17</f>
        <v>0</v>
      </c>
      <c r="O6" s="302">
        <f>+'Bookings by Service Type'!O17</f>
        <v>0</v>
      </c>
      <c r="P6" s="301">
        <f>+'Bookings by Service Type'!P17</f>
        <v>0</v>
      </c>
      <c r="Q6" s="301">
        <f>+'Bookings by Service Type'!Q17</f>
        <v>6.2</v>
      </c>
      <c r="R6" s="301">
        <f>+'Bookings by Service Type'!R17</f>
        <v>6.3500000000000005</v>
      </c>
      <c r="S6" s="301">
        <f>+'Bookings by Service Type'!S17</f>
        <v>6.3000000000000007</v>
      </c>
      <c r="T6" s="301">
        <f>+'Bookings by Service Type'!T17</f>
        <v>0</v>
      </c>
      <c r="U6" s="301">
        <f>+'Bookings by Service Type'!U17</f>
        <v>6.4</v>
      </c>
      <c r="V6" s="301">
        <f>+'Bookings by Service Type'!V17</f>
        <v>6.6000000000000005</v>
      </c>
      <c r="W6" s="301">
        <f>+'Bookings by Service Type'!W17</f>
        <v>13.9</v>
      </c>
      <c r="X6" s="301">
        <f>+'Bookings by Service Type'!X17</f>
        <v>14.600000000000001</v>
      </c>
      <c r="Y6" s="301">
        <f>+'Bookings by Service Type'!Y17</f>
        <v>7.5</v>
      </c>
      <c r="Z6" s="301">
        <f>+'Bookings by Service Type'!Z17</f>
        <v>7.75</v>
      </c>
      <c r="AA6" s="301">
        <f>+'Bookings by Service Type'!AA17</f>
        <v>7.65</v>
      </c>
      <c r="AB6" s="301">
        <f>+'Bookings by Service Type'!AB17</f>
        <v>0</v>
      </c>
      <c r="AC6" s="301">
        <f>+'Bookings by Service Type'!AC17</f>
        <v>7.8000000000000007</v>
      </c>
      <c r="AD6" s="301">
        <f>+'Bookings by Service Type'!AD17</f>
        <v>8.0500000000000007</v>
      </c>
      <c r="AE6" s="301">
        <f>+'Bookings by Service Type'!AE17</f>
        <v>7.95</v>
      </c>
      <c r="AF6" s="301">
        <f>+'Bookings by Service Type'!AF17</f>
        <v>0</v>
      </c>
      <c r="AG6" s="301">
        <f>+'Bookings by Service Type'!AG17</f>
        <v>8.15</v>
      </c>
      <c r="AH6" s="301">
        <f>+'Bookings by Service Type'!AH17</f>
        <v>8.35</v>
      </c>
      <c r="AI6" s="301">
        <f>+'Bookings by Service Type'!AI17</f>
        <v>17.600000000000001</v>
      </c>
      <c r="AJ6" s="301">
        <f>+'Bookings by Service Type'!AJ17</f>
        <v>18.5</v>
      </c>
      <c r="AK6" s="301">
        <f>+'Bookings by Service Type'!AK17</f>
        <v>9.5</v>
      </c>
      <c r="AL6" s="301">
        <f>+'Bookings by Service Type'!AL17</f>
        <v>9.8000000000000007</v>
      </c>
      <c r="AM6" s="301">
        <f>+'Bookings by Service Type'!AM17</f>
        <v>9.7000000000000011</v>
      </c>
      <c r="AN6" s="301">
        <f>+'Bookings by Service Type'!AN17</f>
        <v>0</v>
      </c>
      <c r="AO6" s="301">
        <f>+'Bookings by Service Type'!AO17</f>
        <v>9.9</v>
      </c>
      <c r="AP6" s="301">
        <f>+'Bookings by Service Type'!AP17</f>
        <v>10.200000000000001</v>
      </c>
      <c r="AQ6" s="301">
        <f>+'Bookings by Service Type'!AQ17</f>
        <v>10.100000000000001</v>
      </c>
      <c r="AR6" s="301">
        <f>+'Bookings by Service Type'!AR17</f>
        <v>0</v>
      </c>
      <c r="AS6" s="301">
        <f>+'Bookings by Service Type'!AS17</f>
        <v>10.3</v>
      </c>
      <c r="AT6" s="301">
        <f>+'Bookings by Service Type'!AT17</f>
        <v>10.600000000000001</v>
      </c>
      <c r="AU6" s="301">
        <f>+'Bookings by Service Type'!AU17</f>
        <v>22.3</v>
      </c>
      <c r="AV6" s="301">
        <f>+'Bookings by Service Type'!AV17</f>
        <v>23.400000000000002</v>
      </c>
      <c r="AW6" s="301">
        <f>+'Bookings by Service Type'!AW17</f>
        <v>12.05</v>
      </c>
      <c r="AX6" s="301">
        <f>+'Bookings by Service Type'!AX17</f>
        <v>12.4</v>
      </c>
      <c r="AY6" s="301">
        <f>+'Bookings by Service Type'!AY17</f>
        <v>12.25</v>
      </c>
      <c r="AZ6" s="301">
        <f>+'Bookings by Service Type'!AZ17</f>
        <v>0</v>
      </c>
      <c r="BA6" s="301">
        <f>+'Bookings by Service Type'!BA17</f>
        <v>12.5</v>
      </c>
      <c r="BB6" s="301">
        <f>+'Bookings by Service Type'!BB17</f>
        <v>12.9</v>
      </c>
      <c r="BC6" s="301">
        <f>+'Bookings by Service Type'!BC17</f>
        <v>12.75</v>
      </c>
      <c r="BD6" s="301">
        <f>+'Bookings by Service Type'!BD17</f>
        <v>0</v>
      </c>
      <c r="BE6" s="301">
        <f>+'Bookings by Service Type'!BE17</f>
        <v>13</v>
      </c>
      <c r="BF6" s="301">
        <f>+'Bookings by Service Type'!BF17</f>
        <v>13.4</v>
      </c>
      <c r="BG6" s="301">
        <f>+'Bookings by Service Type'!BG17</f>
        <v>28.200000000000003</v>
      </c>
      <c r="BH6" s="301">
        <f>+'Bookings by Service Type'!BH17</f>
        <v>29.6</v>
      </c>
      <c r="BI6" s="301">
        <f>+'Bookings by Service Type'!BI17</f>
        <v>15.200000000000001</v>
      </c>
      <c r="BJ6" s="301">
        <f>+'Bookings by Service Type'!BJ17</f>
        <v>15.700000000000001</v>
      </c>
      <c r="BK6" s="301">
        <f>+'Bookings by Service Type'!BK17</f>
        <v>15.55</v>
      </c>
      <c r="BL6" s="301">
        <f>+'Bookings by Service Type'!BL17</f>
        <v>0</v>
      </c>
      <c r="BM6" s="301">
        <f>+'Bookings by Service Type'!BM17</f>
        <v>15.850000000000001</v>
      </c>
      <c r="BN6" s="301">
        <f>+'Bookings by Service Type'!BN17</f>
        <v>16.3</v>
      </c>
      <c r="BO6" s="301">
        <f>+'Bookings by Service Type'!BO17</f>
        <v>16.150000000000002</v>
      </c>
      <c r="BP6" s="301">
        <f>+'Bookings by Service Type'!BP17</f>
        <v>0</v>
      </c>
      <c r="BQ6" s="301">
        <f>+'Bookings by Service Type'!BQ17</f>
        <v>16.45</v>
      </c>
      <c r="BR6" s="301">
        <f>+'Bookings by Service Type'!BR17</f>
        <v>16.95</v>
      </c>
      <c r="BS6" s="301">
        <f>+'Bookings by Service Type'!BS17</f>
        <v>35.6</v>
      </c>
      <c r="BT6" s="301">
        <f>+'Bookings by Service Type'!BT17</f>
        <v>37.4</v>
      </c>
      <c r="BU6" s="301">
        <f>+'Bookings by Service Type'!BU17</f>
        <v>19.25</v>
      </c>
      <c r="BV6" s="301">
        <f>+'Bookings by Service Type'!BV17</f>
        <v>19.850000000000001</v>
      </c>
      <c r="BW6" s="301">
        <f>+'Bookings by Service Type'!BW17</f>
        <v>19.650000000000002</v>
      </c>
      <c r="BX6" s="301">
        <f>+'Bookings by Service Type'!BX17</f>
        <v>0</v>
      </c>
      <c r="BY6" s="301">
        <f>+'Bookings by Service Type'!BY17</f>
        <v>20.05</v>
      </c>
      <c r="BZ6" s="301">
        <f>+'Bookings by Service Type'!BZ17</f>
        <v>20.650000000000002</v>
      </c>
      <c r="CA6" s="301">
        <f>+'Bookings by Service Type'!CA17</f>
        <v>20.400000000000002</v>
      </c>
      <c r="CB6" s="301">
        <f>+'Bookings by Service Type'!CB17</f>
        <v>0</v>
      </c>
      <c r="CC6" s="301">
        <f>+'Bookings by Service Type'!CC17</f>
        <v>20.8</v>
      </c>
      <c r="CD6" s="301">
        <f>+'Bookings by Service Type'!CD17</f>
        <v>21.450000000000003</v>
      </c>
      <c r="CE6" s="301">
        <f>+'Bookings by Service Type'!CE17</f>
        <v>45</v>
      </c>
      <c r="CF6" s="301">
        <f>+'Bookings by Service Type'!CF17</f>
        <v>47.300000000000004</v>
      </c>
      <c r="CG6" s="301">
        <f>+'Bookings by Service Type'!CG17</f>
        <v>24.35</v>
      </c>
      <c r="CH6" s="301">
        <f>+'Bookings by Service Type'!CH17</f>
        <v>25.1</v>
      </c>
      <c r="CI6" s="301">
        <f>+'Bookings by Service Type'!CI17</f>
        <v>24.85</v>
      </c>
      <c r="CJ6" s="301">
        <f>+'Bookings by Service Type'!CJ17</f>
        <v>0</v>
      </c>
      <c r="CK6" s="302">
        <f>+'Bookings by Service Type'!CK17</f>
        <v>25.35</v>
      </c>
    </row>
    <row r="7" spans="1:89" x14ac:dyDescent="0.3">
      <c r="A7" s="261">
        <v>50</v>
      </c>
      <c r="B7" s="262" t="s">
        <v>274</v>
      </c>
      <c r="C7" s="262"/>
      <c r="D7" s="432">
        <v>4</v>
      </c>
      <c r="F7" s="300">
        <f>+'Bookings by Service Type'!F33</f>
        <v>0</v>
      </c>
      <c r="G7" s="301">
        <f>+'Bookings by Service Type'!G33</f>
        <v>0</v>
      </c>
      <c r="H7" s="301">
        <f>+'Bookings by Service Type'!H33</f>
        <v>0</v>
      </c>
      <c r="I7" s="301">
        <f>+'Bookings by Service Type'!I33</f>
        <v>0</v>
      </c>
      <c r="J7" s="301">
        <f>+'Bookings by Service Type'!J33</f>
        <v>0</v>
      </c>
      <c r="K7" s="301">
        <f>+'Bookings by Service Type'!K33</f>
        <v>1</v>
      </c>
      <c r="L7" s="301">
        <f>+'Bookings by Service Type'!L33</f>
        <v>5</v>
      </c>
      <c r="M7" s="301">
        <f>+'Bookings by Service Type'!M33</f>
        <v>5.5</v>
      </c>
      <c r="N7" s="301">
        <f>+'Bookings by Service Type'!N33</f>
        <v>5</v>
      </c>
      <c r="O7" s="302">
        <f>+'Bookings by Service Type'!O33</f>
        <v>1</v>
      </c>
      <c r="P7" s="301">
        <f>+'Bookings by Service Type'!P33</f>
        <v>6</v>
      </c>
      <c r="Q7" s="301">
        <f>+'Bookings by Service Type'!Q33</f>
        <v>6</v>
      </c>
      <c r="R7" s="301">
        <f>+'Bookings by Service Type'!R33</f>
        <v>6</v>
      </c>
      <c r="S7" s="301">
        <f>+'Bookings by Service Type'!S33</f>
        <v>6</v>
      </c>
      <c r="T7" s="301">
        <f>+'Bookings by Service Type'!T33</f>
        <v>6</v>
      </c>
      <c r="U7" s="301">
        <f>+'Bookings by Service Type'!U33</f>
        <v>6</v>
      </c>
      <c r="V7" s="301">
        <f>+'Bookings by Service Type'!V33</f>
        <v>6.5</v>
      </c>
      <c r="W7" s="301">
        <f>+'Bookings by Service Type'!W33</f>
        <v>6.5</v>
      </c>
      <c r="X7" s="301">
        <f>+'Bookings by Service Type'!X33</f>
        <v>7</v>
      </c>
      <c r="Y7" s="301">
        <f>+'Bookings by Service Type'!Y33</f>
        <v>7.5</v>
      </c>
      <c r="Z7" s="301">
        <f>+'Bookings by Service Type'!Z33</f>
        <v>7.5</v>
      </c>
      <c r="AA7" s="301">
        <f>+'Bookings by Service Type'!AA33</f>
        <v>7.5</v>
      </c>
      <c r="AB7" s="301">
        <f>+'Bookings by Service Type'!AB33</f>
        <v>7.5</v>
      </c>
      <c r="AC7" s="301">
        <f>+'Bookings by Service Type'!AC33</f>
        <v>7.5</v>
      </c>
      <c r="AD7" s="301">
        <f>+'Bookings by Service Type'!AD33</f>
        <v>8</v>
      </c>
      <c r="AE7" s="301">
        <f>+'Bookings by Service Type'!AE33</f>
        <v>7.5</v>
      </c>
      <c r="AF7" s="301">
        <f>+'Bookings by Service Type'!AF33</f>
        <v>7.5</v>
      </c>
      <c r="AG7" s="301">
        <f>+'Bookings by Service Type'!AG33</f>
        <v>8</v>
      </c>
      <c r="AH7" s="301">
        <f>+'Bookings by Service Type'!AH33</f>
        <v>8</v>
      </c>
      <c r="AI7" s="301">
        <f>+'Bookings by Service Type'!AI33</f>
        <v>8.5</v>
      </c>
      <c r="AJ7" s="301">
        <f>+'Bookings by Service Type'!AJ33</f>
        <v>9</v>
      </c>
      <c r="AK7" s="301">
        <f>+'Bookings by Service Type'!AK33</f>
        <v>9.5</v>
      </c>
      <c r="AL7" s="301">
        <f>+'Bookings by Service Type'!AL33</f>
        <v>9.5</v>
      </c>
      <c r="AM7" s="301">
        <f>+'Bookings by Service Type'!AM33</f>
        <v>9.5</v>
      </c>
      <c r="AN7" s="301">
        <f>+'Bookings by Service Type'!AN33</f>
        <v>9.5</v>
      </c>
      <c r="AO7" s="301">
        <f>+'Bookings by Service Type'!AO33</f>
        <v>9.5</v>
      </c>
      <c r="AP7" s="301">
        <f>+'Bookings by Service Type'!AP33</f>
        <v>10</v>
      </c>
      <c r="AQ7" s="301">
        <f>+'Bookings by Service Type'!AQ33</f>
        <v>10</v>
      </c>
      <c r="AR7" s="301">
        <f>+'Bookings by Service Type'!AR33</f>
        <v>10</v>
      </c>
      <c r="AS7" s="301">
        <f>+'Bookings by Service Type'!AS33</f>
        <v>10</v>
      </c>
      <c r="AT7" s="301">
        <f>+'Bookings by Service Type'!AT33</f>
        <v>10.5</v>
      </c>
      <c r="AU7" s="301">
        <f>+'Bookings by Service Type'!AU33</f>
        <v>11</v>
      </c>
      <c r="AV7" s="301">
        <f>+'Bookings by Service Type'!AV33</f>
        <v>11.5</v>
      </c>
      <c r="AW7" s="301">
        <f>+'Bookings by Service Type'!AW33</f>
        <v>12</v>
      </c>
      <c r="AX7" s="301">
        <f>+'Bookings by Service Type'!AX33</f>
        <v>12</v>
      </c>
      <c r="AY7" s="301">
        <f>+'Bookings by Service Type'!AY33</f>
        <v>12</v>
      </c>
      <c r="AZ7" s="301">
        <f>+'Bookings by Service Type'!AZ33</f>
        <v>12</v>
      </c>
      <c r="BA7" s="301">
        <f>+'Bookings by Service Type'!BA33</f>
        <v>12.5</v>
      </c>
      <c r="BB7" s="301">
        <f>+'Bookings by Service Type'!BB33</f>
        <v>12.5</v>
      </c>
      <c r="BC7" s="301">
        <f>+'Bookings by Service Type'!BC33</f>
        <v>12.5</v>
      </c>
      <c r="BD7" s="301">
        <f>+'Bookings by Service Type'!BD33</f>
        <v>12.5</v>
      </c>
      <c r="BE7" s="301">
        <f>+'Bookings by Service Type'!BE33</f>
        <v>13</v>
      </c>
      <c r="BF7" s="301">
        <f>+'Bookings by Service Type'!BF33</f>
        <v>13</v>
      </c>
      <c r="BG7" s="301">
        <f>+'Bookings by Service Type'!BG33</f>
        <v>14</v>
      </c>
      <c r="BH7" s="301">
        <f>+'Bookings by Service Type'!BH33</f>
        <v>14.5</v>
      </c>
      <c r="BI7" s="301">
        <f>+'Bookings by Service Type'!BI33</f>
        <v>15</v>
      </c>
      <c r="BJ7" s="301">
        <f>+'Bookings by Service Type'!BJ33</f>
        <v>15.5</v>
      </c>
      <c r="BK7" s="301">
        <f>+'Bookings by Service Type'!BK33</f>
        <v>15.5</v>
      </c>
      <c r="BL7" s="301">
        <f>+'Bookings by Service Type'!BL33</f>
        <v>15</v>
      </c>
      <c r="BM7" s="301">
        <f>+'Bookings by Service Type'!BM33</f>
        <v>15.5</v>
      </c>
      <c r="BN7" s="301">
        <f>+'Bookings by Service Type'!BN33</f>
        <v>16</v>
      </c>
      <c r="BO7" s="301">
        <f>+'Bookings by Service Type'!BO33</f>
        <v>16</v>
      </c>
      <c r="BP7" s="301">
        <f>+'Bookings by Service Type'!BP33</f>
        <v>16</v>
      </c>
      <c r="BQ7" s="301">
        <f>+'Bookings by Service Type'!BQ33</f>
        <v>16</v>
      </c>
      <c r="BR7" s="301">
        <f>+'Bookings by Service Type'!BR33</f>
        <v>16.5</v>
      </c>
      <c r="BS7" s="301">
        <f>+'Bookings by Service Type'!BS33</f>
        <v>17.5</v>
      </c>
      <c r="BT7" s="301">
        <f>+'Bookings by Service Type'!BT33</f>
        <v>18.5</v>
      </c>
      <c r="BU7" s="301">
        <f>+'Bookings by Service Type'!BU33</f>
        <v>19</v>
      </c>
      <c r="BV7" s="301">
        <f>+'Bookings by Service Type'!BV33</f>
        <v>19.5</v>
      </c>
      <c r="BW7" s="301">
        <f>+'Bookings by Service Type'!BW33</f>
        <v>19.5</v>
      </c>
      <c r="BX7" s="301">
        <f>+'Bookings by Service Type'!BX33</f>
        <v>19</v>
      </c>
      <c r="BY7" s="301">
        <f>+'Bookings by Service Type'!BY33</f>
        <v>20</v>
      </c>
      <c r="BZ7" s="301">
        <f>+'Bookings by Service Type'!BZ33</f>
        <v>20.5</v>
      </c>
      <c r="CA7" s="301">
        <f>+'Bookings by Service Type'!CA33</f>
        <v>20</v>
      </c>
      <c r="CB7" s="301">
        <f>+'Bookings by Service Type'!CB33</f>
        <v>20</v>
      </c>
      <c r="CC7" s="301">
        <f>+'Bookings by Service Type'!CC33</f>
        <v>20.5</v>
      </c>
      <c r="CD7" s="301">
        <f>+'Bookings by Service Type'!CD33</f>
        <v>21</v>
      </c>
      <c r="CE7" s="301">
        <f>+'Bookings by Service Type'!CE33</f>
        <v>22.5</v>
      </c>
      <c r="CF7" s="301">
        <f>+'Bookings by Service Type'!CF33</f>
        <v>23.5</v>
      </c>
      <c r="CG7" s="301">
        <f>+'Bookings by Service Type'!CG33</f>
        <v>24</v>
      </c>
      <c r="CH7" s="301">
        <f>+'Bookings by Service Type'!CH33</f>
        <v>25</v>
      </c>
      <c r="CI7" s="301">
        <f>+'Bookings by Service Type'!CI33</f>
        <v>24.5</v>
      </c>
      <c r="CJ7" s="301">
        <f>+'Bookings by Service Type'!CJ33</f>
        <v>24.5</v>
      </c>
      <c r="CK7" s="302">
        <f>+'Bookings by Service Type'!CK33</f>
        <v>25</v>
      </c>
    </row>
    <row r="8" spans="1:89" x14ac:dyDescent="0.3">
      <c r="A8" s="256">
        <v>50</v>
      </c>
      <c r="B8" s="262" t="s">
        <v>273</v>
      </c>
      <c r="C8" s="260"/>
      <c r="D8" s="433">
        <v>3</v>
      </c>
      <c r="F8" s="300">
        <f>+'Bookings by Service Type'!F34</f>
        <v>0</v>
      </c>
      <c r="G8" s="303">
        <f>+'Bookings by Service Type'!G34</f>
        <v>0</v>
      </c>
      <c r="H8" s="303">
        <f>+'Bookings by Service Type'!H34</f>
        <v>0</v>
      </c>
      <c r="I8" s="303">
        <f>+'Bookings by Service Type'!I34</f>
        <v>0</v>
      </c>
      <c r="J8" s="303">
        <f>+'Bookings by Service Type'!J34</f>
        <v>3</v>
      </c>
      <c r="K8" s="303">
        <f>+'Bookings by Service Type'!K34</f>
        <v>2</v>
      </c>
      <c r="L8" s="303">
        <f>+'Bookings by Service Type'!L34</f>
        <v>2</v>
      </c>
      <c r="M8" s="303">
        <f>+'Bookings by Service Type'!M34</f>
        <v>5.5</v>
      </c>
      <c r="N8" s="303">
        <f>+'Bookings by Service Type'!N34</f>
        <v>3</v>
      </c>
      <c r="O8" s="304">
        <f>+'Bookings by Service Type'!O34</f>
        <v>6</v>
      </c>
      <c r="P8" s="303">
        <f>+'Bookings by Service Type'!P34</f>
        <v>6</v>
      </c>
      <c r="Q8" s="303">
        <f>+'Bookings by Service Type'!Q34</f>
        <v>6</v>
      </c>
      <c r="R8" s="303">
        <f>+'Bookings by Service Type'!R34</f>
        <v>6</v>
      </c>
      <c r="S8" s="303">
        <f>+'Bookings by Service Type'!S34</f>
        <v>6</v>
      </c>
      <c r="T8" s="303">
        <f>+'Bookings by Service Type'!T34</f>
        <v>6</v>
      </c>
      <c r="U8" s="303">
        <f>+'Bookings by Service Type'!U34</f>
        <v>6</v>
      </c>
      <c r="V8" s="303">
        <f>+'Bookings by Service Type'!V34</f>
        <v>6.5</v>
      </c>
      <c r="W8" s="303">
        <f>+'Bookings by Service Type'!W34</f>
        <v>6.5</v>
      </c>
      <c r="X8" s="303">
        <f>+'Bookings by Service Type'!X34</f>
        <v>7</v>
      </c>
      <c r="Y8" s="303">
        <f>+'Bookings by Service Type'!Y34</f>
        <v>7.5</v>
      </c>
      <c r="Z8" s="303">
        <f>+'Bookings by Service Type'!Z34</f>
        <v>7.5</v>
      </c>
      <c r="AA8" s="303">
        <f>+'Bookings by Service Type'!AA34</f>
        <v>7.5</v>
      </c>
      <c r="AB8" s="303">
        <f>+'Bookings by Service Type'!AB34</f>
        <v>7.5</v>
      </c>
      <c r="AC8" s="303">
        <f>+'Bookings by Service Type'!AC34</f>
        <v>7.5</v>
      </c>
      <c r="AD8" s="303">
        <f>+'Bookings by Service Type'!AD34</f>
        <v>8</v>
      </c>
      <c r="AE8" s="303">
        <f>+'Bookings by Service Type'!AE34</f>
        <v>7.5</v>
      </c>
      <c r="AF8" s="303">
        <f>+'Bookings by Service Type'!AF34</f>
        <v>7.5</v>
      </c>
      <c r="AG8" s="303">
        <f>+'Bookings by Service Type'!AG34</f>
        <v>8</v>
      </c>
      <c r="AH8" s="303">
        <f>+'Bookings by Service Type'!AH34</f>
        <v>8</v>
      </c>
      <c r="AI8" s="303">
        <f>+'Bookings by Service Type'!AI34</f>
        <v>8.5</v>
      </c>
      <c r="AJ8" s="303">
        <f>+'Bookings by Service Type'!AJ34</f>
        <v>9</v>
      </c>
      <c r="AK8" s="303">
        <f>+'Bookings by Service Type'!AK34</f>
        <v>9.5</v>
      </c>
      <c r="AL8" s="303">
        <f>+'Bookings by Service Type'!AL34</f>
        <v>9.5</v>
      </c>
      <c r="AM8" s="303">
        <f>+'Bookings by Service Type'!AM34</f>
        <v>9.5</v>
      </c>
      <c r="AN8" s="303">
        <f>+'Bookings by Service Type'!AN34</f>
        <v>9.5</v>
      </c>
      <c r="AO8" s="303">
        <f>+'Bookings by Service Type'!AO34</f>
        <v>9.5</v>
      </c>
      <c r="AP8" s="303">
        <f>+'Bookings by Service Type'!AP34</f>
        <v>10</v>
      </c>
      <c r="AQ8" s="303">
        <f>+'Bookings by Service Type'!AQ34</f>
        <v>10</v>
      </c>
      <c r="AR8" s="303">
        <f>+'Bookings by Service Type'!AR34</f>
        <v>10</v>
      </c>
      <c r="AS8" s="303">
        <f>+'Bookings by Service Type'!AS34</f>
        <v>10</v>
      </c>
      <c r="AT8" s="303">
        <f>+'Bookings by Service Type'!AT34</f>
        <v>10.5</v>
      </c>
      <c r="AU8" s="303">
        <f>+'Bookings by Service Type'!AU34</f>
        <v>11</v>
      </c>
      <c r="AV8" s="303">
        <f>+'Bookings by Service Type'!AV34</f>
        <v>11.5</v>
      </c>
      <c r="AW8" s="303">
        <f>+'Bookings by Service Type'!AW34</f>
        <v>12</v>
      </c>
      <c r="AX8" s="303">
        <f>+'Bookings by Service Type'!AX34</f>
        <v>12</v>
      </c>
      <c r="AY8" s="303">
        <f>+'Bookings by Service Type'!AY34</f>
        <v>12</v>
      </c>
      <c r="AZ8" s="303">
        <f>+'Bookings by Service Type'!AZ34</f>
        <v>12</v>
      </c>
      <c r="BA8" s="303">
        <f>+'Bookings by Service Type'!BA34</f>
        <v>12.5</v>
      </c>
      <c r="BB8" s="303">
        <f>+'Bookings by Service Type'!BB34</f>
        <v>12.5</v>
      </c>
      <c r="BC8" s="303">
        <f>+'Bookings by Service Type'!BC34</f>
        <v>12.5</v>
      </c>
      <c r="BD8" s="303">
        <f>+'Bookings by Service Type'!BD34</f>
        <v>12.5</v>
      </c>
      <c r="BE8" s="303">
        <f>+'Bookings by Service Type'!BE34</f>
        <v>13</v>
      </c>
      <c r="BF8" s="303">
        <f>+'Bookings by Service Type'!BF34</f>
        <v>13</v>
      </c>
      <c r="BG8" s="303">
        <f>+'Bookings by Service Type'!BG34</f>
        <v>14</v>
      </c>
      <c r="BH8" s="303">
        <f>+'Bookings by Service Type'!BH34</f>
        <v>14.5</v>
      </c>
      <c r="BI8" s="303">
        <f>+'Bookings by Service Type'!BI34</f>
        <v>15</v>
      </c>
      <c r="BJ8" s="303">
        <f>+'Bookings by Service Type'!BJ34</f>
        <v>15.5</v>
      </c>
      <c r="BK8" s="303">
        <f>+'Bookings by Service Type'!BK34</f>
        <v>15.5</v>
      </c>
      <c r="BL8" s="303">
        <f>+'Bookings by Service Type'!BL34</f>
        <v>15</v>
      </c>
      <c r="BM8" s="303">
        <f>+'Bookings by Service Type'!BM34</f>
        <v>15.5</v>
      </c>
      <c r="BN8" s="303">
        <f>+'Bookings by Service Type'!BN34</f>
        <v>16</v>
      </c>
      <c r="BO8" s="303">
        <f>+'Bookings by Service Type'!BO34</f>
        <v>16</v>
      </c>
      <c r="BP8" s="303">
        <f>+'Bookings by Service Type'!BP34</f>
        <v>16</v>
      </c>
      <c r="BQ8" s="303">
        <f>+'Bookings by Service Type'!BQ34</f>
        <v>16</v>
      </c>
      <c r="BR8" s="303">
        <f>+'Bookings by Service Type'!BR34</f>
        <v>16.5</v>
      </c>
      <c r="BS8" s="303">
        <f>+'Bookings by Service Type'!BS34</f>
        <v>17.5</v>
      </c>
      <c r="BT8" s="303">
        <f>+'Bookings by Service Type'!BT34</f>
        <v>18.5</v>
      </c>
      <c r="BU8" s="303">
        <f>+'Bookings by Service Type'!BU34</f>
        <v>19</v>
      </c>
      <c r="BV8" s="303">
        <f>+'Bookings by Service Type'!BV34</f>
        <v>19.5</v>
      </c>
      <c r="BW8" s="303">
        <f>+'Bookings by Service Type'!BW34</f>
        <v>19.5</v>
      </c>
      <c r="BX8" s="303">
        <f>+'Bookings by Service Type'!BX34</f>
        <v>19</v>
      </c>
      <c r="BY8" s="303">
        <f>+'Bookings by Service Type'!BY34</f>
        <v>20</v>
      </c>
      <c r="BZ8" s="303">
        <f>+'Bookings by Service Type'!BZ34</f>
        <v>20.5</v>
      </c>
      <c r="CA8" s="303">
        <f>+'Bookings by Service Type'!CA34</f>
        <v>20</v>
      </c>
      <c r="CB8" s="303">
        <f>+'Bookings by Service Type'!CB34</f>
        <v>20</v>
      </c>
      <c r="CC8" s="303">
        <f>+'Bookings by Service Type'!CC34</f>
        <v>20.5</v>
      </c>
      <c r="CD8" s="303">
        <f>+'Bookings by Service Type'!CD34</f>
        <v>21</v>
      </c>
      <c r="CE8" s="303">
        <f>+'Bookings by Service Type'!CE34</f>
        <v>22.5</v>
      </c>
      <c r="CF8" s="303">
        <f>+'Bookings by Service Type'!CF34</f>
        <v>23.5</v>
      </c>
      <c r="CG8" s="303">
        <f>+'Bookings by Service Type'!CG34</f>
        <v>24</v>
      </c>
      <c r="CH8" s="303">
        <f>+'Bookings by Service Type'!CH34</f>
        <v>25</v>
      </c>
      <c r="CI8" s="303">
        <f>+'Bookings by Service Type'!CI34</f>
        <v>24.5</v>
      </c>
      <c r="CJ8" s="303">
        <f>+'Bookings by Service Type'!CJ34</f>
        <v>24.5</v>
      </c>
      <c r="CK8" s="304">
        <f>+'Bookings by Service Type'!CK34</f>
        <v>25</v>
      </c>
    </row>
    <row r="9" spans="1:89" x14ac:dyDescent="0.3">
      <c r="A9" s="241"/>
      <c r="F9" s="439"/>
      <c r="O9" s="191"/>
      <c r="CK9" s="191"/>
    </row>
    <row r="10" spans="1:89" x14ac:dyDescent="0.3">
      <c r="A10" s="430"/>
      <c r="B10" s="246"/>
      <c r="F10" s="241"/>
      <c r="O10" s="191"/>
      <c r="CK10" s="191"/>
    </row>
    <row r="11" spans="1:89" x14ac:dyDescent="0.3">
      <c r="A11" s="241"/>
      <c r="D11" s="246"/>
      <c r="F11" s="241"/>
      <c r="O11" s="191"/>
      <c r="CK11" s="191"/>
    </row>
    <row r="12" spans="1:89" x14ac:dyDescent="0.3">
      <c r="A12" s="241"/>
      <c r="C12" s="263">
        <f>+EOMONTH(B12,0)</f>
        <v>31</v>
      </c>
      <c r="D12" s="246" t="s">
        <v>272</v>
      </c>
      <c r="E12" s="170">
        <f>+EOMONTH(B12, $D$4)</f>
        <v>59</v>
      </c>
      <c r="F12" s="242"/>
      <c r="G12" s="516">
        <v>0</v>
      </c>
      <c r="H12" s="516">
        <v>0</v>
      </c>
      <c r="I12" s="516">
        <v>0</v>
      </c>
      <c r="J12" s="516">
        <v>0</v>
      </c>
      <c r="K12" s="516">
        <v>1750</v>
      </c>
      <c r="L12" s="516">
        <v>2562.94</v>
      </c>
      <c r="M12" s="516">
        <v>0</v>
      </c>
      <c r="N12" s="516">
        <f t="shared" ref="N12:BS12" si="0">+N4*$A$4*$D$4</f>
        <v>0</v>
      </c>
      <c r="O12" s="642">
        <f t="shared" ref="O12" si="1">+O4*$A$4*$D$4</f>
        <v>0</v>
      </c>
      <c r="P12" s="171">
        <f t="shared" si="0"/>
        <v>0</v>
      </c>
      <c r="Q12" s="171">
        <f t="shared" si="0"/>
        <v>0</v>
      </c>
      <c r="R12" s="171">
        <f t="shared" si="0"/>
        <v>0</v>
      </c>
      <c r="S12" s="171">
        <f t="shared" si="0"/>
        <v>0</v>
      </c>
      <c r="T12" s="171">
        <f t="shared" si="0"/>
        <v>0</v>
      </c>
      <c r="U12" s="171">
        <f t="shared" si="0"/>
        <v>0</v>
      </c>
      <c r="V12" s="171">
        <f t="shared" si="0"/>
        <v>0</v>
      </c>
      <c r="W12" s="171">
        <f t="shared" si="0"/>
        <v>14595</v>
      </c>
      <c r="X12" s="171">
        <f t="shared" si="0"/>
        <v>15329.999999999998</v>
      </c>
      <c r="Y12" s="171">
        <f t="shared" si="0"/>
        <v>0</v>
      </c>
      <c r="Z12" s="171">
        <f t="shared" si="0"/>
        <v>0</v>
      </c>
      <c r="AA12" s="171">
        <f t="shared" si="0"/>
        <v>0</v>
      </c>
      <c r="AB12" s="171">
        <f t="shared" si="0"/>
        <v>0</v>
      </c>
      <c r="AC12" s="171">
        <f t="shared" si="0"/>
        <v>0</v>
      </c>
      <c r="AD12" s="171">
        <f t="shared" si="0"/>
        <v>0</v>
      </c>
      <c r="AE12" s="171">
        <f t="shared" si="0"/>
        <v>0</v>
      </c>
      <c r="AF12" s="171">
        <f t="shared" si="0"/>
        <v>0</v>
      </c>
      <c r="AG12" s="171">
        <f t="shared" si="0"/>
        <v>0</v>
      </c>
      <c r="AH12" s="171">
        <f t="shared" si="0"/>
        <v>0</v>
      </c>
      <c r="AI12" s="171">
        <f t="shared" si="0"/>
        <v>18480</v>
      </c>
      <c r="AJ12" s="171">
        <f t="shared" si="0"/>
        <v>19425</v>
      </c>
      <c r="AK12" s="171">
        <f t="shared" si="0"/>
        <v>0</v>
      </c>
      <c r="AL12" s="171">
        <f t="shared" si="0"/>
        <v>0</v>
      </c>
      <c r="AM12" s="171">
        <f t="shared" si="0"/>
        <v>0</v>
      </c>
      <c r="AN12" s="171">
        <f t="shared" si="0"/>
        <v>0</v>
      </c>
      <c r="AO12" s="171">
        <f t="shared" si="0"/>
        <v>0</v>
      </c>
      <c r="AP12" s="171">
        <f t="shared" si="0"/>
        <v>0</v>
      </c>
      <c r="AQ12" s="171">
        <f t="shared" si="0"/>
        <v>0</v>
      </c>
      <c r="AR12" s="171">
        <f t="shared" si="0"/>
        <v>0</v>
      </c>
      <c r="AS12" s="171">
        <f t="shared" si="0"/>
        <v>0</v>
      </c>
      <c r="AT12" s="171">
        <f t="shared" si="0"/>
        <v>0</v>
      </c>
      <c r="AU12" s="171">
        <f t="shared" si="0"/>
        <v>23415</v>
      </c>
      <c r="AV12" s="171">
        <f t="shared" si="0"/>
        <v>24569.999999999996</v>
      </c>
      <c r="AW12" s="171">
        <f t="shared" si="0"/>
        <v>0</v>
      </c>
      <c r="AX12" s="171">
        <f t="shared" si="0"/>
        <v>0</v>
      </c>
      <c r="AY12" s="171">
        <f t="shared" si="0"/>
        <v>0</v>
      </c>
      <c r="AZ12" s="171">
        <f t="shared" si="0"/>
        <v>0</v>
      </c>
      <c r="BA12" s="171">
        <f t="shared" si="0"/>
        <v>0</v>
      </c>
      <c r="BB12" s="171">
        <f t="shared" si="0"/>
        <v>0</v>
      </c>
      <c r="BC12" s="171">
        <f t="shared" si="0"/>
        <v>0</v>
      </c>
      <c r="BD12" s="171">
        <f t="shared" si="0"/>
        <v>0</v>
      </c>
      <c r="BE12" s="171">
        <f t="shared" si="0"/>
        <v>0</v>
      </c>
      <c r="BF12" s="171">
        <f t="shared" si="0"/>
        <v>0</v>
      </c>
      <c r="BG12" s="171">
        <f t="shared" si="0"/>
        <v>29609.999999999996</v>
      </c>
      <c r="BH12" s="171">
        <f t="shared" si="0"/>
        <v>31080</v>
      </c>
      <c r="BI12" s="171">
        <f t="shared" si="0"/>
        <v>0</v>
      </c>
      <c r="BJ12" s="171">
        <f t="shared" si="0"/>
        <v>0</v>
      </c>
      <c r="BK12" s="171">
        <f t="shared" si="0"/>
        <v>0</v>
      </c>
      <c r="BL12" s="171">
        <f t="shared" si="0"/>
        <v>0</v>
      </c>
      <c r="BM12" s="171">
        <f t="shared" si="0"/>
        <v>0</v>
      </c>
      <c r="BN12" s="171">
        <f t="shared" si="0"/>
        <v>0</v>
      </c>
      <c r="BO12" s="171">
        <f t="shared" si="0"/>
        <v>0</v>
      </c>
      <c r="BP12" s="171">
        <f t="shared" si="0"/>
        <v>0</v>
      </c>
      <c r="BQ12" s="171">
        <f t="shared" si="0"/>
        <v>0</v>
      </c>
      <c r="BR12" s="171">
        <f t="shared" si="0"/>
        <v>0</v>
      </c>
      <c r="BS12" s="171">
        <f t="shared" si="0"/>
        <v>37380</v>
      </c>
      <c r="BT12" s="171">
        <f t="shared" ref="BT12:CK12" si="2">+BT4*$A$4*$D$4</f>
        <v>39270</v>
      </c>
      <c r="BU12" s="171">
        <f t="shared" si="2"/>
        <v>0</v>
      </c>
      <c r="BV12" s="171">
        <f t="shared" si="2"/>
        <v>0</v>
      </c>
      <c r="BW12" s="171">
        <f t="shared" si="2"/>
        <v>0</v>
      </c>
      <c r="BX12" s="171">
        <f t="shared" si="2"/>
        <v>0</v>
      </c>
      <c r="BY12" s="171">
        <f t="shared" si="2"/>
        <v>0</v>
      </c>
      <c r="BZ12" s="171">
        <f t="shared" si="2"/>
        <v>0</v>
      </c>
      <c r="CA12" s="171">
        <f t="shared" si="2"/>
        <v>0</v>
      </c>
      <c r="CB12" s="171">
        <f t="shared" si="2"/>
        <v>0</v>
      </c>
      <c r="CC12" s="171">
        <f t="shared" si="2"/>
        <v>0</v>
      </c>
      <c r="CD12" s="171">
        <f t="shared" si="2"/>
        <v>0</v>
      </c>
      <c r="CE12" s="171">
        <f t="shared" si="2"/>
        <v>47250</v>
      </c>
      <c r="CF12" s="171">
        <f t="shared" si="2"/>
        <v>49664.999999999993</v>
      </c>
      <c r="CG12" s="171">
        <f t="shared" si="2"/>
        <v>0</v>
      </c>
      <c r="CH12" s="171">
        <f t="shared" si="2"/>
        <v>0</v>
      </c>
      <c r="CI12" s="171">
        <f t="shared" si="2"/>
        <v>0</v>
      </c>
      <c r="CJ12" s="171">
        <f t="shared" si="2"/>
        <v>0</v>
      </c>
      <c r="CK12" s="257">
        <f t="shared" si="2"/>
        <v>0</v>
      </c>
    </row>
    <row r="13" spans="1:89" x14ac:dyDescent="0.3">
      <c r="A13" s="241"/>
      <c r="F13" s="241"/>
      <c r="O13" s="191"/>
      <c r="CK13" s="191"/>
    </row>
    <row r="14" spans="1:89" x14ac:dyDescent="0.3">
      <c r="A14" s="241"/>
      <c r="D14" s="246"/>
      <c r="F14" s="241"/>
      <c r="O14" s="191"/>
      <c r="CK14" s="191"/>
    </row>
    <row r="15" spans="1:89" x14ac:dyDescent="0.3">
      <c r="A15" s="241"/>
      <c r="C15" s="263">
        <f>+EOMONTH(B15,0)</f>
        <v>31</v>
      </c>
      <c r="D15" s="246" t="s">
        <v>277</v>
      </c>
      <c r="E15" s="170">
        <f>+EOMONTH(B15, $D$5)</f>
        <v>59</v>
      </c>
      <c r="F15" s="242"/>
      <c r="G15" s="516">
        <v>0</v>
      </c>
      <c r="H15" s="516">
        <v>0</v>
      </c>
      <c r="I15" s="516">
        <v>0</v>
      </c>
      <c r="J15" s="516">
        <f>450+400</f>
        <v>850</v>
      </c>
      <c r="K15" s="516">
        <f>705+600</f>
        <v>1305</v>
      </c>
      <c r="L15" s="516">
        <v>170</v>
      </c>
      <c r="M15" s="516">
        <v>0</v>
      </c>
      <c r="N15" s="516">
        <v>0</v>
      </c>
      <c r="O15" s="642">
        <v>0</v>
      </c>
      <c r="P15" s="171">
        <f t="shared" ref="P15:BS15" si="3">+P5*$D$5*$A$5</f>
        <v>0</v>
      </c>
      <c r="Q15" s="171">
        <f t="shared" si="3"/>
        <v>1240</v>
      </c>
      <c r="R15" s="171">
        <f t="shared" si="3"/>
        <v>1270</v>
      </c>
      <c r="S15" s="171">
        <f t="shared" si="3"/>
        <v>1260.0000000000002</v>
      </c>
      <c r="T15" s="171">
        <f t="shared" si="3"/>
        <v>0</v>
      </c>
      <c r="U15" s="171">
        <f t="shared" si="3"/>
        <v>1280</v>
      </c>
      <c r="V15" s="171">
        <f t="shared" si="3"/>
        <v>1320</v>
      </c>
      <c r="W15" s="171">
        <f t="shared" si="3"/>
        <v>2780</v>
      </c>
      <c r="X15" s="171">
        <f t="shared" si="3"/>
        <v>2920.0000000000005</v>
      </c>
      <c r="Y15" s="171">
        <f t="shared" si="3"/>
        <v>1500</v>
      </c>
      <c r="Z15" s="171">
        <f t="shared" si="3"/>
        <v>1550</v>
      </c>
      <c r="AA15" s="171">
        <f t="shared" si="3"/>
        <v>1530</v>
      </c>
      <c r="AB15" s="171">
        <f t="shared" si="3"/>
        <v>0</v>
      </c>
      <c r="AC15" s="171">
        <f t="shared" si="3"/>
        <v>1560.0000000000002</v>
      </c>
      <c r="AD15" s="171">
        <f t="shared" si="3"/>
        <v>1610.0000000000002</v>
      </c>
      <c r="AE15" s="171">
        <f t="shared" si="3"/>
        <v>1590</v>
      </c>
      <c r="AF15" s="171">
        <f t="shared" si="3"/>
        <v>0</v>
      </c>
      <c r="AG15" s="171">
        <f t="shared" si="3"/>
        <v>1630</v>
      </c>
      <c r="AH15" s="171">
        <f t="shared" si="3"/>
        <v>1670</v>
      </c>
      <c r="AI15" s="171">
        <f t="shared" si="3"/>
        <v>3520.0000000000005</v>
      </c>
      <c r="AJ15" s="171">
        <f t="shared" si="3"/>
        <v>3700</v>
      </c>
      <c r="AK15" s="171">
        <f t="shared" si="3"/>
        <v>1900</v>
      </c>
      <c r="AL15" s="171">
        <f t="shared" si="3"/>
        <v>1960.0000000000002</v>
      </c>
      <c r="AM15" s="171">
        <f t="shared" si="3"/>
        <v>1940.0000000000002</v>
      </c>
      <c r="AN15" s="171">
        <f t="shared" si="3"/>
        <v>0</v>
      </c>
      <c r="AO15" s="171">
        <f t="shared" si="3"/>
        <v>1980</v>
      </c>
      <c r="AP15" s="171">
        <f t="shared" si="3"/>
        <v>2040.0000000000002</v>
      </c>
      <c r="AQ15" s="171">
        <f t="shared" si="3"/>
        <v>2020.0000000000002</v>
      </c>
      <c r="AR15" s="171">
        <f t="shared" si="3"/>
        <v>0</v>
      </c>
      <c r="AS15" s="171">
        <f t="shared" si="3"/>
        <v>2060</v>
      </c>
      <c r="AT15" s="171">
        <f t="shared" si="3"/>
        <v>2120.0000000000005</v>
      </c>
      <c r="AU15" s="171">
        <f t="shared" si="3"/>
        <v>4460</v>
      </c>
      <c r="AV15" s="171">
        <f t="shared" si="3"/>
        <v>4680</v>
      </c>
      <c r="AW15" s="171">
        <f t="shared" si="3"/>
        <v>2410</v>
      </c>
      <c r="AX15" s="171">
        <f t="shared" si="3"/>
        <v>2480</v>
      </c>
      <c r="AY15" s="171">
        <f t="shared" si="3"/>
        <v>2450</v>
      </c>
      <c r="AZ15" s="171">
        <f t="shared" si="3"/>
        <v>0</v>
      </c>
      <c r="BA15" s="171">
        <f t="shared" si="3"/>
        <v>2500</v>
      </c>
      <c r="BB15" s="171">
        <f t="shared" si="3"/>
        <v>2580</v>
      </c>
      <c r="BC15" s="171">
        <f t="shared" si="3"/>
        <v>2550</v>
      </c>
      <c r="BD15" s="171">
        <f t="shared" si="3"/>
        <v>0</v>
      </c>
      <c r="BE15" s="171">
        <f t="shared" si="3"/>
        <v>2600</v>
      </c>
      <c r="BF15" s="171">
        <f t="shared" si="3"/>
        <v>2680</v>
      </c>
      <c r="BG15" s="171">
        <f t="shared" si="3"/>
        <v>5640.0000000000009</v>
      </c>
      <c r="BH15" s="171">
        <f t="shared" si="3"/>
        <v>5920</v>
      </c>
      <c r="BI15" s="171">
        <f t="shared" si="3"/>
        <v>3040</v>
      </c>
      <c r="BJ15" s="171">
        <f t="shared" si="3"/>
        <v>3140</v>
      </c>
      <c r="BK15" s="171">
        <f t="shared" si="3"/>
        <v>3110</v>
      </c>
      <c r="BL15" s="171">
        <f t="shared" si="3"/>
        <v>0</v>
      </c>
      <c r="BM15" s="171">
        <f t="shared" si="3"/>
        <v>3170.0000000000005</v>
      </c>
      <c r="BN15" s="171">
        <f t="shared" si="3"/>
        <v>3260</v>
      </c>
      <c r="BO15" s="171">
        <f t="shared" si="3"/>
        <v>3230.0000000000005</v>
      </c>
      <c r="BP15" s="171">
        <f t="shared" si="3"/>
        <v>0</v>
      </c>
      <c r="BQ15" s="171">
        <f t="shared" si="3"/>
        <v>3290</v>
      </c>
      <c r="BR15" s="171">
        <f t="shared" si="3"/>
        <v>3390</v>
      </c>
      <c r="BS15" s="171">
        <f t="shared" si="3"/>
        <v>7120</v>
      </c>
      <c r="BT15" s="171">
        <f t="shared" ref="BT15:CK15" si="4">+BT5*$D$5*$A$5</f>
        <v>7480</v>
      </c>
      <c r="BU15" s="171">
        <f t="shared" si="4"/>
        <v>3850</v>
      </c>
      <c r="BV15" s="171">
        <f t="shared" si="4"/>
        <v>3970.0000000000005</v>
      </c>
      <c r="BW15" s="171">
        <f t="shared" si="4"/>
        <v>3930.0000000000005</v>
      </c>
      <c r="BX15" s="171">
        <f t="shared" si="4"/>
        <v>0</v>
      </c>
      <c r="BY15" s="171">
        <f t="shared" si="4"/>
        <v>4010</v>
      </c>
      <c r="BZ15" s="171">
        <f t="shared" si="4"/>
        <v>4130</v>
      </c>
      <c r="CA15" s="171">
        <f t="shared" si="4"/>
        <v>4080.0000000000005</v>
      </c>
      <c r="CB15" s="171">
        <f t="shared" si="4"/>
        <v>0</v>
      </c>
      <c r="CC15" s="171">
        <f t="shared" si="4"/>
        <v>4160</v>
      </c>
      <c r="CD15" s="171">
        <f t="shared" si="4"/>
        <v>4290.0000000000009</v>
      </c>
      <c r="CE15" s="171">
        <f t="shared" si="4"/>
        <v>9000</v>
      </c>
      <c r="CF15" s="171">
        <f t="shared" si="4"/>
        <v>9460</v>
      </c>
      <c r="CG15" s="171">
        <f t="shared" si="4"/>
        <v>4870</v>
      </c>
      <c r="CH15" s="171">
        <f t="shared" si="4"/>
        <v>5020</v>
      </c>
      <c r="CI15" s="171">
        <f t="shared" si="4"/>
        <v>4970</v>
      </c>
      <c r="CJ15" s="171">
        <f t="shared" si="4"/>
        <v>0</v>
      </c>
      <c r="CK15" s="257">
        <f t="shared" si="4"/>
        <v>5070</v>
      </c>
    </row>
    <row r="16" spans="1:89" x14ac:dyDescent="0.3">
      <c r="A16" s="241"/>
      <c r="F16" s="241"/>
      <c r="O16" s="191"/>
      <c r="CK16" s="191"/>
    </row>
    <row r="17" spans="1:89" x14ac:dyDescent="0.3">
      <c r="A17" s="241"/>
      <c r="D17" s="246"/>
      <c r="F17" s="241"/>
      <c r="O17" s="191"/>
      <c r="CK17" s="191"/>
    </row>
    <row r="18" spans="1:89" x14ac:dyDescent="0.3">
      <c r="A18" s="241"/>
      <c r="C18" s="263">
        <f>+EOMONTH(B18,0)</f>
        <v>31</v>
      </c>
      <c r="D18" s="246" t="s">
        <v>276</v>
      </c>
      <c r="E18" s="170">
        <f>+EOMONTH(B18, $D$6)</f>
        <v>91</v>
      </c>
      <c r="F18" s="242"/>
      <c r="G18" s="516">
        <v>0</v>
      </c>
      <c r="H18" s="516">
        <v>0</v>
      </c>
      <c r="I18" s="516">
        <v>0</v>
      </c>
      <c r="J18" s="516">
        <v>0</v>
      </c>
      <c r="K18" s="516">
        <v>0</v>
      </c>
      <c r="L18" s="516">
        <v>300</v>
      </c>
      <c r="M18" s="516">
        <v>0</v>
      </c>
      <c r="N18" s="516">
        <v>0</v>
      </c>
      <c r="O18" s="642">
        <v>0</v>
      </c>
      <c r="P18" s="171">
        <f t="shared" ref="P18:BS18" si="5">+P6*$D$6*$A$6</f>
        <v>0</v>
      </c>
      <c r="Q18" s="171">
        <f t="shared" si="5"/>
        <v>310</v>
      </c>
      <c r="R18" s="171">
        <f t="shared" si="5"/>
        <v>317.5</v>
      </c>
      <c r="S18" s="171">
        <f t="shared" si="5"/>
        <v>315.00000000000006</v>
      </c>
      <c r="T18" s="171">
        <f t="shared" si="5"/>
        <v>0</v>
      </c>
      <c r="U18" s="171">
        <f t="shared" si="5"/>
        <v>320</v>
      </c>
      <c r="V18" s="171">
        <f t="shared" si="5"/>
        <v>330</v>
      </c>
      <c r="W18" s="171">
        <f t="shared" si="5"/>
        <v>695</v>
      </c>
      <c r="X18" s="171">
        <f t="shared" si="5"/>
        <v>730.00000000000011</v>
      </c>
      <c r="Y18" s="171">
        <f t="shared" si="5"/>
        <v>375</v>
      </c>
      <c r="Z18" s="171">
        <f t="shared" si="5"/>
        <v>387.5</v>
      </c>
      <c r="AA18" s="171">
        <f t="shared" si="5"/>
        <v>382.5</v>
      </c>
      <c r="AB18" s="171">
        <f t="shared" si="5"/>
        <v>0</v>
      </c>
      <c r="AC18" s="171">
        <f t="shared" si="5"/>
        <v>390.00000000000006</v>
      </c>
      <c r="AD18" s="171">
        <f t="shared" si="5"/>
        <v>402.50000000000006</v>
      </c>
      <c r="AE18" s="171">
        <f t="shared" si="5"/>
        <v>397.5</v>
      </c>
      <c r="AF18" s="171">
        <f t="shared" si="5"/>
        <v>0</v>
      </c>
      <c r="AG18" s="171">
        <f t="shared" si="5"/>
        <v>407.5</v>
      </c>
      <c r="AH18" s="171">
        <f t="shared" si="5"/>
        <v>417.5</v>
      </c>
      <c r="AI18" s="171">
        <f t="shared" si="5"/>
        <v>880.00000000000011</v>
      </c>
      <c r="AJ18" s="171">
        <f t="shared" si="5"/>
        <v>925</v>
      </c>
      <c r="AK18" s="171">
        <f t="shared" si="5"/>
        <v>475</v>
      </c>
      <c r="AL18" s="171">
        <f t="shared" si="5"/>
        <v>490.00000000000006</v>
      </c>
      <c r="AM18" s="171">
        <f t="shared" si="5"/>
        <v>485.00000000000006</v>
      </c>
      <c r="AN18" s="171">
        <f t="shared" si="5"/>
        <v>0</v>
      </c>
      <c r="AO18" s="171">
        <f t="shared" si="5"/>
        <v>495</v>
      </c>
      <c r="AP18" s="171">
        <f t="shared" si="5"/>
        <v>510.00000000000006</v>
      </c>
      <c r="AQ18" s="171">
        <f t="shared" si="5"/>
        <v>505.00000000000006</v>
      </c>
      <c r="AR18" s="171">
        <f t="shared" si="5"/>
        <v>0</v>
      </c>
      <c r="AS18" s="171">
        <f t="shared" si="5"/>
        <v>515</v>
      </c>
      <c r="AT18" s="171">
        <f t="shared" si="5"/>
        <v>530.00000000000011</v>
      </c>
      <c r="AU18" s="171">
        <f t="shared" si="5"/>
        <v>1115</v>
      </c>
      <c r="AV18" s="171">
        <f t="shared" si="5"/>
        <v>1170</v>
      </c>
      <c r="AW18" s="171">
        <f t="shared" si="5"/>
        <v>602.5</v>
      </c>
      <c r="AX18" s="171">
        <f t="shared" si="5"/>
        <v>620</v>
      </c>
      <c r="AY18" s="171">
        <f t="shared" si="5"/>
        <v>612.5</v>
      </c>
      <c r="AZ18" s="171">
        <f t="shared" si="5"/>
        <v>0</v>
      </c>
      <c r="BA18" s="171">
        <f t="shared" si="5"/>
        <v>625</v>
      </c>
      <c r="BB18" s="171">
        <f t="shared" si="5"/>
        <v>645</v>
      </c>
      <c r="BC18" s="171">
        <f t="shared" si="5"/>
        <v>637.5</v>
      </c>
      <c r="BD18" s="171">
        <f t="shared" si="5"/>
        <v>0</v>
      </c>
      <c r="BE18" s="171">
        <f t="shared" si="5"/>
        <v>650</v>
      </c>
      <c r="BF18" s="171">
        <f t="shared" si="5"/>
        <v>670</v>
      </c>
      <c r="BG18" s="171">
        <f t="shared" si="5"/>
        <v>1410.0000000000002</v>
      </c>
      <c r="BH18" s="171">
        <f t="shared" si="5"/>
        <v>1480</v>
      </c>
      <c r="BI18" s="171">
        <f t="shared" si="5"/>
        <v>760</v>
      </c>
      <c r="BJ18" s="171">
        <f t="shared" si="5"/>
        <v>785</v>
      </c>
      <c r="BK18" s="171">
        <f t="shared" si="5"/>
        <v>777.5</v>
      </c>
      <c r="BL18" s="171">
        <f t="shared" si="5"/>
        <v>0</v>
      </c>
      <c r="BM18" s="171">
        <f t="shared" si="5"/>
        <v>792.50000000000011</v>
      </c>
      <c r="BN18" s="171">
        <f t="shared" si="5"/>
        <v>815</v>
      </c>
      <c r="BO18" s="171">
        <f t="shared" si="5"/>
        <v>807.50000000000011</v>
      </c>
      <c r="BP18" s="171">
        <f t="shared" si="5"/>
        <v>0</v>
      </c>
      <c r="BQ18" s="171">
        <f t="shared" si="5"/>
        <v>822.5</v>
      </c>
      <c r="BR18" s="171">
        <f t="shared" si="5"/>
        <v>847.5</v>
      </c>
      <c r="BS18" s="171">
        <f t="shared" si="5"/>
        <v>1780</v>
      </c>
      <c r="BT18" s="171">
        <f t="shared" ref="BT18:CK18" si="6">+BT6*$D$6*$A$6</f>
        <v>1870</v>
      </c>
      <c r="BU18" s="171">
        <f t="shared" si="6"/>
        <v>962.5</v>
      </c>
      <c r="BV18" s="171">
        <f t="shared" si="6"/>
        <v>992.50000000000011</v>
      </c>
      <c r="BW18" s="171">
        <f t="shared" si="6"/>
        <v>982.50000000000011</v>
      </c>
      <c r="BX18" s="171">
        <f t="shared" si="6"/>
        <v>0</v>
      </c>
      <c r="BY18" s="171">
        <f t="shared" si="6"/>
        <v>1002.5</v>
      </c>
      <c r="BZ18" s="171">
        <f t="shared" si="6"/>
        <v>1032.5</v>
      </c>
      <c r="CA18" s="171">
        <f t="shared" si="6"/>
        <v>1020.0000000000001</v>
      </c>
      <c r="CB18" s="171">
        <f t="shared" si="6"/>
        <v>0</v>
      </c>
      <c r="CC18" s="171">
        <f t="shared" si="6"/>
        <v>1040</v>
      </c>
      <c r="CD18" s="171">
        <f t="shared" si="6"/>
        <v>1072.5000000000002</v>
      </c>
      <c r="CE18" s="171">
        <f t="shared" si="6"/>
        <v>2250</v>
      </c>
      <c r="CF18" s="171">
        <f t="shared" si="6"/>
        <v>2365</v>
      </c>
      <c r="CG18" s="171">
        <f t="shared" si="6"/>
        <v>1217.5</v>
      </c>
      <c r="CH18" s="171">
        <f t="shared" si="6"/>
        <v>1255</v>
      </c>
      <c r="CI18" s="171">
        <f t="shared" si="6"/>
        <v>1242.5</v>
      </c>
      <c r="CJ18" s="171">
        <f t="shared" si="6"/>
        <v>0</v>
      </c>
      <c r="CK18" s="257">
        <f t="shared" si="6"/>
        <v>1267.5</v>
      </c>
    </row>
    <row r="19" spans="1:89" x14ac:dyDescent="0.3">
      <c r="A19" s="241"/>
      <c r="F19" s="241"/>
      <c r="O19" s="191"/>
      <c r="CK19" s="191"/>
    </row>
    <row r="20" spans="1:89" x14ac:dyDescent="0.3">
      <c r="A20" s="241"/>
      <c r="F20" s="241"/>
      <c r="O20" s="191"/>
      <c r="CK20" s="191"/>
    </row>
    <row r="21" spans="1:89" x14ac:dyDescent="0.3">
      <c r="A21" s="241"/>
      <c r="D21" s="7" t="s">
        <v>272</v>
      </c>
      <c r="F21" s="243">
        <f t="shared" ref="F21:AK21" si="7">+SUM(F12:F12)</f>
        <v>0</v>
      </c>
      <c r="G21" s="244">
        <f t="shared" si="7"/>
        <v>0</v>
      </c>
      <c r="H21" s="244">
        <f t="shared" si="7"/>
        <v>0</v>
      </c>
      <c r="I21" s="244">
        <f t="shared" si="7"/>
        <v>0</v>
      </c>
      <c r="J21" s="244">
        <f t="shared" si="7"/>
        <v>0</v>
      </c>
      <c r="K21" s="244">
        <f t="shared" si="7"/>
        <v>1750</v>
      </c>
      <c r="L21" s="244">
        <f t="shared" ref="L21" si="8">+SUM(L12:L12)</f>
        <v>2562.94</v>
      </c>
      <c r="M21" s="244">
        <f t="shared" si="7"/>
        <v>0</v>
      </c>
      <c r="N21" s="244">
        <f t="shared" si="7"/>
        <v>0</v>
      </c>
      <c r="O21" s="245">
        <f t="shared" ref="O21" si="9">+SUM(O12:O12)</f>
        <v>0</v>
      </c>
      <c r="P21" s="244">
        <f t="shared" si="7"/>
        <v>0</v>
      </c>
      <c r="Q21" s="244">
        <f t="shared" si="7"/>
        <v>0</v>
      </c>
      <c r="R21" s="244">
        <f t="shared" si="7"/>
        <v>0</v>
      </c>
      <c r="S21" s="244">
        <f t="shared" si="7"/>
        <v>0</v>
      </c>
      <c r="T21" s="244">
        <f t="shared" si="7"/>
        <v>0</v>
      </c>
      <c r="U21" s="244">
        <f t="shared" si="7"/>
        <v>0</v>
      </c>
      <c r="V21" s="244">
        <f t="shared" si="7"/>
        <v>0</v>
      </c>
      <c r="W21" s="244">
        <f t="shared" si="7"/>
        <v>14595</v>
      </c>
      <c r="X21" s="244">
        <f t="shared" si="7"/>
        <v>15329.999999999998</v>
      </c>
      <c r="Y21" s="244">
        <f t="shared" si="7"/>
        <v>0</v>
      </c>
      <c r="Z21" s="244">
        <f t="shared" si="7"/>
        <v>0</v>
      </c>
      <c r="AA21" s="244">
        <f t="shared" si="7"/>
        <v>0</v>
      </c>
      <c r="AB21" s="244">
        <f t="shared" si="7"/>
        <v>0</v>
      </c>
      <c r="AC21" s="244">
        <f t="shared" si="7"/>
        <v>0</v>
      </c>
      <c r="AD21" s="244">
        <f t="shared" si="7"/>
        <v>0</v>
      </c>
      <c r="AE21" s="244">
        <f t="shared" si="7"/>
        <v>0</v>
      </c>
      <c r="AF21" s="244">
        <f t="shared" si="7"/>
        <v>0</v>
      </c>
      <c r="AG21" s="244">
        <f t="shared" si="7"/>
        <v>0</v>
      </c>
      <c r="AH21" s="244">
        <f t="shared" si="7"/>
        <v>0</v>
      </c>
      <c r="AI21" s="244">
        <f t="shared" si="7"/>
        <v>18480</v>
      </c>
      <c r="AJ21" s="244">
        <f t="shared" si="7"/>
        <v>19425</v>
      </c>
      <c r="AK21" s="244">
        <f t="shared" si="7"/>
        <v>0</v>
      </c>
      <c r="AL21" s="244">
        <f t="shared" ref="AL21:BQ21" si="10">+SUM(AL12:AL12)</f>
        <v>0</v>
      </c>
      <c r="AM21" s="244">
        <f t="shared" si="10"/>
        <v>0</v>
      </c>
      <c r="AN21" s="244">
        <f t="shared" si="10"/>
        <v>0</v>
      </c>
      <c r="AO21" s="244">
        <f t="shared" si="10"/>
        <v>0</v>
      </c>
      <c r="AP21" s="244">
        <f t="shared" si="10"/>
        <v>0</v>
      </c>
      <c r="AQ21" s="244">
        <f t="shared" si="10"/>
        <v>0</v>
      </c>
      <c r="AR21" s="244">
        <f t="shared" si="10"/>
        <v>0</v>
      </c>
      <c r="AS21" s="244">
        <f t="shared" si="10"/>
        <v>0</v>
      </c>
      <c r="AT21" s="244">
        <f t="shared" si="10"/>
        <v>0</v>
      </c>
      <c r="AU21" s="244">
        <f t="shared" si="10"/>
        <v>23415</v>
      </c>
      <c r="AV21" s="244">
        <f t="shared" si="10"/>
        <v>24569.999999999996</v>
      </c>
      <c r="AW21" s="244">
        <f t="shared" si="10"/>
        <v>0</v>
      </c>
      <c r="AX21" s="244">
        <f t="shared" si="10"/>
        <v>0</v>
      </c>
      <c r="AY21" s="244">
        <f t="shared" si="10"/>
        <v>0</v>
      </c>
      <c r="AZ21" s="244">
        <f t="shared" si="10"/>
        <v>0</v>
      </c>
      <c r="BA21" s="244">
        <f t="shared" si="10"/>
        <v>0</v>
      </c>
      <c r="BB21" s="244">
        <f t="shared" si="10"/>
        <v>0</v>
      </c>
      <c r="BC21" s="244">
        <f t="shared" si="10"/>
        <v>0</v>
      </c>
      <c r="BD21" s="244">
        <f t="shared" si="10"/>
        <v>0</v>
      </c>
      <c r="BE21" s="244">
        <f t="shared" si="10"/>
        <v>0</v>
      </c>
      <c r="BF21" s="244">
        <f t="shared" si="10"/>
        <v>0</v>
      </c>
      <c r="BG21" s="244">
        <f t="shared" si="10"/>
        <v>29609.999999999996</v>
      </c>
      <c r="BH21" s="244">
        <f t="shared" si="10"/>
        <v>31080</v>
      </c>
      <c r="BI21" s="244">
        <f t="shared" si="10"/>
        <v>0</v>
      </c>
      <c r="BJ21" s="244">
        <f t="shared" si="10"/>
        <v>0</v>
      </c>
      <c r="BK21" s="244">
        <f t="shared" si="10"/>
        <v>0</v>
      </c>
      <c r="BL21" s="244">
        <f t="shared" si="10"/>
        <v>0</v>
      </c>
      <c r="BM21" s="244">
        <f t="shared" si="10"/>
        <v>0</v>
      </c>
      <c r="BN21" s="244">
        <f t="shared" si="10"/>
        <v>0</v>
      </c>
      <c r="BO21" s="244">
        <f t="shared" si="10"/>
        <v>0</v>
      </c>
      <c r="BP21" s="244">
        <f t="shared" si="10"/>
        <v>0</v>
      </c>
      <c r="BQ21" s="244">
        <f t="shared" si="10"/>
        <v>0</v>
      </c>
      <c r="BR21" s="244">
        <f t="shared" ref="BR21:CK21" si="11">+SUM(BR12:BR12)</f>
        <v>0</v>
      </c>
      <c r="BS21" s="244">
        <f t="shared" si="11"/>
        <v>37380</v>
      </c>
      <c r="BT21" s="244">
        <f t="shared" si="11"/>
        <v>39270</v>
      </c>
      <c r="BU21" s="244">
        <f t="shared" si="11"/>
        <v>0</v>
      </c>
      <c r="BV21" s="244">
        <f t="shared" si="11"/>
        <v>0</v>
      </c>
      <c r="BW21" s="244">
        <f t="shared" si="11"/>
        <v>0</v>
      </c>
      <c r="BX21" s="244">
        <f t="shared" si="11"/>
        <v>0</v>
      </c>
      <c r="BY21" s="244">
        <f t="shared" si="11"/>
        <v>0</v>
      </c>
      <c r="BZ21" s="244">
        <f t="shared" si="11"/>
        <v>0</v>
      </c>
      <c r="CA21" s="244">
        <f t="shared" si="11"/>
        <v>0</v>
      </c>
      <c r="CB21" s="244">
        <f t="shared" si="11"/>
        <v>0</v>
      </c>
      <c r="CC21" s="244">
        <f t="shared" si="11"/>
        <v>0</v>
      </c>
      <c r="CD21" s="244">
        <f t="shared" si="11"/>
        <v>0</v>
      </c>
      <c r="CE21" s="244">
        <f t="shared" si="11"/>
        <v>47250</v>
      </c>
      <c r="CF21" s="244">
        <f t="shared" si="11"/>
        <v>49664.999999999993</v>
      </c>
      <c r="CG21" s="244">
        <f t="shared" si="11"/>
        <v>0</v>
      </c>
      <c r="CH21" s="244">
        <f t="shared" si="11"/>
        <v>0</v>
      </c>
      <c r="CI21" s="244">
        <f t="shared" si="11"/>
        <v>0</v>
      </c>
      <c r="CJ21" s="244">
        <f t="shared" si="11"/>
        <v>0</v>
      </c>
      <c r="CK21" s="245">
        <f t="shared" si="11"/>
        <v>0</v>
      </c>
    </row>
    <row r="22" spans="1:89" x14ac:dyDescent="0.3">
      <c r="A22" s="241"/>
      <c r="D22" s="7" t="s">
        <v>277</v>
      </c>
      <c r="F22" s="243">
        <f t="shared" ref="F22:AK22" si="12">+SUM(F15:F15)</f>
        <v>0</v>
      </c>
      <c r="G22" s="244">
        <f t="shared" si="12"/>
        <v>0</v>
      </c>
      <c r="H22" s="244">
        <f t="shared" si="12"/>
        <v>0</v>
      </c>
      <c r="I22" s="244">
        <f t="shared" si="12"/>
        <v>0</v>
      </c>
      <c r="J22" s="244">
        <f t="shared" si="12"/>
        <v>850</v>
      </c>
      <c r="K22" s="244">
        <f t="shared" si="12"/>
        <v>1305</v>
      </c>
      <c r="L22" s="244">
        <f t="shared" ref="L22" si="13">+SUM(L15:L15)</f>
        <v>170</v>
      </c>
      <c r="M22" s="244">
        <f t="shared" si="12"/>
        <v>0</v>
      </c>
      <c r="N22" s="244">
        <f t="shared" si="12"/>
        <v>0</v>
      </c>
      <c r="O22" s="245">
        <f t="shared" ref="O22" si="14">+SUM(O15:O15)</f>
        <v>0</v>
      </c>
      <c r="P22" s="244">
        <f t="shared" si="12"/>
        <v>0</v>
      </c>
      <c r="Q22" s="244">
        <f t="shared" si="12"/>
        <v>1240</v>
      </c>
      <c r="R22" s="244">
        <f t="shared" si="12"/>
        <v>1270</v>
      </c>
      <c r="S22" s="244">
        <f t="shared" si="12"/>
        <v>1260.0000000000002</v>
      </c>
      <c r="T22" s="244">
        <f t="shared" si="12"/>
        <v>0</v>
      </c>
      <c r="U22" s="244">
        <f t="shared" si="12"/>
        <v>1280</v>
      </c>
      <c r="V22" s="244">
        <f t="shared" si="12"/>
        <v>1320</v>
      </c>
      <c r="W22" s="244">
        <f t="shared" si="12"/>
        <v>2780</v>
      </c>
      <c r="X22" s="244">
        <f t="shared" si="12"/>
        <v>2920.0000000000005</v>
      </c>
      <c r="Y22" s="244">
        <f t="shared" si="12"/>
        <v>1500</v>
      </c>
      <c r="Z22" s="244">
        <f t="shared" si="12"/>
        <v>1550</v>
      </c>
      <c r="AA22" s="244">
        <f t="shared" si="12"/>
        <v>1530</v>
      </c>
      <c r="AB22" s="244">
        <f t="shared" si="12"/>
        <v>0</v>
      </c>
      <c r="AC22" s="244">
        <f t="shared" si="12"/>
        <v>1560.0000000000002</v>
      </c>
      <c r="AD22" s="244">
        <f t="shared" si="12"/>
        <v>1610.0000000000002</v>
      </c>
      <c r="AE22" s="244">
        <f t="shared" si="12"/>
        <v>1590</v>
      </c>
      <c r="AF22" s="244">
        <f t="shared" si="12"/>
        <v>0</v>
      </c>
      <c r="AG22" s="244">
        <f t="shared" si="12"/>
        <v>1630</v>
      </c>
      <c r="AH22" s="244">
        <f t="shared" si="12"/>
        <v>1670</v>
      </c>
      <c r="AI22" s="244">
        <f t="shared" si="12"/>
        <v>3520.0000000000005</v>
      </c>
      <c r="AJ22" s="244">
        <f t="shared" si="12"/>
        <v>3700</v>
      </c>
      <c r="AK22" s="244">
        <f t="shared" si="12"/>
        <v>1900</v>
      </c>
      <c r="AL22" s="244">
        <f t="shared" ref="AL22:BQ22" si="15">+SUM(AL15:AL15)</f>
        <v>1960.0000000000002</v>
      </c>
      <c r="AM22" s="244">
        <f t="shared" si="15"/>
        <v>1940.0000000000002</v>
      </c>
      <c r="AN22" s="244">
        <f t="shared" si="15"/>
        <v>0</v>
      </c>
      <c r="AO22" s="244">
        <f t="shared" si="15"/>
        <v>1980</v>
      </c>
      <c r="AP22" s="244">
        <f t="shared" si="15"/>
        <v>2040.0000000000002</v>
      </c>
      <c r="AQ22" s="244">
        <f t="shared" si="15"/>
        <v>2020.0000000000002</v>
      </c>
      <c r="AR22" s="244">
        <f t="shared" si="15"/>
        <v>0</v>
      </c>
      <c r="AS22" s="244">
        <f t="shared" si="15"/>
        <v>2060</v>
      </c>
      <c r="AT22" s="244">
        <f t="shared" si="15"/>
        <v>2120.0000000000005</v>
      </c>
      <c r="AU22" s="244">
        <f t="shared" si="15"/>
        <v>4460</v>
      </c>
      <c r="AV22" s="244">
        <f t="shared" si="15"/>
        <v>4680</v>
      </c>
      <c r="AW22" s="244">
        <f t="shared" si="15"/>
        <v>2410</v>
      </c>
      <c r="AX22" s="244">
        <f t="shared" si="15"/>
        <v>2480</v>
      </c>
      <c r="AY22" s="244">
        <f t="shared" si="15"/>
        <v>2450</v>
      </c>
      <c r="AZ22" s="244">
        <f t="shared" si="15"/>
        <v>0</v>
      </c>
      <c r="BA22" s="244">
        <f t="shared" si="15"/>
        <v>2500</v>
      </c>
      <c r="BB22" s="244">
        <f t="shared" si="15"/>
        <v>2580</v>
      </c>
      <c r="BC22" s="244">
        <f t="shared" si="15"/>
        <v>2550</v>
      </c>
      <c r="BD22" s="244">
        <f t="shared" si="15"/>
        <v>0</v>
      </c>
      <c r="BE22" s="244">
        <f t="shared" si="15"/>
        <v>2600</v>
      </c>
      <c r="BF22" s="244">
        <f t="shared" si="15"/>
        <v>2680</v>
      </c>
      <c r="BG22" s="244">
        <f t="shared" si="15"/>
        <v>5640.0000000000009</v>
      </c>
      <c r="BH22" s="244">
        <f t="shared" si="15"/>
        <v>5920</v>
      </c>
      <c r="BI22" s="244">
        <f t="shared" si="15"/>
        <v>3040</v>
      </c>
      <c r="BJ22" s="244">
        <f t="shared" si="15"/>
        <v>3140</v>
      </c>
      <c r="BK22" s="244">
        <f t="shared" si="15"/>
        <v>3110</v>
      </c>
      <c r="BL22" s="244">
        <f t="shared" si="15"/>
        <v>0</v>
      </c>
      <c r="BM22" s="244">
        <f t="shared" si="15"/>
        <v>3170.0000000000005</v>
      </c>
      <c r="BN22" s="244">
        <f t="shared" si="15"/>
        <v>3260</v>
      </c>
      <c r="BO22" s="244">
        <f t="shared" si="15"/>
        <v>3230.0000000000005</v>
      </c>
      <c r="BP22" s="244">
        <f t="shared" si="15"/>
        <v>0</v>
      </c>
      <c r="BQ22" s="244">
        <f t="shared" si="15"/>
        <v>3290</v>
      </c>
      <c r="BR22" s="244">
        <f t="shared" ref="BR22:CK22" si="16">+SUM(BR15:BR15)</f>
        <v>3390</v>
      </c>
      <c r="BS22" s="244">
        <f t="shared" si="16"/>
        <v>7120</v>
      </c>
      <c r="BT22" s="244">
        <f t="shared" si="16"/>
        <v>7480</v>
      </c>
      <c r="BU22" s="244">
        <f t="shared" si="16"/>
        <v>3850</v>
      </c>
      <c r="BV22" s="244">
        <f t="shared" si="16"/>
        <v>3970.0000000000005</v>
      </c>
      <c r="BW22" s="244">
        <f t="shared" si="16"/>
        <v>3930.0000000000005</v>
      </c>
      <c r="BX22" s="244">
        <f t="shared" si="16"/>
        <v>0</v>
      </c>
      <c r="BY22" s="244">
        <f t="shared" si="16"/>
        <v>4010</v>
      </c>
      <c r="BZ22" s="244">
        <f t="shared" si="16"/>
        <v>4130</v>
      </c>
      <c r="CA22" s="244">
        <f t="shared" si="16"/>
        <v>4080.0000000000005</v>
      </c>
      <c r="CB22" s="244">
        <f t="shared" si="16"/>
        <v>0</v>
      </c>
      <c r="CC22" s="244">
        <f t="shared" si="16"/>
        <v>4160</v>
      </c>
      <c r="CD22" s="244">
        <f t="shared" si="16"/>
        <v>4290.0000000000009</v>
      </c>
      <c r="CE22" s="244">
        <f t="shared" si="16"/>
        <v>9000</v>
      </c>
      <c r="CF22" s="244">
        <f t="shared" si="16"/>
        <v>9460</v>
      </c>
      <c r="CG22" s="244">
        <f t="shared" si="16"/>
        <v>4870</v>
      </c>
      <c r="CH22" s="244">
        <f t="shared" si="16"/>
        <v>5020</v>
      </c>
      <c r="CI22" s="244">
        <f t="shared" si="16"/>
        <v>4970</v>
      </c>
      <c r="CJ22" s="244">
        <f t="shared" si="16"/>
        <v>0</v>
      </c>
      <c r="CK22" s="245">
        <f t="shared" si="16"/>
        <v>5070</v>
      </c>
    </row>
    <row r="23" spans="1:89" x14ac:dyDescent="0.3">
      <c r="A23" s="241"/>
      <c r="D23" s="7" t="s">
        <v>276</v>
      </c>
      <c r="F23" s="243">
        <f t="shared" ref="F23:AK23" si="17">+SUM(F18:F18)</f>
        <v>0</v>
      </c>
      <c r="G23" s="244">
        <f t="shared" si="17"/>
        <v>0</v>
      </c>
      <c r="H23" s="244">
        <f t="shared" si="17"/>
        <v>0</v>
      </c>
      <c r="I23" s="244">
        <f t="shared" si="17"/>
        <v>0</v>
      </c>
      <c r="J23" s="244">
        <f t="shared" si="17"/>
        <v>0</v>
      </c>
      <c r="K23" s="244">
        <f t="shared" si="17"/>
        <v>0</v>
      </c>
      <c r="L23" s="244">
        <f t="shared" ref="L23" si="18">+SUM(L18:L18)</f>
        <v>300</v>
      </c>
      <c r="M23" s="244">
        <f t="shared" si="17"/>
        <v>0</v>
      </c>
      <c r="N23" s="244">
        <f t="shared" si="17"/>
        <v>0</v>
      </c>
      <c r="O23" s="245">
        <f t="shared" ref="O23" si="19">+SUM(O18:O18)</f>
        <v>0</v>
      </c>
      <c r="P23" s="244">
        <f t="shared" si="17"/>
        <v>0</v>
      </c>
      <c r="Q23" s="244">
        <f t="shared" si="17"/>
        <v>310</v>
      </c>
      <c r="R23" s="244">
        <f t="shared" si="17"/>
        <v>317.5</v>
      </c>
      <c r="S23" s="244">
        <f t="shared" si="17"/>
        <v>315.00000000000006</v>
      </c>
      <c r="T23" s="244">
        <f t="shared" si="17"/>
        <v>0</v>
      </c>
      <c r="U23" s="244">
        <f t="shared" si="17"/>
        <v>320</v>
      </c>
      <c r="V23" s="244">
        <f t="shared" si="17"/>
        <v>330</v>
      </c>
      <c r="W23" s="244">
        <f t="shared" si="17"/>
        <v>695</v>
      </c>
      <c r="X23" s="244">
        <f t="shared" si="17"/>
        <v>730.00000000000011</v>
      </c>
      <c r="Y23" s="244">
        <f t="shared" si="17"/>
        <v>375</v>
      </c>
      <c r="Z23" s="244">
        <f t="shared" si="17"/>
        <v>387.5</v>
      </c>
      <c r="AA23" s="244">
        <f t="shared" si="17"/>
        <v>382.5</v>
      </c>
      <c r="AB23" s="244">
        <f t="shared" si="17"/>
        <v>0</v>
      </c>
      <c r="AC23" s="244">
        <f t="shared" si="17"/>
        <v>390.00000000000006</v>
      </c>
      <c r="AD23" s="244">
        <f t="shared" si="17"/>
        <v>402.50000000000006</v>
      </c>
      <c r="AE23" s="244">
        <f t="shared" si="17"/>
        <v>397.5</v>
      </c>
      <c r="AF23" s="244">
        <f t="shared" si="17"/>
        <v>0</v>
      </c>
      <c r="AG23" s="244">
        <f t="shared" si="17"/>
        <v>407.5</v>
      </c>
      <c r="AH23" s="244">
        <f t="shared" si="17"/>
        <v>417.5</v>
      </c>
      <c r="AI23" s="244">
        <f t="shared" si="17"/>
        <v>880.00000000000011</v>
      </c>
      <c r="AJ23" s="244">
        <f t="shared" si="17"/>
        <v>925</v>
      </c>
      <c r="AK23" s="244">
        <f t="shared" si="17"/>
        <v>475</v>
      </c>
      <c r="AL23" s="244">
        <f t="shared" ref="AL23:BQ23" si="20">+SUM(AL18:AL18)</f>
        <v>490.00000000000006</v>
      </c>
      <c r="AM23" s="244">
        <f t="shared" si="20"/>
        <v>485.00000000000006</v>
      </c>
      <c r="AN23" s="244">
        <f t="shared" si="20"/>
        <v>0</v>
      </c>
      <c r="AO23" s="244">
        <f t="shared" si="20"/>
        <v>495</v>
      </c>
      <c r="AP23" s="244">
        <f t="shared" si="20"/>
        <v>510.00000000000006</v>
      </c>
      <c r="AQ23" s="244">
        <f t="shared" si="20"/>
        <v>505.00000000000006</v>
      </c>
      <c r="AR23" s="244">
        <f t="shared" si="20"/>
        <v>0</v>
      </c>
      <c r="AS23" s="244">
        <f t="shared" si="20"/>
        <v>515</v>
      </c>
      <c r="AT23" s="244">
        <f t="shared" si="20"/>
        <v>530.00000000000011</v>
      </c>
      <c r="AU23" s="244">
        <f t="shared" si="20"/>
        <v>1115</v>
      </c>
      <c r="AV23" s="244">
        <f t="shared" si="20"/>
        <v>1170</v>
      </c>
      <c r="AW23" s="244">
        <f t="shared" si="20"/>
        <v>602.5</v>
      </c>
      <c r="AX23" s="244">
        <f t="shared" si="20"/>
        <v>620</v>
      </c>
      <c r="AY23" s="244">
        <f t="shared" si="20"/>
        <v>612.5</v>
      </c>
      <c r="AZ23" s="244">
        <f t="shared" si="20"/>
        <v>0</v>
      </c>
      <c r="BA23" s="244">
        <f t="shared" si="20"/>
        <v>625</v>
      </c>
      <c r="BB23" s="244">
        <f t="shared" si="20"/>
        <v>645</v>
      </c>
      <c r="BC23" s="244">
        <f t="shared" si="20"/>
        <v>637.5</v>
      </c>
      <c r="BD23" s="244">
        <f t="shared" si="20"/>
        <v>0</v>
      </c>
      <c r="BE23" s="244">
        <f t="shared" si="20"/>
        <v>650</v>
      </c>
      <c r="BF23" s="244">
        <f t="shared" si="20"/>
        <v>670</v>
      </c>
      <c r="BG23" s="244">
        <f t="shared" si="20"/>
        <v>1410.0000000000002</v>
      </c>
      <c r="BH23" s="244">
        <f t="shared" si="20"/>
        <v>1480</v>
      </c>
      <c r="BI23" s="244">
        <f t="shared" si="20"/>
        <v>760</v>
      </c>
      <c r="BJ23" s="244">
        <f t="shared" si="20"/>
        <v>785</v>
      </c>
      <c r="BK23" s="244">
        <f t="shared" si="20"/>
        <v>777.5</v>
      </c>
      <c r="BL23" s="244">
        <f t="shared" si="20"/>
        <v>0</v>
      </c>
      <c r="BM23" s="244">
        <f t="shared" si="20"/>
        <v>792.50000000000011</v>
      </c>
      <c r="BN23" s="244">
        <f t="shared" si="20"/>
        <v>815</v>
      </c>
      <c r="BO23" s="244">
        <f t="shared" si="20"/>
        <v>807.50000000000011</v>
      </c>
      <c r="BP23" s="244">
        <f t="shared" si="20"/>
        <v>0</v>
      </c>
      <c r="BQ23" s="244">
        <f t="shared" si="20"/>
        <v>822.5</v>
      </c>
      <c r="BR23" s="244">
        <f t="shared" ref="BR23:CK23" si="21">+SUM(BR18:BR18)</f>
        <v>847.5</v>
      </c>
      <c r="BS23" s="244">
        <f t="shared" si="21"/>
        <v>1780</v>
      </c>
      <c r="BT23" s="244">
        <f t="shared" si="21"/>
        <v>1870</v>
      </c>
      <c r="BU23" s="244">
        <f t="shared" si="21"/>
        <v>962.5</v>
      </c>
      <c r="BV23" s="244">
        <f t="shared" si="21"/>
        <v>992.50000000000011</v>
      </c>
      <c r="BW23" s="244">
        <f t="shared" si="21"/>
        <v>982.50000000000011</v>
      </c>
      <c r="BX23" s="244">
        <f t="shared" si="21"/>
        <v>0</v>
      </c>
      <c r="BY23" s="244">
        <f t="shared" si="21"/>
        <v>1002.5</v>
      </c>
      <c r="BZ23" s="244">
        <f t="shared" si="21"/>
        <v>1032.5</v>
      </c>
      <c r="CA23" s="244">
        <f t="shared" si="21"/>
        <v>1020.0000000000001</v>
      </c>
      <c r="CB23" s="244">
        <f t="shared" si="21"/>
        <v>0</v>
      </c>
      <c r="CC23" s="244">
        <f t="shared" si="21"/>
        <v>1040</v>
      </c>
      <c r="CD23" s="244">
        <f t="shared" si="21"/>
        <v>1072.5000000000002</v>
      </c>
      <c r="CE23" s="244">
        <f t="shared" si="21"/>
        <v>2250</v>
      </c>
      <c r="CF23" s="244">
        <f t="shared" si="21"/>
        <v>2365</v>
      </c>
      <c r="CG23" s="244">
        <f t="shared" si="21"/>
        <v>1217.5</v>
      </c>
      <c r="CH23" s="244">
        <f t="shared" si="21"/>
        <v>1255</v>
      </c>
      <c r="CI23" s="244">
        <f t="shared" si="21"/>
        <v>1242.5</v>
      </c>
      <c r="CJ23" s="244">
        <f t="shared" si="21"/>
        <v>0</v>
      </c>
      <c r="CK23" s="245">
        <f t="shared" si="21"/>
        <v>1267.5</v>
      </c>
    </row>
    <row r="24" spans="1:89" x14ac:dyDescent="0.3">
      <c r="A24" s="241"/>
      <c r="D24" s="7" t="s">
        <v>274</v>
      </c>
      <c r="F24" s="583">
        <v>0</v>
      </c>
      <c r="G24" s="584">
        <v>0</v>
      </c>
      <c r="H24" s="584">
        <v>0</v>
      </c>
      <c r="I24" s="584">
        <v>0</v>
      </c>
      <c r="J24" s="584">
        <v>0</v>
      </c>
      <c r="K24" s="584">
        <v>340</v>
      </c>
      <c r="L24" s="584">
        <f>50+1140</f>
        <v>1190</v>
      </c>
      <c r="M24" s="584">
        <v>300</v>
      </c>
      <c r="N24" s="584">
        <v>425</v>
      </c>
      <c r="O24" s="643">
        <v>510</v>
      </c>
      <c r="P24" s="244">
        <f>O24+(P7*$A$7*$D$7)+('Monthly Detail'!AD26*$A$7*$D$7)</f>
        <v>1395.7142857142858</v>
      </c>
      <c r="Q24" s="244">
        <f>P24+(Q7*$A$7*$D$7)+('Monthly Detail'!AE26*$A$7*$D$7)</f>
        <v>2121.4285714285716</v>
      </c>
      <c r="R24" s="244">
        <f>Q24+(R7*$A$7*$D$7)+('Monthly Detail'!AF26*$A$7*$D$7)</f>
        <v>2556.8571428571431</v>
      </c>
      <c r="S24" s="244">
        <f>R24+(S7*$A$7*$D$7)+('Monthly Detail'!AG26*$A$7*$D$7)</f>
        <v>2818.1142857142859</v>
      </c>
      <c r="T24" s="244">
        <f>S24+(T7*$A$7*$D$7)+('Monthly Detail'!AH26*$A$7*$D$7)</f>
        <v>2974.8685714285712</v>
      </c>
      <c r="U24" s="244">
        <f>T24+(U7*$A$7*$D$7)+('Monthly Detail'!AI26*$A$7*$D$7)</f>
        <v>3068.9211428571425</v>
      </c>
      <c r="V24" s="244">
        <f>U24+(V7*$A$7*$D$7)+('Monthly Detail'!AJ26*$A$7*$D$7)</f>
        <v>3225.3526857142851</v>
      </c>
      <c r="W24" s="244">
        <f>V24+(W7*$A$7*$D$7)+('Monthly Detail'!AK26*$A$7*$D$7)</f>
        <v>3319.2116114285709</v>
      </c>
      <c r="X24" s="244">
        <f>W24+(X7*$A$7*$D$7)+('Monthly Detail'!AL26*$A$7*$D$7)</f>
        <v>3475.5269668571423</v>
      </c>
      <c r="Y24" s="244">
        <f>X24+(Y7*$A$7*$D$7)+('Monthly Detail'!AM26*$A$7*$D$7)</f>
        <v>3669.3161801142846</v>
      </c>
      <c r="Z24" s="244">
        <f>Y24+(Z7*$A$7*$D$7)+('Monthly Detail'!AN26*$A$7*$D$7)</f>
        <v>3785.5897080685709</v>
      </c>
      <c r="AA24" s="244">
        <f>Z24+(AA7*$A$7*$D$7)+('Monthly Detail'!AO26*$A$7*$D$7)</f>
        <v>3855.3538248411423</v>
      </c>
      <c r="AB24" s="244">
        <f>AA24+(AB7*$A$7*$D$7)+('Monthly Detail'!AP26*$A$7*$D$7)</f>
        <v>3897.2122949046852</v>
      </c>
      <c r="AC24" s="244">
        <f>AB24+(AC7*$A$7*$D$7)+('Monthly Detail'!AQ26*$A$7*$D$7)</f>
        <v>3922.327376942811</v>
      </c>
      <c r="AD24" s="244">
        <f>AC24+(AD7*$A$7*$D$7)+('Monthly Detail'!AR26*$A$7*$D$7)</f>
        <v>4037.3964261656861</v>
      </c>
      <c r="AE24" s="244">
        <f>AD24+(AE7*$A$7*$D$7)+('Monthly Detail'!AS26*$A$7*$D$7)</f>
        <v>4006.4378556994111</v>
      </c>
      <c r="AF24" s="244">
        <f>AE24+(AF7*$A$7*$D$7)+('Monthly Detail'!AT26*$A$7*$D$7)</f>
        <v>3987.8627134196458</v>
      </c>
      <c r="AG24" s="244">
        <f>AF24+(AG7*$A$7*$D$7)+('Monthly Detail'!AU26*$A$7*$D$7)</f>
        <v>4076.717628051787</v>
      </c>
      <c r="AH24" s="244">
        <f>AG24+(AH7*$A$7*$D$7)+('Monthly Detail'!AV26*$A$7*$D$7)</f>
        <v>4130.0305768310718</v>
      </c>
      <c r="AI24" s="244">
        <f>AH24+(AI7*$A$7*$D$7)+('Monthly Detail'!AW26*$A$7*$D$7)</f>
        <v>4262.0183460986427</v>
      </c>
      <c r="AJ24" s="244">
        <f>AI24+(AJ7*$A$7*$D$7)+('Monthly Detail'!AX26*$A$7*$D$7)</f>
        <v>4441.2110076591853</v>
      </c>
      <c r="AK24" s="244">
        <f>AJ24+(AK7*$A$7*$D$7)+('Monthly Detail'!AY26*$A$7*$D$7)</f>
        <v>4648.7266045955112</v>
      </c>
      <c r="AL24" s="244">
        <f>AK24+(AL7*$A$7*$D$7)+('Monthly Detail'!AZ26*$A$7*$D$7)</f>
        <v>4773.2359627573069</v>
      </c>
      <c r="AM24" s="244">
        <f>AL24+(AM7*$A$7*$D$7)+('Monthly Detail'!BA26*$A$7*$D$7)</f>
        <v>4847.9415776543847</v>
      </c>
      <c r="AN24" s="244">
        <f>AM24+(AN7*$A$7*$D$7)+('Monthly Detail'!BB26*$A$7*$D$7)</f>
        <v>4892.7649465926315</v>
      </c>
      <c r="AO24" s="244">
        <f>AN24+(AO7*$A$7*$D$7)+('Monthly Detail'!BC26*$A$7*$D$7)</f>
        <v>4919.65896795558</v>
      </c>
      <c r="AP24" s="244">
        <f>AO24+(AP7*$A$7*$D$7)+('Monthly Detail'!BD26*$A$7*$D$7)</f>
        <v>5035.7953807733484</v>
      </c>
      <c r="AQ24" s="244">
        <f>AP24+(AQ7*$A$7*$D$7)+('Monthly Detail'!BE26*$A$7*$D$7)</f>
        <v>5105.4772284640094</v>
      </c>
      <c r="AR24" s="244">
        <f>AQ24+(AR7*$A$7*$D$7)+('Monthly Detail'!BF26*$A$7*$D$7)</f>
        <v>5147.2863370784062</v>
      </c>
      <c r="AS24" s="244">
        <f>AR24+(AS7*$A$7*$D$7)+('Monthly Detail'!BG26*$A$7*$D$7)</f>
        <v>5172.3718022470439</v>
      </c>
      <c r="AT24" s="244">
        <f>AS24+(AT7*$A$7*$D$7)+('Monthly Detail'!BH26*$A$7*$D$7)</f>
        <v>5287.4230813482263</v>
      </c>
      <c r="AU24" s="244">
        <f>AT24+(AU7*$A$7*$D$7)+('Monthly Detail'!BI26*$A$7*$D$7)</f>
        <v>5456.4538488089365</v>
      </c>
      <c r="AV24" s="244">
        <f>AU24+(AV7*$A$7*$D$7)+('Monthly Detail'!BJ26*$A$7*$D$7)</f>
        <v>5657.8723092853616</v>
      </c>
      <c r="AW24" s="244">
        <f>AV24+(AW7*$A$7*$D$7)+('Monthly Detail'!BK26*$A$7*$D$7)</f>
        <v>5878.7233855712166</v>
      </c>
      <c r="AX24" s="244">
        <f>AW24+(AX7*$A$7*$D$7)+('Monthly Detail'!BL26*$A$7*$D$7)</f>
        <v>6011.2340313427303</v>
      </c>
      <c r="AY24" s="244">
        <f>AX24+(AY7*$A$7*$D$7)+('Monthly Detail'!BM26*$A$7*$D$7)</f>
        <v>6090.740418805638</v>
      </c>
      <c r="AZ24" s="244">
        <f>AY24+(AZ7*$A$7*$D$7)+('Monthly Detail'!BN26*$A$7*$D$7)</f>
        <v>6138.444251283383</v>
      </c>
      <c r="BA24" s="244">
        <f>AZ24+(BA7*$A$7*$D$7)+('Monthly Detail'!BO26*$A$7*$D$7)</f>
        <v>6267.0665507700296</v>
      </c>
      <c r="BB24" s="244">
        <f>BA24+(BB7*$A$7*$D$7)+('Monthly Detail'!BP26*$A$7*$D$7)</f>
        <v>6344.2399304620167</v>
      </c>
      <c r="BC24" s="244">
        <f>BB24+(BC7*$A$7*$D$7)+('Monthly Detail'!BQ26*$A$7*$D$7)</f>
        <v>6390.5439582772087</v>
      </c>
      <c r="BD24" s="244">
        <f>BC24+(BD7*$A$7*$D$7)+('Monthly Detail'!BR26*$A$7*$D$7)</f>
        <v>6418.3263749663247</v>
      </c>
      <c r="BE24" s="244">
        <f>BD24+(BE7*$A$7*$D$7)+('Monthly Detail'!BS26*$A$7*$D$7)</f>
        <v>6534.9958249797928</v>
      </c>
      <c r="BF24" s="244">
        <f>BE24+(BF7*$A$7*$D$7)+('Monthly Detail'!BT26*$A$7*$D$7)</f>
        <v>6604.9974949878742</v>
      </c>
      <c r="BG24" s="244">
        <f>BF24+(BG7*$A$7*$D$7)+('Monthly Detail'!BU26*$A$7*$D$7)</f>
        <v>6846.9984969927227</v>
      </c>
      <c r="BH24" s="244">
        <f>BG24+(BH7*$A$7*$D$7)+('Monthly Detail'!BV26*$A$7*$D$7)</f>
        <v>7092.1990981956324</v>
      </c>
      <c r="BI24" s="244">
        <f>BH24+(BI7*$A$7*$D$7)+('Monthly Detail'!BW26*$A$7*$D$7)</f>
        <v>7339.3194589173781</v>
      </c>
      <c r="BJ24" s="244">
        <f>BI24+(BJ7*$A$7*$D$7)+('Monthly Detail'!BX26*$A$7*$D$7)</f>
        <v>7587.5916753504243</v>
      </c>
      <c r="BK24" s="244">
        <f>BJ24+(BK7*$A$7*$D$7)+('Monthly Detail'!BY26*$A$7*$D$7)</f>
        <v>7736.5550052102526</v>
      </c>
      <c r="BL24" s="244">
        <f>BK24+(BL7*$A$7*$D$7)+('Monthly Detail'!BZ26*$A$7*$D$7)</f>
        <v>7725.9330031261488</v>
      </c>
      <c r="BM24" s="244">
        <f>BL24+(BM7*$A$7*$D$7)+('Monthly Detail'!CA26*$A$7*$D$7)</f>
        <v>7819.5598018756873</v>
      </c>
      <c r="BN24" s="244">
        <f>BM24+(BN7*$A$7*$D$7)+('Monthly Detail'!CB26*$A$7*$D$7)</f>
        <v>7975.7358811254089</v>
      </c>
      <c r="BO24" s="244">
        <f>BN24+(BO7*$A$7*$D$7)+('Monthly Detail'!CC26*$A$7*$D$7)</f>
        <v>8069.4415286752428</v>
      </c>
      <c r="BP24" s="244">
        <f>BO24+(BP7*$A$7*$D$7)+('Monthly Detail'!CD26*$A$7*$D$7)</f>
        <v>8125.6649172051439</v>
      </c>
      <c r="BQ24" s="244">
        <f>BP24+(BQ7*$A$7*$D$7)+('Monthly Detail'!CE26*$A$7*$D$7)</f>
        <v>8159.3989503230841</v>
      </c>
      <c r="BR24" s="244">
        <f>BQ24+(BR7*$A$7*$D$7)+('Monthly Detail'!CF26*$A$7*$D$7)</f>
        <v>8279.6393701938487</v>
      </c>
      <c r="BS24" s="244">
        <f>BR24+(BS7*$A$7*$D$7)+('Monthly Detail'!CG26*$A$7*$D$7)</f>
        <v>8551.783622116307</v>
      </c>
      <c r="BT24" s="244">
        <f>BS24+(BT7*$A$7*$D$7)+('Monthly Detail'!CH26*$A$7*$D$7)</f>
        <v>8915.0701732697817</v>
      </c>
      <c r="BU24" s="244">
        <f>BT24+(BU7*$A$7*$D$7)+('Monthly Detail'!CI26*$A$7*$D$7)</f>
        <v>9233.0421039618668</v>
      </c>
      <c r="BV24" s="244">
        <f>BU24+(BV7*$A$7*$D$7)+('Monthly Detail'!CJ26*$A$7*$D$7)</f>
        <v>9523.8252623771168</v>
      </c>
      <c r="BW24" s="244">
        <f>BV24+(BW7*$A$7*$D$7)+('Monthly Detail'!CK26*$A$7*$D$7)</f>
        <v>9698.2951574262661</v>
      </c>
      <c r="BX24" s="244">
        <f>BW24+(BX7*$A$7*$D$7)+('Monthly Detail'!CL26*$A$7*$D$7)</f>
        <v>9702.9770944557567</v>
      </c>
      <c r="BY24" s="244">
        <f>BX24+(BY7*$A$7*$D$7)+('Monthly Detail'!CM26*$A$7*$D$7)</f>
        <v>9905.7862566734511</v>
      </c>
      <c r="BZ24" s="244">
        <f>BY24+(BZ7*$A$7*$D$7)+('Monthly Detail'!CN26*$A$7*$D$7)</f>
        <v>10127.471754004069</v>
      </c>
      <c r="CA24" s="244">
        <f>BZ24+(CA7*$A$7*$D$7)+('Monthly Detail'!CO26*$A$7*$D$7)</f>
        <v>10160.483052402438</v>
      </c>
      <c r="CB24" s="244">
        <f>CA24+(CB7*$A$7*$D$7)+('Monthly Detail'!CP26*$A$7*$D$7)</f>
        <v>10180.28983144146</v>
      </c>
      <c r="CC24" s="244">
        <f>CB24+(CC7*$A$7*$D$7)+('Monthly Detail'!CQ26*$A$7*$D$7)</f>
        <v>10292.173898864872</v>
      </c>
      <c r="CD24" s="244">
        <f>CC24+(CD7*$A$7*$D$7)+('Monthly Detail'!CR26*$A$7*$D$7)</f>
        <v>10459.30433931892</v>
      </c>
      <c r="CE24" s="244">
        <f>CD24+(CE7*$A$7*$D$7)+('Monthly Detail'!CS26*$A$7*$D$7)</f>
        <v>10859.582603591349</v>
      </c>
      <c r="CF24" s="244">
        <f>CE24+(CF7*$A$7*$D$7)+('Monthly Detail'!CT26*$A$7*$D$7)</f>
        <v>11299.749562154808</v>
      </c>
      <c r="CG24" s="244">
        <f>CF24+(CG7*$A$7*$D$7)+('Monthly Detail'!CU26*$A$7*$D$7)</f>
        <v>11663.849737292883</v>
      </c>
      <c r="CH24" s="244">
        <f>CG24+(CH7*$A$7*$D$7)+('Monthly Detail'!CV26*$A$7*$D$7)</f>
        <v>12082.309842375729</v>
      </c>
      <c r="CI24" s="244">
        <f>CH24+(CI7*$A$7*$D$7)+('Monthly Detail'!CW26*$A$7*$D$7)</f>
        <v>12233.385905425435</v>
      </c>
      <c r="CJ24" s="244">
        <f>CI24+(CJ7*$A$7*$D$7)+('Monthly Detail'!CX26*$A$7*$D$7)</f>
        <v>12324.03154325526</v>
      </c>
      <c r="CK24" s="245">
        <f>CJ24+(CK7*$A$7*$D$7)+('Monthly Detail'!CY26*$A$7*$D$7)</f>
        <v>12478.418925953154</v>
      </c>
    </row>
    <row r="25" spans="1:89" x14ac:dyDescent="0.3">
      <c r="A25" s="241"/>
      <c r="D25" s="7" t="s">
        <v>273</v>
      </c>
      <c r="F25" s="583">
        <v>0</v>
      </c>
      <c r="G25" s="584">
        <v>0</v>
      </c>
      <c r="H25" s="584">
        <v>0</v>
      </c>
      <c r="I25" s="584">
        <v>0</v>
      </c>
      <c r="J25" s="584">
        <v>800</v>
      </c>
      <c r="K25" s="584">
        <v>550</v>
      </c>
      <c r="L25" s="584">
        <v>520</v>
      </c>
      <c r="M25" s="584">
        <v>420</v>
      </c>
      <c r="N25" s="584">
        <v>980</v>
      </c>
      <c r="O25" s="643">
        <v>300</v>
      </c>
      <c r="P25" s="244">
        <f>O25+(P8*$A$8*$D$8)+('Monthly Detail'!AD27*$A$8*$D$8)</f>
        <v>964.28571428571422</v>
      </c>
      <c r="Q25" s="244">
        <f>P25+(Q8*$A$8*$D$8)+('Monthly Detail'!AE27*$A$8*$D$8)</f>
        <v>1508.5714285714284</v>
      </c>
      <c r="R25" s="244">
        <f>Q25+(R8*$A$8*$D$8)+('Monthly Detail'!AF27*$A$8*$D$8)</f>
        <v>1835.1428571428569</v>
      </c>
      <c r="S25" s="244">
        <f>R25+(S8*$A$8*$D$8)+('Monthly Detail'!AG27*$A$8*$D$8)</f>
        <v>2031.0857142857139</v>
      </c>
      <c r="T25" s="244">
        <f>S25+(T8*$A$8*$D$8)+('Monthly Detail'!AH27*$A$8*$D$8)</f>
        <v>2148.6514285714284</v>
      </c>
      <c r="U25" s="244">
        <f>T25+(U8*$A$8*$D$8)+('Monthly Detail'!AI27*$A$8*$D$8)</f>
        <v>2219.1908571428567</v>
      </c>
      <c r="V25" s="244">
        <f>U25+(V8*$A$8*$D$8)+('Monthly Detail'!AJ27*$A$8*$D$8)</f>
        <v>2336.5145142857136</v>
      </c>
      <c r="W25" s="244">
        <f>V25+(W8*$A$8*$D$8)+('Monthly Detail'!AK27*$A$8*$D$8)</f>
        <v>2406.9087085714282</v>
      </c>
      <c r="X25" s="244">
        <f>W25+(X8*$A$8*$D$8)+('Monthly Detail'!AL27*$A$8*$D$8)</f>
        <v>2524.1452251428568</v>
      </c>
      <c r="Y25" s="244">
        <f>X25+(Y8*$A$8*$D$8)+('Monthly Detail'!AM27*$A$8*$D$8)</f>
        <v>2669.4871350857138</v>
      </c>
      <c r="Z25" s="244">
        <f>Y25+(Z8*$A$8*$D$8)+('Monthly Detail'!AN27*$A$8*$D$8)</f>
        <v>2756.6922810514279</v>
      </c>
      <c r="AA25" s="244">
        <f>Z25+(AA8*$A$8*$D$8)+('Monthly Detail'!AO27*$A$8*$D$8)</f>
        <v>2809.0153686308563</v>
      </c>
      <c r="AB25" s="244">
        <f>AA25+(AB8*$A$8*$D$8)+('Monthly Detail'!AP27*$A$8*$D$8)</f>
        <v>2840.4092211785137</v>
      </c>
      <c r="AC25" s="244">
        <f>AB25+(AC8*$A$8*$D$8)+('Monthly Detail'!AQ27*$A$8*$D$8)</f>
        <v>2859.2455327071079</v>
      </c>
      <c r="AD25" s="244">
        <f>AC25+(AD8*$A$8*$D$8)+('Monthly Detail'!AR27*$A$8*$D$8)</f>
        <v>2945.5473196242647</v>
      </c>
      <c r="AE25" s="244">
        <f>AD25+(AE8*$A$8*$D$8)+('Monthly Detail'!AS27*$A$8*$D$8)</f>
        <v>2922.3283917745589</v>
      </c>
      <c r="AF25" s="244">
        <f>AE25+(AF8*$A$8*$D$8)+('Monthly Detail'!AT27*$A$8*$D$8)</f>
        <v>2908.3970350647351</v>
      </c>
      <c r="AG25" s="244">
        <f>AF25+(AG8*$A$8*$D$8)+('Monthly Detail'!AU27*$A$8*$D$8)</f>
        <v>2975.0382210388407</v>
      </c>
      <c r="AH25" s="244">
        <f>AG25+(AH8*$A$8*$D$8)+('Monthly Detail'!AV27*$A$8*$D$8)</f>
        <v>3015.0229326233043</v>
      </c>
      <c r="AI25" s="244">
        <f>AH25+(AI8*$A$8*$D$8)+('Monthly Detail'!AW27*$A$8*$D$8)</f>
        <v>3114.013759573982</v>
      </c>
      <c r="AJ25" s="244">
        <f>AI25+(AJ8*$A$8*$D$8)+('Monthly Detail'!AX27*$A$8*$D$8)</f>
        <v>3248.408255744388</v>
      </c>
      <c r="AK25" s="244">
        <f>AJ25+(AK8*$A$8*$D$8)+('Monthly Detail'!AY27*$A$8*$D$8)</f>
        <v>3404.044953446632</v>
      </c>
      <c r="AL25" s="244">
        <f>AK25+(AL8*$A$8*$D$8)+('Monthly Detail'!AZ27*$A$8*$D$8)</f>
        <v>3497.4269720679781</v>
      </c>
      <c r="AM25" s="244">
        <f>AL25+(AM8*$A$8*$D$8)+('Monthly Detail'!BA27*$A$8*$D$8)</f>
        <v>3553.4561832407867</v>
      </c>
      <c r="AN25" s="244">
        <f>AM25+(AN8*$A$8*$D$8)+('Monthly Detail'!BB27*$A$8*$D$8)</f>
        <v>3587.0737099444723</v>
      </c>
      <c r="AO25" s="244">
        <f>AN25+(AO8*$A$8*$D$8)+('Monthly Detail'!BC27*$A$8*$D$8)</f>
        <v>3607.2442259666832</v>
      </c>
      <c r="AP25" s="244">
        <f>AO25+(AP8*$A$8*$D$8)+('Monthly Detail'!BD27*$A$8*$D$8)</f>
        <v>3694.3465355800099</v>
      </c>
      <c r="AQ25" s="244">
        <f>AP25+(AQ8*$A$8*$D$8)+('Monthly Detail'!BE27*$A$8*$D$8)</f>
        <v>3746.6079213480061</v>
      </c>
      <c r="AR25" s="244">
        <f>AQ25+(AR8*$A$8*$D$8)+('Monthly Detail'!BF27*$A$8*$D$8)</f>
        <v>3777.9647528088035</v>
      </c>
      <c r="AS25" s="244">
        <f>AR25+(AS8*$A$8*$D$8)+('Monthly Detail'!BG27*$A$8*$D$8)</f>
        <v>3796.778851685282</v>
      </c>
      <c r="AT25" s="244">
        <f>AS25+(AT8*$A$8*$D$8)+('Monthly Detail'!BH27*$A$8*$D$8)</f>
        <v>3883.0673110111684</v>
      </c>
      <c r="AU25" s="244">
        <f>AT25+(AU8*$A$8*$D$8)+('Monthly Detail'!BI27*$A$8*$D$8)</f>
        <v>4009.8403866067006</v>
      </c>
      <c r="AV25" s="244">
        <f>AU25+(AV8*$A$8*$D$8)+('Monthly Detail'!BJ27*$A$8*$D$8)</f>
        <v>4160.9042319640193</v>
      </c>
      <c r="AW25" s="244">
        <f>AV25+(AW8*$A$8*$D$8)+('Monthly Detail'!BK27*$A$8*$D$8)</f>
        <v>4326.5425391784102</v>
      </c>
      <c r="AX25" s="244">
        <f>AW25+(AX8*$A$8*$D$8)+('Monthly Detail'!BL27*$A$8*$D$8)</f>
        <v>4425.925523507045</v>
      </c>
      <c r="AY25" s="244">
        <f>AX25+(AY8*$A$8*$D$8)+('Monthly Detail'!BM27*$A$8*$D$8)</f>
        <v>4485.5553141042255</v>
      </c>
      <c r="AZ25" s="244">
        <f>AY25+(AZ8*$A$8*$D$8)+('Monthly Detail'!BN27*$A$8*$D$8)</f>
        <v>4521.3331884625341</v>
      </c>
      <c r="BA25" s="244">
        <f>AZ25+(BA8*$A$8*$D$8)+('Monthly Detail'!BO27*$A$8*$D$8)</f>
        <v>4617.7999130775188</v>
      </c>
      <c r="BB25" s="244">
        <f>BA25+(BB8*$A$8*$D$8)+('Monthly Detail'!BP27*$A$8*$D$8)</f>
        <v>4675.67994784651</v>
      </c>
      <c r="BC25" s="244">
        <f>BB25+(BC8*$A$8*$D$8)+('Monthly Detail'!BQ27*$A$8*$D$8)</f>
        <v>4710.4079687079047</v>
      </c>
      <c r="BD25" s="244">
        <f>BC25+(BD8*$A$8*$D$8)+('Monthly Detail'!BR27*$A$8*$D$8)</f>
        <v>4731.2447812247419</v>
      </c>
      <c r="BE25" s="244">
        <f>BD25+(BE8*$A$8*$D$8)+('Monthly Detail'!BS27*$A$8*$D$8)</f>
        <v>4818.7468687348446</v>
      </c>
      <c r="BF25" s="244">
        <f>BE25+(BF8*$A$8*$D$8)+('Monthly Detail'!BT27*$A$8*$D$8)</f>
        <v>4871.2481212409057</v>
      </c>
      <c r="BG25" s="244">
        <f>BF25+(BG8*$A$8*$D$8)+('Monthly Detail'!BU27*$A$8*$D$8)</f>
        <v>5052.7488727445425</v>
      </c>
      <c r="BH25" s="244">
        <f>BG25+(BH8*$A$8*$D$8)+('Monthly Detail'!BV27*$A$8*$D$8)</f>
        <v>5236.649323646725</v>
      </c>
      <c r="BI25" s="244">
        <f>BH25+(BI8*$A$8*$D$8)+('Monthly Detail'!BW27*$A$8*$D$8)</f>
        <v>5421.9895941880341</v>
      </c>
      <c r="BJ25" s="244">
        <f>BI25+(BJ8*$A$8*$D$8)+('Monthly Detail'!BX27*$A$8*$D$8)</f>
        <v>5608.1937565128192</v>
      </c>
      <c r="BK25" s="244">
        <f>BJ25+(BK8*$A$8*$D$8)+('Monthly Detail'!BY27*$A$8*$D$8)</f>
        <v>5719.9162539076906</v>
      </c>
      <c r="BL25" s="244">
        <f>BK25+(BL8*$A$8*$D$8)+('Monthly Detail'!BZ27*$A$8*$D$8)</f>
        <v>5711.9497523446134</v>
      </c>
      <c r="BM25" s="244">
        <f>BL25+(BM8*$A$8*$D$8)+('Monthly Detail'!CA27*$A$8*$D$8)</f>
        <v>5782.1698514067675</v>
      </c>
      <c r="BN25" s="244">
        <f>BM25+(BN8*$A$8*$D$8)+('Monthly Detail'!CB27*$A$8*$D$8)</f>
        <v>5899.3019108440603</v>
      </c>
      <c r="BO25" s="244">
        <f>BN25+(BO8*$A$8*$D$8)+('Monthly Detail'!CC27*$A$8*$D$8)</f>
        <v>5969.5811465064362</v>
      </c>
      <c r="BP25" s="244">
        <f>BO25+(BP8*$A$8*$D$8)+('Monthly Detail'!CD27*$A$8*$D$8)</f>
        <v>6011.7486879038624</v>
      </c>
      <c r="BQ25" s="244">
        <f>BP25+(BQ8*$A$8*$D$8)+('Monthly Detail'!CE27*$A$8*$D$8)</f>
        <v>6037.0492127423176</v>
      </c>
      <c r="BR25" s="244">
        <f>BQ25+(BR8*$A$8*$D$8)+('Monthly Detail'!CF27*$A$8*$D$8)</f>
        <v>6127.2295276453897</v>
      </c>
      <c r="BS25" s="244">
        <f>BR25+(BS8*$A$8*$D$8)+('Monthly Detail'!CG27*$A$8*$D$8)</f>
        <v>6331.3377165872334</v>
      </c>
      <c r="BT25" s="244">
        <f>BS25+(BT8*$A$8*$D$8)+('Monthly Detail'!CH27*$A$8*$D$8)</f>
        <v>6603.802629952339</v>
      </c>
      <c r="BU25" s="244">
        <f>BT25+(BU8*$A$8*$D$8)+('Monthly Detail'!CI27*$A$8*$D$8)</f>
        <v>6842.2815779714028</v>
      </c>
      <c r="BV25" s="244">
        <f>BU25+(BV8*$A$8*$D$8)+('Monthly Detail'!CJ27*$A$8*$D$8)</f>
        <v>7060.3689467828417</v>
      </c>
      <c r="BW25" s="244">
        <f>BV25+(BW8*$A$8*$D$8)+('Monthly Detail'!CK27*$A$8*$D$8)</f>
        <v>7191.2213680697032</v>
      </c>
      <c r="BX25" s="244">
        <f>BW25+(BX8*$A$8*$D$8)+('Monthly Detail'!CL27*$A$8*$D$8)</f>
        <v>7194.7328208418203</v>
      </c>
      <c r="BY25" s="244">
        <f>BX25+(BY8*$A$8*$D$8)+('Monthly Detail'!CM27*$A$8*$D$8)</f>
        <v>7346.8396925050911</v>
      </c>
      <c r="BZ25" s="244">
        <f>BY25+(BZ8*$A$8*$D$8)+('Monthly Detail'!CN27*$A$8*$D$8)</f>
        <v>7513.1038155030537</v>
      </c>
      <c r="CA25" s="244">
        <f>BZ25+(CA8*$A$8*$D$8)+('Monthly Detail'!CO27*$A$8*$D$8)</f>
        <v>7537.8622893018319</v>
      </c>
      <c r="CB25" s="244">
        <f>CA25+(CB8*$A$8*$D$8)+('Monthly Detail'!CP27*$A$8*$D$8)</f>
        <v>7552.7173735810993</v>
      </c>
      <c r="CC25" s="244">
        <f>CB25+(CC8*$A$8*$D$8)+('Monthly Detail'!CQ27*$A$8*$D$8)</f>
        <v>7636.6304241486596</v>
      </c>
      <c r="CD25" s="244">
        <f>CC25+(CD8*$A$8*$D$8)+('Monthly Detail'!CR27*$A$8*$D$8)</f>
        <v>7761.978254489195</v>
      </c>
      <c r="CE25" s="244">
        <f>CD25+(CE8*$A$8*$D$8)+('Monthly Detail'!CS27*$A$8*$D$8)</f>
        <v>8062.186952693517</v>
      </c>
      <c r="CF25" s="244">
        <f>CE25+(CF8*$A$8*$D$8)+('Monthly Detail'!CT27*$A$8*$D$8)</f>
        <v>8392.3121716161113</v>
      </c>
      <c r="CG25" s="244">
        <f>CF25+(CG8*$A$8*$D$8)+('Monthly Detail'!CU27*$A$8*$D$8)</f>
        <v>8665.3873029696661</v>
      </c>
      <c r="CH25" s="244">
        <f>CG25+(CH8*$A$8*$D$8)+('Monthly Detail'!CV27*$A$8*$D$8)</f>
        <v>8979.2323817817996</v>
      </c>
      <c r="CI25" s="244">
        <f>CH25+(CI8*$A$8*$D$8)+('Monthly Detail'!CW27*$A$8*$D$8)</f>
        <v>9092.5394290690801</v>
      </c>
      <c r="CJ25" s="244">
        <f>CI25+(CJ8*$A$8*$D$8)+('Monthly Detail'!CX27*$A$8*$D$8)</f>
        <v>9160.5236574414484</v>
      </c>
      <c r="CK25" s="245">
        <f>CJ25+(CK8*$A$8*$D$8)+('Monthly Detail'!CY27*$A$8*$D$8)</f>
        <v>9276.3141944648687</v>
      </c>
    </row>
    <row r="26" spans="1:89" x14ac:dyDescent="0.3">
      <c r="A26" s="247"/>
      <c r="B26" s="248"/>
      <c r="C26" s="248"/>
      <c r="D26" s="276" t="s">
        <v>0</v>
      </c>
      <c r="E26" s="248"/>
      <c r="F26" s="243">
        <f>+SUM(F21:F25)</f>
        <v>0</v>
      </c>
      <c r="G26" s="244">
        <f t="shared" ref="G26:BR26" si="22">+SUM(G21:G25)</f>
        <v>0</v>
      </c>
      <c r="H26" s="244">
        <f t="shared" si="22"/>
        <v>0</v>
      </c>
      <c r="I26" s="244">
        <f t="shared" si="22"/>
        <v>0</v>
      </c>
      <c r="J26" s="244">
        <f t="shared" si="22"/>
        <v>1650</v>
      </c>
      <c r="K26" s="244">
        <f t="shared" si="22"/>
        <v>3945</v>
      </c>
      <c r="L26" s="244">
        <f t="shared" ref="L26" si="23">+SUM(L21:L25)</f>
        <v>4742.9400000000005</v>
      </c>
      <c r="M26" s="244">
        <f t="shared" si="22"/>
        <v>720</v>
      </c>
      <c r="N26" s="244">
        <f t="shared" si="22"/>
        <v>1405</v>
      </c>
      <c r="O26" s="245">
        <f t="shared" ref="O26" si="24">+SUM(O21:O25)</f>
        <v>810</v>
      </c>
      <c r="P26" s="244">
        <f t="shared" si="22"/>
        <v>2360</v>
      </c>
      <c r="Q26" s="244">
        <f t="shared" si="22"/>
        <v>5180</v>
      </c>
      <c r="R26" s="244">
        <f t="shared" si="22"/>
        <v>5979.5</v>
      </c>
      <c r="S26" s="244">
        <f t="shared" si="22"/>
        <v>6424.2</v>
      </c>
      <c r="T26" s="244">
        <f t="shared" si="22"/>
        <v>5123.5199999999995</v>
      </c>
      <c r="U26" s="244">
        <f t="shared" si="22"/>
        <v>6888.1119999999992</v>
      </c>
      <c r="V26" s="244">
        <f t="shared" si="22"/>
        <v>7211.8671999999988</v>
      </c>
      <c r="W26" s="244">
        <f t="shared" si="22"/>
        <v>23796.120319999998</v>
      </c>
      <c r="X26" s="244">
        <f t="shared" si="22"/>
        <v>24979.672191999998</v>
      </c>
      <c r="Y26" s="244">
        <f t="shared" si="22"/>
        <v>8213.8033151999989</v>
      </c>
      <c r="Z26" s="244">
        <f t="shared" si="22"/>
        <v>8479.7819891199979</v>
      </c>
      <c r="AA26" s="244">
        <f t="shared" si="22"/>
        <v>8576.8691934719991</v>
      </c>
      <c r="AB26" s="244">
        <f t="shared" si="22"/>
        <v>6737.6215160831989</v>
      </c>
      <c r="AC26" s="244">
        <f t="shared" si="22"/>
        <v>8731.5729096499199</v>
      </c>
      <c r="AD26" s="244">
        <f t="shared" si="22"/>
        <v>8995.4437457899512</v>
      </c>
      <c r="AE26" s="244">
        <f t="shared" si="22"/>
        <v>8916.26624747397</v>
      </c>
      <c r="AF26" s="244">
        <f t="shared" si="22"/>
        <v>6896.2597484843809</v>
      </c>
      <c r="AG26" s="244">
        <f t="shared" si="22"/>
        <v>9089.2558490906267</v>
      </c>
      <c r="AH26" s="244">
        <f t="shared" si="22"/>
        <v>9232.5535094543757</v>
      </c>
      <c r="AI26" s="244">
        <f t="shared" si="22"/>
        <v>30256.032105672628</v>
      </c>
      <c r="AJ26" s="244">
        <f t="shared" si="22"/>
        <v>31739.619263403572</v>
      </c>
      <c r="AK26" s="244">
        <f t="shared" si="22"/>
        <v>10427.771558042143</v>
      </c>
      <c r="AL26" s="244">
        <f t="shared" si="22"/>
        <v>10720.662934825286</v>
      </c>
      <c r="AM26" s="244">
        <f t="shared" si="22"/>
        <v>10826.397760895172</v>
      </c>
      <c r="AN26" s="244">
        <f t="shared" si="22"/>
        <v>8479.8386565371038</v>
      </c>
      <c r="AO26" s="244">
        <f t="shared" si="22"/>
        <v>11001.903193922262</v>
      </c>
      <c r="AP26" s="244">
        <f t="shared" si="22"/>
        <v>11280.141916353357</v>
      </c>
      <c r="AQ26" s="244">
        <f t="shared" si="22"/>
        <v>11377.085149812016</v>
      </c>
      <c r="AR26" s="244">
        <f t="shared" si="22"/>
        <v>8925.2510898872097</v>
      </c>
      <c r="AS26" s="244">
        <f t="shared" si="22"/>
        <v>11544.150653932325</v>
      </c>
      <c r="AT26" s="244">
        <f t="shared" si="22"/>
        <v>11820.490392359396</v>
      </c>
      <c r="AU26" s="244">
        <f t="shared" si="22"/>
        <v>38456.29423541564</v>
      </c>
      <c r="AV26" s="244">
        <f t="shared" si="22"/>
        <v>40238.776541249383</v>
      </c>
      <c r="AW26" s="244">
        <f t="shared" si="22"/>
        <v>13217.765924749627</v>
      </c>
      <c r="AX26" s="244">
        <f t="shared" si="22"/>
        <v>13537.159554849775</v>
      </c>
      <c r="AY26" s="244">
        <f t="shared" si="22"/>
        <v>13638.795732909864</v>
      </c>
      <c r="AZ26" s="244">
        <f t="shared" si="22"/>
        <v>10659.777439745918</v>
      </c>
      <c r="BA26" s="244">
        <f t="shared" si="22"/>
        <v>14009.866463847547</v>
      </c>
      <c r="BB26" s="244">
        <f t="shared" si="22"/>
        <v>14244.919878308527</v>
      </c>
      <c r="BC26" s="244">
        <f t="shared" si="22"/>
        <v>14288.451926985113</v>
      </c>
      <c r="BD26" s="244">
        <f t="shared" si="22"/>
        <v>11149.571156191067</v>
      </c>
      <c r="BE26" s="244">
        <f t="shared" si="22"/>
        <v>14603.742693714637</v>
      </c>
      <c r="BF26" s="244">
        <f t="shared" si="22"/>
        <v>14826.24561622878</v>
      </c>
      <c r="BG26" s="244">
        <f t="shared" si="22"/>
        <v>48559.74736973727</v>
      </c>
      <c r="BH26" s="244">
        <f t="shared" si="22"/>
        <v>50808.848421842355</v>
      </c>
      <c r="BI26" s="244">
        <f t="shared" si="22"/>
        <v>16561.309053105411</v>
      </c>
      <c r="BJ26" s="244">
        <f t="shared" si="22"/>
        <v>17120.785431863245</v>
      </c>
      <c r="BK26" s="244">
        <f t="shared" si="22"/>
        <v>17343.971259117941</v>
      </c>
      <c r="BL26" s="244">
        <f t="shared" si="22"/>
        <v>13437.882755470762</v>
      </c>
      <c r="BM26" s="244">
        <f t="shared" si="22"/>
        <v>17564.229653282455</v>
      </c>
      <c r="BN26" s="244">
        <f t="shared" si="22"/>
        <v>17950.037791969469</v>
      </c>
      <c r="BO26" s="244">
        <f t="shared" si="22"/>
        <v>18076.522675181681</v>
      </c>
      <c r="BP26" s="244">
        <f t="shared" si="22"/>
        <v>14137.413605109006</v>
      </c>
      <c r="BQ26" s="244">
        <f t="shared" si="22"/>
        <v>18308.948163065401</v>
      </c>
      <c r="BR26" s="244">
        <f t="shared" si="22"/>
        <v>18644.368897839238</v>
      </c>
      <c r="BS26" s="244">
        <f t="shared" ref="BS26:CK26" si="25">+SUM(BS21:BS25)</f>
        <v>61163.121338703539</v>
      </c>
      <c r="BT26" s="244">
        <f t="shared" si="25"/>
        <v>64138.872803222119</v>
      </c>
      <c r="BU26" s="244">
        <f t="shared" si="25"/>
        <v>20887.823681933271</v>
      </c>
      <c r="BV26" s="244">
        <f t="shared" si="25"/>
        <v>21546.694209159959</v>
      </c>
      <c r="BW26" s="244">
        <f t="shared" si="25"/>
        <v>21802.016525495968</v>
      </c>
      <c r="BX26" s="244">
        <f t="shared" si="25"/>
        <v>16897.709915297579</v>
      </c>
      <c r="BY26" s="244">
        <f t="shared" si="25"/>
        <v>22265.125949178542</v>
      </c>
      <c r="BZ26" s="244">
        <f t="shared" si="25"/>
        <v>22803.075569507124</v>
      </c>
      <c r="CA26" s="244">
        <f t="shared" si="25"/>
        <v>22798.345341704273</v>
      </c>
      <c r="CB26" s="244">
        <f t="shared" si="25"/>
        <v>17733.007205022557</v>
      </c>
      <c r="CC26" s="244">
        <f t="shared" si="25"/>
        <v>23128.80432301353</v>
      </c>
      <c r="CD26" s="244">
        <f t="shared" si="25"/>
        <v>23583.782593808115</v>
      </c>
      <c r="CE26" s="244">
        <f t="shared" si="25"/>
        <v>77421.769556284868</v>
      </c>
      <c r="CF26" s="244">
        <f t="shared" si="25"/>
        <v>81182.061733770912</v>
      </c>
      <c r="CG26" s="244">
        <f t="shared" si="25"/>
        <v>26416.737040262549</v>
      </c>
      <c r="CH26" s="244">
        <f t="shared" si="25"/>
        <v>27336.542224157529</v>
      </c>
      <c r="CI26" s="244">
        <f t="shared" si="25"/>
        <v>27538.425334494517</v>
      </c>
      <c r="CJ26" s="244">
        <f t="shared" si="25"/>
        <v>21484.555200696708</v>
      </c>
      <c r="CK26" s="245">
        <f t="shared" si="25"/>
        <v>28092.233120418023</v>
      </c>
    </row>
    <row r="29" spans="1:89" x14ac:dyDescent="0.3">
      <c r="D29" s="7"/>
    </row>
  </sheetData>
  <phoneticPr fontId="39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32EF-6F70-4F0A-89EC-6389DAFE8A56}">
  <sheetPr>
    <tabColor theme="5"/>
  </sheetPr>
  <dimension ref="B1:CK35"/>
  <sheetViews>
    <sheetView topLeftCell="B1" workbookViewId="0">
      <pane xSplit="4" ySplit="2" topLeftCell="L12" activePane="bottomRight" state="frozen"/>
      <selection activeCell="B1" sqref="B1"/>
      <selection pane="topRight" activeCell="F1" sqref="F1"/>
      <selection pane="bottomLeft" activeCell="B3" sqref="B3"/>
      <selection pane="bottomRight" activeCell="O26" sqref="O26"/>
    </sheetView>
  </sheetViews>
  <sheetFormatPr defaultRowHeight="14.4" x14ac:dyDescent="0.3"/>
  <cols>
    <col min="3" max="3" width="21.33203125" bestFit="1" customWidth="1"/>
    <col min="4" max="4" width="19.109375" customWidth="1"/>
    <col min="5" max="5" width="1" hidden="1" customWidth="1"/>
    <col min="6" max="14" width="9.6640625" bestFit="1" customWidth="1"/>
    <col min="15" max="17" width="10.6640625" bestFit="1" customWidth="1"/>
    <col min="18" max="26" width="9.6640625" bestFit="1" customWidth="1"/>
    <col min="27" max="29" width="10.6640625" bestFit="1" customWidth="1"/>
    <col min="30" max="38" width="9.6640625" bestFit="1" customWidth="1"/>
    <col min="39" max="41" width="10.6640625" bestFit="1" customWidth="1"/>
    <col min="42" max="50" width="9.6640625" bestFit="1" customWidth="1"/>
    <col min="51" max="53" width="10.6640625" bestFit="1" customWidth="1"/>
    <col min="54" max="62" width="9.6640625" bestFit="1" customWidth="1"/>
    <col min="63" max="65" width="10.6640625" bestFit="1" customWidth="1"/>
    <col min="66" max="74" width="9.6640625" bestFit="1" customWidth="1"/>
    <col min="75" max="77" width="10.6640625" bestFit="1" customWidth="1"/>
    <col min="78" max="86" width="9.6640625" bestFit="1" customWidth="1"/>
    <col min="87" max="89" width="10.6640625" bestFit="1" customWidth="1"/>
  </cols>
  <sheetData>
    <row r="1" spans="2:89" x14ac:dyDescent="0.3">
      <c r="F1" s="435" t="str">
        <f>+'Monthly Detail'!T2</f>
        <v>Shoulder</v>
      </c>
      <c r="G1" s="435" t="str">
        <f>+'Monthly Detail'!U2</f>
        <v>Trough</v>
      </c>
      <c r="H1" s="435" t="str">
        <f>+'Monthly Detail'!V2</f>
        <v>Trough</v>
      </c>
      <c r="I1" s="435" t="str">
        <f>+'Monthly Detail'!W2</f>
        <v>Shoulder</v>
      </c>
      <c r="J1" s="435" t="str">
        <f>+'Monthly Detail'!X2</f>
        <v>Shoulder</v>
      </c>
      <c r="K1" s="435" t="str">
        <f>+'Monthly Detail'!Y2</f>
        <v>Peak</v>
      </c>
      <c r="L1" s="435" t="str">
        <f>+'Monthly Detail'!Z2</f>
        <v>Peak</v>
      </c>
      <c r="M1" s="435" t="str">
        <f>+'Monthly Detail'!AA2</f>
        <v>Shoulder</v>
      </c>
      <c r="N1" s="435" t="str">
        <f>+'Monthly Detail'!AB2</f>
        <v>Shoulder</v>
      </c>
      <c r="O1" s="435" t="str">
        <f>+'Monthly Detail'!AC2</f>
        <v>Trough</v>
      </c>
      <c r="P1" s="435" t="str">
        <f>+'Monthly Detail'!AD2</f>
        <v>Trough</v>
      </c>
      <c r="Q1" s="435" t="str">
        <f>+'Monthly Detail'!AE2</f>
        <v>Shoulder</v>
      </c>
      <c r="R1" s="435" t="str">
        <f>+'Monthly Detail'!AF2</f>
        <v>Shoulder</v>
      </c>
      <c r="S1" s="435" t="str">
        <f>+'Monthly Detail'!AG2</f>
        <v>Trough</v>
      </c>
      <c r="T1" s="435" t="str">
        <f>+'Monthly Detail'!AH2</f>
        <v>Trough</v>
      </c>
      <c r="U1" s="435" t="str">
        <f>+'Monthly Detail'!AI2</f>
        <v>Shoulder</v>
      </c>
      <c r="V1" s="435" t="str">
        <f>+'Monthly Detail'!AJ2</f>
        <v>Shoulder</v>
      </c>
      <c r="W1" s="435" t="str">
        <f>+'Monthly Detail'!AK2</f>
        <v>Peak</v>
      </c>
      <c r="X1" s="435" t="str">
        <f>+'Monthly Detail'!AL2</f>
        <v>Peak</v>
      </c>
      <c r="Y1" s="435" t="str">
        <f>+'Monthly Detail'!AM2</f>
        <v>Shoulder</v>
      </c>
      <c r="Z1" s="435" t="str">
        <f>+'Monthly Detail'!AN2</f>
        <v>Shoulder</v>
      </c>
      <c r="AA1" s="435" t="str">
        <f>+'Monthly Detail'!AO2</f>
        <v>Trough</v>
      </c>
      <c r="AB1" s="435" t="str">
        <f>+'Monthly Detail'!AP2</f>
        <v>Trough</v>
      </c>
      <c r="AC1" s="435" t="str">
        <f>+'Monthly Detail'!AQ2</f>
        <v>Shoulder</v>
      </c>
      <c r="AD1" s="435" t="str">
        <f>+'Monthly Detail'!AR2</f>
        <v>Shoulder</v>
      </c>
      <c r="AE1" s="435" t="str">
        <f>+'Monthly Detail'!AS2</f>
        <v>Trough</v>
      </c>
      <c r="AF1" s="435" t="str">
        <f>+'Monthly Detail'!AT2</f>
        <v>Trough</v>
      </c>
      <c r="AG1" s="435" t="str">
        <f>+'Monthly Detail'!AU2</f>
        <v>Shoulder</v>
      </c>
      <c r="AH1" s="435" t="str">
        <f>+'Monthly Detail'!AV2</f>
        <v>Shoulder</v>
      </c>
      <c r="AI1" s="435" t="str">
        <f>+'Monthly Detail'!AW2</f>
        <v>Peak</v>
      </c>
      <c r="AJ1" s="435" t="str">
        <f>+'Monthly Detail'!AX2</f>
        <v>Peak</v>
      </c>
      <c r="AK1" s="435" t="str">
        <f>+'Monthly Detail'!AY2</f>
        <v>Shoulder</v>
      </c>
      <c r="AL1" s="435" t="str">
        <f>+'Monthly Detail'!AZ2</f>
        <v>Shoulder</v>
      </c>
      <c r="AM1" s="435" t="str">
        <f>+'Monthly Detail'!BA2</f>
        <v>Trough</v>
      </c>
      <c r="AN1" s="435" t="str">
        <f>+'Monthly Detail'!BB2</f>
        <v>Trough</v>
      </c>
      <c r="AO1" s="435" t="str">
        <f>+'Monthly Detail'!BC2</f>
        <v>Shoulder</v>
      </c>
      <c r="AP1" s="435" t="str">
        <f>+'Monthly Detail'!BD2</f>
        <v>Shoulder</v>
      </c>
      <c r="AQ1" s="435" t="str">
        <f>+'Monthly Detail'!BE2</f>
        <v>Trough</v>
      </c>
      <c r="AR1" s="435" t="str">
        <f>+'Monthly Detail'!BF2</f>
        <v>Trough</v>
      </c>
      <c r="AS1" s="435" t="str">
        <f>+'Monthly Detail'!BG2</f>
        <v>Shoulder</v>
      </c>
      <c r="AT1" s="435" t="str">
        <f>+'Monthly Detail'!BH2</f>
        <v>Shoulder</v>
      </c>
      <c r="AU1" s="435" t="str">
        <f>+'Monthly Detail'!BI2</f>
        <v>Peak</v>
      </c>
      <c r="AV1" s="435" t="str">
        <f>+'Monthly Detail'!BJ2</f>
        <v>Peak</v>
      </c>
      <c r="AW1" s="435" t="str">
        <f>+'Monthly Detail'!BK2</f>
        <v>Shoulder</v>
      </c>
      <c r="AX1" s="435" t="str">
        <f>+'Monthly Detail'!BL2</f>
        <v>Shoulder</v>
      </c>
      <c r="AY1" s="435" t="str">
        <f>+'Monthly Detail'!BM2</f>
        <v>Trough</v>
      </c>
      <c r="AZ1" s="435" t="str">
        <f>+'Monthly Detail'!BN2</f>
        <v>Trough</v>
      </c>
      <c r="BA1" s="435" t="str">
        <f>+'Monthly Detail'!BO2</f>
        <v>Shoulder</v>
      </c>
      <c r="BB1" s="435" t="str">
        <f>+'Monthly Detail'!BP2</f>
        <v>Shoulder</v>
      </c>
      <c r="BC1" s="435" t="str">
        <f>+'Monthly Detail'!BQ2</f>
        <v>Trough</v>
      </c>
      <c r="BD1" s="435" t="str">
        <f>+'Monthly Detail'!BR2</f>
        <v>Trough</v>
      </c>
      <c r="BE1" s="435" t="str">
        <f>+'Monthly Detail'!BS2</f>
        <v>Shoulder</v>
      </c>
      <c r="BF1" s="435" t="str">
        <f>+'Monthly Detail'!BT2</f>
        <v>Shoulder</v>
      </c>
      <c r="BG1" s="435" t="str">
        <f>+'Monthly Detail'!BU2</f>
        <v>Peak</v>
      </c>
      <c r="BH1" s="435" t="str">
        <f>+'Monthly Detail'!BV2</f>
        <v>Peak</v>
      </c>
      <c r="BI1" s="435" t="str">
        <f>+'Monthly Detail'!BW2</f>
        <v>Shoulder</v>
      </c>
      <c r="BJ1" s="435" t="str">
        <f>+'Monthly Detail'!BX2</f>
        <v>Shoulder</v>
      </c>
      <c r="BK1" s="435" t="str">
        <f>+'Monthly Detail'!BY2</f>
        <v>Trough</v>
      </c>
      <c r="BL1" s="435" t="str">
        <f>+'Monthly Detail'!BZ2</f>
        <v>Trough</v>
      </c>
      <c r="BM1" s="435" t="str">
        <f>+'Monthly Detail'!CA2</f>
        <v>Shoulder</v>
      </c>
      <c r="BN1" s="435" t="str">
        <f>+'Monthly Detail'!CB2</f>
        <v>Shoulder</v>
      </c>
      <c r="BO1" s="435" t="str">
        <f>+'Monthly Detail'!CC2</f>
        <v>Trough</v>
      </c>
      <c r="BP1" s="435" t="str">
        <f>+'Monthly Detail'!CD2</f>
        <v>Trough</v>
      </c>
      <c r="BQ1" s="435" t="str">
        <f>+'Monthly Detail'!CE2</f>
        <v>Shoulder</v>
      </c>
      <c r="BR1" s="435" t="str">
        <f>+'Monthly Detail'!CF2</f>
        <v>Shoulder</v>
      </c>
      <c r="BS1" s="435" t="str">
        <f>+'Monthly Detail'!CG2</f>
        <v>Peak</v>
      </c>
      <c r="BT1" s="435" t="str">
        <f>+'Monthly Detail'!CH2</f>
        <v>Peak</v>
      </c>
      <c r="BU1" s="435" t="str">
        <f>+'Monthly Detail'!CI2</f>
        <v>Shoulder</v>
      </c>
      <c r="BV1" s="435" t="str">
        <f>+'Monthly Detail'!CJ2</f>
        <v>Shoulder</v>
      </c>
      <c r="BW1" s="435" t="str">
        <f>+'Monthly Detail'!CK2</f>
        <v>Trough</v>
      </c>
      <c r="BX1" s="435" t="str">
        <f>+'Monthly Detail'!CL2</f>
        <v>Trough</v>
      </c>
      <c r="BY1" s="435" t="str">
        <f>+'Monthly Detail'!CM2</f>
        <v>Shoulder</v>
      </c>
      <c r="BZ1" s="435" t="str">
        <f>+'Monthly Detail'!CN2</f>
        <v>Shoulder</v>
      </c>
      <c r="CA1" s="435" t="str">
        <f>+'Monthly Detail'!CO2</f>
        <v>Trough</v>
      </c>
      <c r="CB1" s="435" t="str">
        <f>+'Monthly Detail'!CP2</f>
        <v>Trough</v>
      </c>
      <c r="CC1" s="435" t="str">
        <f>+'Monthly Detail'!CQ2</f>
        <v>Shoulder</v>
      </c>
      <c r="CD1" s="435" t="str">
        <f>+'Monthly Detail'!CR2</f>
        <v>Shoulder</v>
      </c>
      <c r="CE1" s="435" t="str">
        <f>+'Monthly Detail'!CS2</f>
        <v>Peak</v>
      </c>
      <c r="CF1" s="435" t="str">
        <f>+'Monthly Detail'!CT2</f>
        <v>Peak</v>
      </c>
      <c r="CG1" s="435" t="str">
        <f>+'Monthly Detail'!CU2</f>
        <v>Shoulder</v>
      </c>
      <c r="CH1" s="435" t="str">
        <f>+'Monthly Detail'!CV2</f>
        <v>Shoulder</v>
      </c>
      <c r="CI1" s="435" t="str">
        <f>+'Monthly Detail'!CW2</f>
        <v>Trough</v>
      </c>
      <c r="CJ1" s="435" t="str">
        <f>+'Monthly Detail'!CX2</f>
        <v>Trough</v>
      </c>
      <c r="CK1" s="435" t="str">
        <f>+'Monthly Detail'!CY2</f>
        <v>Shoulder</v>
      </c>
    </row>
    <row r="2" spans="2:89" x14ac:dyDescent="0.3">
      <c r="F2" s="279">
        <v>45322</v>
      </c>
      <c r="G2" s="294">
        <v>45351</v>
      </c>
      <c r="H2" s="251">
        <v>45382</v>
      </c>
      <c r="I2" s="251">
        <v>45412</v>
      </c>
      <c r="J2" s="251">
        <v>45443</v>
      </c>
      <c r="K2" s="251">
        <v>45473</v>
      </c>
      <c r="L2" s="251">
        <v>45504</v>
      </c>
      <c r="M2" s="251">
        <v>45535</v>
      </c>
      <c r="N2" s="509">
        <v>45565</v>
      </c>
      <c r="O2" s="252">
        <v>45596</v>
      </c>
      <c r="P2" s="251">
        <v>45626</v>
      </c>
      <c r="Q2" s="251">
        <v>45657</v>
      </c>
      <c r="R2" s="251">
        <v>45688</v>
      </c>
      <c r="S2" s="251">
        <v>45716</v>
      </c>
      <c r="T2" s="251">
        <v>45747</v>
      </c>
      <c r="U2" s="251">
        <v>45777</v>
      </c>
      <c r="V2" s="251">
        <v>45808</v>
      </c>
      <c r="W2" s="251">
        <v>45838</v>
      </c>
      <c r="X2" s="251">
        <v>45869</v>
      </c>
      <c r="Y2" s="251">
        <v>45900</v>
      </c>
      <c r="Z2" s="251">
        <v>45930</v>
      </c>
      <c r="AA2" s="251">
        <v>45961</v>
      </c>
      <c r="AB2" s="251">
        <v>45991</v>
      </c>
      <c r="AC2" s="251">
        <v>46022</v>
      </c>
      <c r="AD2" s="251">
        <v>46053</v>
      </c>
      <c r="AE2" s="251">
        <v>46081</v>
      </c>
      <c r="AF2" s="251">
        <v>46112</v>
      </c>
      <c r="AG2" s="251">
        <v>46142</v>
      </c>
      <c r="AH2" s="251">
        <v>46173</v>
      </c>
      <c r="AI2" s="251">
        <v>46203</v>
      </c>
      <c r="AJ2" s="251">
        <v>46234</v>
      </c>
      <c r="AK2" s="251">
        <v>46265</v>
      </c>
      <c r="AL2" s="251">
        <v>46295</v>
      </c>
      <c r="AM2" s="251">
        <v>46326</v>
      </c>
      <c r="AN2" s="251">
        <v>46356</v>
      </c>
      <c r="AO2" s="251">
        <v>46387</v>
      </c>
      <c r="AP2" s="251">
        <v>46418</v>
      </c>
      <c r="AQ2" s="251">
        <v>46446</v>
      </c>
      <c r="AR2" s="251">
        <v>46477</v>
      </c>
      <c r="AS2" s="251">
        <v>46507</v>
      </c>
      <c r="AT2" s="251">
        <v>46538</v>
      </c>
      <c r="AU2" s="251">
        <v>46568</v>
      </c>
      <c r="AV2" s="251">
        <v>46599</v>
      </c>
      <c r="AW2" s="251">
        <v>46630</v>
      </c>
      <c r="AX2" s="251">
        <v>46660</v>
      </c>
      <c r="AY2" s="251">
        <v>46691</v>
      </c>
      <c r="AZ2" s="251">
        <v>46721</v>
      </c>
      <c r="BA2" s="251">
        <v>46752</v>
      </c>
      <c r="BB2" s="251">
        <v>46783</v>
      </c>
      <c r="BC2" s="251">
        <v>46812</v>
      </c>
      <c r="BD2" s="251">
        <v>46843</v>
      </c>
      <c r="BE2" s="251">
        <v>46873</v>
      </c>
      <c r="BF2" s="251">
        <v>46904</v>
      </c>
      <c r="BG2" s="251">
        <v>46934</v>
      </c>
      <c r="BH2" s="251">
        <v>46965</v>
      </c>
      <c r="BI2" s="251">
        <v>46996</v>
      </c>
      <c r="BJ2" s="251">
        <v>47026</v>
      </c>
      <c r="BK2" s="251">
        <v>47057</v>
      </c>
      <c r="BL2" s="251">
        <v>47087</v>
      </c>
      <c r="BM2" s="251">
        <v>47118</v>
      </c>
      <c r="BN2" s="251">
        <v>47149</v>
      </c>
      <c r="BO2" s="251">
        <v>47177</v>
      </c>
      <c r="BP2" s="251">
        <v>47208</v>
      </c>
      <c r="BQ2" s="251">
        <v>47238</v>
      </c>
      <c r="BR2" s="251">
        <v>47269</v>
      </c>
      <c r="BS2" s="251">
        <v>47299</v>
      </c>
      <c r="BT2" s="251">
        <v>47330</v>
      </c>
      <c r="BU2" s="251">
        <v>47361</v>
      </c>
      <c r="BV2" s="251">
        <v>47391</v>
      </c>
      <c r="BW2" s="251">
        <v>47422</v>
      </c>
      <c r="BX2" s="251">
        <v>47452</v>
      </c>
      <c r="BY2" s="251">
        <v>47483</v>
      </c>
      <c r="BZ2" s="251">
        <v>47514</v>
      </c>
      <c r="CA2" s="251">
        <v>47542</v>
      </c>
      <c r="CB2" s="251">
        <v>47573</v>
      </c>
      <c r="CC2" s="251">
        <v>47603</v>
      </c>
      <c r="CD2" s="251">
        <v>47634</v>
      </c>
      <c r="CE2" s="251">
        <v>47664</v>
      </c>
      <c r="CF2" s="251">
        <v>47695</v>
      </c>
      <c r="CG2" s="251">
        <v>47726</v>
      </c>
      <c r="CH2" s="251">
        <v>47756</v>
      </c>
      <c r="CI2" s="251">
        <v>47787</v>
      </c>
      <c r="CJ2" s="251">
        <v>47817</v>
      </c>
      <c r="CK2" s="252">
        <v>47848</v>
      </c>
    </row>
    <row r="3" spans="2:89" x14ac:dyDescent="0.3">
      <c r="D3" t="s">
        <v>243</v>
      </c>
      <c r="F3" s="641">
        <v>2000</v>
      </c>
      <c r="G3" s="641">
        <v>2000</v>
      </c>
      <c r="H3" s="641">
        <f>+IF(H1="Peak", G3*1.05, IF(H1="Shoulder", G3*1.03, IF(H1="Trough", G3+(G3*-0.01), 0)))</f>
        <v>1980</v>
      </c>
      <c r="I3" s="638">
        <f t="shared" ref="I3:BT3" si="0">+IF(I1="Peak", H3*1.05, IF(I1="Shoulder", H3*1.03, IF(I1="Trough", H3+(H3*-0.01), 0)))</f>
        <v>2039.4</v>
      </c>
      <c r="J3" s="638">
        <f t="shared" si="0"/>
        <v>2100.5820000000003</v>
      </c>
      <c r="K3" s="638">
        <f t="shared" si="0"/>
        <v>2205.6111000000005</v>
      </c>
      <c r="L3" s="638">
        <f t="shared" si="0"/>
        <v>2315.8916550000008</v>
      </c>
      <c r="M3" s="638">
        <f t="shared" si="0"/>
        <v>2385.3684046500007</v>
      </c>
      <c r="N3" s="639">
        <f t="shared" si="0"/>
        <v>2456.9294567895008</v>
      </c>
      <c r="O3" s="640">
        <f t="shared" si="0"/>
        <v>2432.3601622216056</v>
      </c>
      <c r="P3" s="273">
        <f>+IF(P1="Peak", O3*1.05, IF(P1="Shoulder", O3*1.03, IF(P1="Trough", O3+(O3*-0.01), 0)))</f>
        <v>2408.0365605993898</v>
      </c>
      <c r="Q3" s="273">
        <f t="shared" si="0"/>
        <v>2480.2776574173713</v>
      </c>
      <c r="R3" s="273">
        <f t="shared" si="0"/>
        <v>2554.6859871398924</v>
      </c>
      <c r="S3" s="273">
        <f t="shared" si="0"/>
        <v>2529.1391272684937</v>
      </c>
      <c r="T3" s="273">
        <f t="shared" si="0"/>
        <v>2503.8477359958088</v>
      </c>
      <c r="U3" s="273">
        <f t="shared" si="0"/>
        <v>2578.9631680756829</v>
      </c>
      <c r="V3" s="273">
        <f t="shared" si="0"/>
        <v>2656.3320631179536</v>
      </c>
      <c r="W3" s="273">
        <f t="shared" si="0"/>
        <v>2789.1486662738512</v>
      </c>
      <c r="X3" s="273">
        <f t="shared" si="0"/>
        <v>2928.6060995875437</v>
      </c>
      <c r="Y3" s="273">
        <f t="shared" si="0"/>
        <v>3016.4642825751703</v>
      </c>
      <c r="Z3" s="273">
        <f t="shared" si="0"/>
        <v>3106.9582110524257</v>
      </c>
      <c r="AA3" s="273">
        <f t="shared" si="0"/>
        <v>3075.8886289419015</v>
      </c>
      <c r="AB3" s="273">
        <f t="shared" si="0"/>
        <v>3045.1297426524825</v>
      </c>
      <c r="AC3" s="273">
        <f t="shared" si="0"/>
        <v>3136.4836349320572</v>
      </c>
      <c r="AD3" s="273">
        <f t="shared" si="0"/>
        <v>3230.5781439800189</v>
      </c>
      <c r="AE3" s="273">
        <f t="shared" si="0"/>
        <v>3198.2723625402186</v>
      </c>
      <c r="AF3" s="273">
        <f t="shared" si="0"/>
        <v>3166.2896389148164</v>
      </c>
      <c r="AG3" s="273">
        <f t="shared" si="0"/>
        <v>3261.2783280822609</v>
      </c>
      <c r="AH3" s="273">
        <f t="shared" si="0"/>
        <v>3359.1166779247287</v>
      </c>
      <c r="AI3" s="273">
        <f t="shared" si="0"/>
        <v>3527.0725118209652</v>
      </c>
      <c r="AJ3" s="273">
        <f t="shared" si="0"/>
        <v>3703.4261374120138</v>
      </c>
      <c r="AK3" s="273">
        <f t="shared" si="0"/>
        <v>3814.5289215343741</v>
      </c>
      <c r="AL3" s="273">
        <f t="shared" si="0"/>
        <v>3928.9647891804057</v>
      </c>
      <c r="AM3" s="273">
        <f t="shared" si="0"/>
        <v>3889.6751412886015</v>
      </c>
      <c r="AN3" s="273">
        <f t="shared" si="0"/>
        <v>3850.7783898757157</v>
      </c>
      <c r="AO3" s="273">
        <f t="shared" si="0"/>
        <v>3966.3017415719873</v>
      </c>
      <c r="AP3" s="273">
        <f t="shared" si="0"/>
        <v>4085.290793819147</v>
      </c>
      <c r="AQ3" s="273">
        <f t="shared" si="0"/>
        <v>4044.4378858809555</v>
      </c>
      <c r="AR3" s="273">
        <f t="shared" si="0"/>
        <v>4003.9935070221459</v>
      </c>
      <c r="AS3" s="273">
        <f t="shared" si="0"/>
        <v>4124.1133122328101</v>
      </c>
      <c r="AT3" s="273">
        <f t="shared" si="0"/>
        <v>4247.8367115997944</v>
      </c>
      <c r="AU3" s="273">
        <f t="shared" si="0"/>
        <v>4460.2285471797841</v>
      </c>
      <c r="AV3" s="273">
        <f t="shared" si="0"/>
        <v>4683.2399745387738</v>
      </c>
      <c r="AW3" s="273">
        <f t="shared" si="0"/>
        <v>4823.7371737749372</v>
      </c>
      <c r="AX3" s="273">
        <f t="shared" si="0"/>
        <v>4968.4492889881858</v>
      </c>
      <c r="AY3" s="273">
        <f t="shared" si="0"/>
        <v>4918.764796098304</v>
      </c>
      <c r="AZ3" s="273">
        <f t="shared" si="0"/>
        <v>4869.5771481373213</v>
      </c>
      <c r="BA3" s="273">
        <f t="shared" si="0"/>
        <v>5015.6644625814406</v>
      </c>
      <c r="BB3" s="273">
        <f t="shared" si="0"/>
        <v>5166.1343964588841</v>
      </c>
      <c r="BC3" s="273">
        <f t="shared" si="0"/>
        <v>5114.4730524942952</v>
      </c>
      <c r="BD3" s="273">
        <f t="shared" si="0"/>
        <v>5063.3283219693521</v>
      </c>
      <c r="BE3" s="273">
        <f t="shared" si="0"/>
        <v>5215.2281716284324</v>
      </c>
      <c r="BF3" s="273">
        <f t="shared" si="0"/>
        <v>5371.6850167772855</v>
      </c>
      <c r="BG3" s="273">
        <f t="shared" si="0"/>
        <v>5640.2692676161496</v>
      </c>
      <c r="BH3" s="273">
        <f t="shared" si="0"/>
        <v>5922.2827309969571</v>
      </c>
      <c r="BI3" s="273">
        <f t="shared" si="0"/>
        <v>6099.951212926866</v>
      </c>
      <c r="BJ3" s="273">
        <f t="shared" si="0"/>
        <v>6282.9497493146719</v>
      </c>
      <c r="BK3" s="273">
        <f t="shared" si="0"/>
        <v>6220.120251821525</v>
      </c>
      <c r="BL3" s="273">
        <f t="shared" si="0"/>
        <v>6157.9190493033102</v>
      </c>
      <c r="BM3" s="273">
        <f t="shared" si="0"/>
        <v>6342.6566207824098</v>
      </c>
      <c r="BN3" s="273">
        <f t="shared" si="0"/>
        <v>6532.9363194058824</v>
      </c>
      <c r="BO3" s="273">
        <f t="shared" si="0"/>
        <v>6467.6069562118237</v>
      </c>
      <c r="BP3" s="273">
        <f t="shared" si="0"/>
        <v>6402.9308866497058</v>
      </c>
      <c r="BQ3" s="273">
        <f t="shared" si="0"/>
        <v>6595.0188132491976</v>
      </c>
      <c r="BR3" s="273">
        <f t="shared" si="0"/>
        <v>6792.8693776466735</v>
      </c>
      <c r="BS3" s="273">
        <f t="shared" si="0"/>
        <v>7132.5128465290072</v>
      </c>
      <c r="BT3" s="273">
        <f t="shared" si="0"/>
        <v>7489.1384888554576</v>
      </c>
      <c r="BU3" s="273">
        <f t="shared" ref="BU3:CK3" si="1">+IF(BU1="Peak", BT3*1.05, IF(BU1="Shoulder", BT3*1.03, IF(BU1="Trough", BT3+(BT3*-0.01), 0)))</f>
        <v>7713.8126435211216</v>
      </c>
      <c r="BV3" s="273">
        <f t="shared" si="1"/>
        <v>7945.2270228267553</v>
      </c>
      <c r="BW3" s="273">
        <f t="shared" si="1"/>
        <v>7865.7747525984878</v>
      </c>
      <c r="BX3" s="273">
        <f t="shared" si="1"/>
        <v>7787.1170050725032</v>
      </c>
      <c r="BY3" s="273">
        <f t="shared" si="1"/>
        <v>8020.7305152246781</v>
      </c>
      <c r="BZ3" s="273">
        <f t="shared" si="1"/>
        <v>8261.3524306814179</v>
      </c>
      <c r="CA3" s="273">
        <f t="shared" si="1"/>
        <v>8178.7389063746041</v>
      </c>
      <c r="CB3" s="273">
        <f t="shared" si="1"/>
        <v>8096.9515173108584</v>
      </c>
      <c r="CC3" s="273">
        <f t="shared" si="1"/>
        <v>8339.8600628301847</v>
      </c>
      <c r="CD3" s="273">
        <f t="shared" si="1"/>
        <v>8590.0558647150901</v>
      </c>
      <c r="CE3" s="273">
        <f t="shared" si="1"/>
        <v>9019.5586579508454</v>
      </c>
      <c r="CF3" s="273">
        <f t="shared" si="1"/>
        <v>9470.5365908483873</v>
      </c>
      <c r="CG3" s="273">
        <f t="shared" si="1"/>
        <v>9754.6526885738385</v>
      </c>
      <c r="CH3" s="273">
        <f t="shared" si="1"/>
        <v>10047.292269231053</v>
      </c>
      <c r="CI3" s="273">
        <f t="shared" si="1"/>
        <v>9946.819346538743</v>
      </c>
      <c r="CJ3" s="273">
        <f t="shared" si="1"/>
        <v>9847.3511530733558</v>
      </c>
      <c r="CK3" s="273">
        <f t="shared" si="1"/>
        <v>10142.771687665556</v>
      </c>
    </row>
    <row r="4" spans="2:89" x14ac:dyDescent="0.3">
      <c r="B4" s="272">
        <v>1</v>
      </c>
      <c r="C4" t="s">
        <v>240</v>
      </c>
      <c r="F4" s="638">
        <f t="shared" ref="F4:I4" si="2">+ROUNDDOWN(F$3*$B4, 0)</f>
        <v>2000</v>
      </c>
      <c r="G4" s="638">
        <f t="shared" si="2"/>
        <v>2000</v>
      </c>
      <c r="H4" s="638">
        <f t="shared" si="2"/>
        <v>1980</v>
      </c>
      <c r="I4" s="638">
        <f t="shared" si="2"/>
        <v>2039</v>
      </c>
      <c r="J4" s="638">
        <f t="shared" ref="J4:BS6" si="3">+ROUNDDOWN(J$3*$B4, 0)</f>
        <v>2100</v>
      </c>
      <c r="K4" s="638">
        <f t="shared" si="3"/>
        <v>2205</v>
      </c>
      <c r="L4" s="638">
        <f t="shared" si="3"/>
        <v>2315</v>
      </c>
      <c r="M4" s="638">
        <f t="shared" si="3"/>
        <v>2385</v>
      </c>
      <c r="N4" s="639">
        <f t="shared" si="3"/>
        <v>2456</v>
      </c>
      <c r="O4" s="640">
        <f t="shared" si="3"/>
        <v>2432</v>
      </c>
      <c r="P4" s="274">
        <f t="shared" si="3"/>
        <v>2408</v>
      </c>
      <c r="Q4" s="274">
        <f t="shared" si="3"/>
        <v>2480</v>
      </c>
      <c r="R4" s="274">
        <f t="shared" si="3"/>
        <v>2554</v>
      </c>
      <c r="S4" s="274">
        <f t="shared" si="3"/>
        <v>2529</v>
      </c>
      <c r="T4" s="274">
        <f t="shared" si="3"/>
        <v>2503</v>
      </c>
      <c r="U4" s="274">
        <f t="shared" si="3"/>
        <v>2578</v>
      </c>
      <c r="V4" s="274">
        <f t="shared" si="3"/>
        <v>2656</v>
      </c>
      <c r="W4" s="274">
        <f t="shared" si="3"/>
        <v>2789</v>
      </c>
      <c r="X4" s="274">
        <f t="shared" si="3"/>
        <v>2928</v>
      </c>
      <c r="Y4" s="274">
        <f t="shared" si="3"/>
        <v>3016</v>
      </c>
      <c r="Z4" s="274">
        <f t="shared" si="3"/>
        <v>3106</v>
      </c>
      <c r="AA4" s="274">
        <f t="shared" si="3"/>
        <v>3075</v>
      </c>
      <c r="AB4" s="274">
        <f t="shared" si="3"/>
        <v>3045</v>
      </c>
      <c r="AC4" s="274">
        <f t="shared" si="3"/>
        <v>3136</v>
      </c>
      <c r="AD4" s="274">
        <f t="shared" si="3"/>
        <v>3230</v>
      </c>
      <c r="AE4" s="274">
        <f t="shared" si="3"/>
        <v>3198</v>
      </c>
      <c r="AF4" s="274">
        <f t="shared" si="3"/>
        <v>3166</v>
      </c>
      <c r="AG4" s="274">
        <f t="shared" si="3"/>
        <v>3261</v>
      </c>
      <c r="AH4" s="274">
        <f t="shared" si="3"/>
        <v>3359</v>
      </c>
      <c r="AI4" s="274">
        <f t="shared" si="3"/>
        <v>3527</v>
      </c>
      <c r="AJ4" s="274">
        <f t="shared" si="3"/>
        <v>3703</v>
      </c>
      <c r="AK4" s="274">
        <f t="shared" si="3"/>
        <v>3814</v>
      </c>
      <c r="AL4" s="274">
        <f t="shared" si="3"/>
        <v>3928</v>
      </c>
      <c r="AM4" s="274">
        <f t="shared" si="3"/>
        <v>3889</v>
      </c>
      <c r="AN4" s="274">
        <f t="shared" si="3"/>
        <v>3850</v>
      </c>
      <c r="AO4" s="274">
        <f t="shared" si="3"/>
        <v>3966</v>
      </c>
      <c r="AP4" s="274">
        <f t="shared" si="3"/>
        <v>4085</v>
      </c>
      <c r="AQ4" s="274">
        <f t="shared" si="3"/>
        <v>4044</v>
      </c>
      <c r="AR4" s="274">
        <f t="shared" si="3"/>
        <v>4003</v>
      </c>
      <c r="AS4" s="274">
        <f t="shared" si="3"/>
        <v>4124</v>
      </c>
      <c r="AT4" s="274">
        <f t="shared" si="3"/>
        <v>4247</v>
      </c>
      <c r="AU4" s="274">
        <f t="shared" si="3"/>
        <v>4460</v>
      </c>
      <c r="AV4" s="274">
        <f t="shared" si="3"/>
        <v>4683</v>
      </c>
      <c r="AW4" s="274">
        <f t="shared" si="3"/>
        <v>4823</v>
      </c>
      <c r="AX4" s="274">
        <f t="shared" si="3"/>
        <v>4968</v>
      </c>
      <c r="AY4" s="274">
        <f t="shared" si="3"/>
        <v>4918</v>
      </c>
      <c r="AZ4" s="274">
        <f t="shared" si="3"/>
        <v>4869</v>
      </c>
      <c r="BA4" s="274">
        <f t="shared" si="3"/>
        <v>5015</v>
      </c>
      <c r="BB4" s="274">
        <f t="shared" si="3"/>
        <v>5166</v>
      </c>
      <c r="BC4" s="274">
        <f t="shared" si="3"/>
        <v>5114</v>
      </c>
      <c r="BD4" s="274">
        <f t="shared" si="3"/>
        <v>5063</v>
      </c>
      <c r="BE4" s="274">
        <f t="shared" si="3"/>
        <v>5215</v>
      </c>
      <c r="BF4" s="274">
        <f t="shared" si="3"/>
        <v>5371</v>
      </c>
      <c r="BG4" s="274">
        <f t="shared" si="3"/>
        <v>5640</v>
      </c>
      <c r="BH4" s="274">
        <f t="shared" si="3"/>
        <v>5922</v>
      </c>
      <c r="BI4" s="274">
        <f t="shared" si="3"/>
        <v>6099</v>
      </c>
      <c r="BJ4" s="274">
        <f t="shared" si="3"/>
        <v>6282</v>
      </c>
      <c r="BK4" s="274">
        <f t="shared" si="3"/>
        <v>6220</v>
      </c>
      <c r="BL4" s="274">
        <f t="shared" si="3"/>
        <v>6157</v>
      </c>
      <c r="BM4" s="274">
        <f t="shared" si="3"/>
        <v>6342</v>
      </c>
      <c r="BN4" s="274">
        <f t="shared" si="3"/>
        <v>6532</v>
      </c>
      <c r="BO4" s="274">
        <f t="shared" si="3"/>
        <v>6467</v>
      </c>
      <c r="BP4" s="274">
        <f t="shared" si="3"/>
        <v>6402</v>
      </c>
      <c r="BQ4" s="274">
        <f t="shared" si="3"/>
        <v>6595</v>
      </c>
      <c r="BR4" s="274">
        <f t="shared" si="3"/>
        <v>6792</v>
      </c>
      <c r="BS4" s="274">
        <f t="shared" si="3"/>
        <v>7132</v>
      </c>
      <c r="BT4" s="274">
        <f t="shared" ref="BT4:CK7" si="4">+ROUNDDOWN(BT$3*$B4, 0)</f>
        <v>7489</v>
      </c>
      <c r="BU4" s="274">
        <f t="shared" si="4"/>
        <v>7713</v>
      </c>
      <c r="BV4" s="274">
        <f t="shared" si="4"/>
        <v>7945</v>
      </c>
      <c r="BW4" s="274">
        <f t="shared" si="4"/>
        <v>7865</v>
      </c>
      <c r="BX4" s="274">
        <f t="shared" si="4"/>
        <v>7787</v>
      </c>
      <c r="BY4" s="274">
        <f t="shared" si="4"/>
        <v>8020</v>
      </c>
      <c r="BZ4" s="274">
        <f t="shared" si="4"/>
        <v>8261</v>
      </c>
      <c r="CA4" s="274">
        <f t="shared" si="4"/>
        <v>8178</v>
      </c>
      <c r="CB4" s="274">
        <f t="shared" si="4"/>
        <v>8096</v>
      </c>
      <c r="CC4" s="274">
        <f t="shared" si="4"/>
        <v>8339</v>
      </c>
      <c r="CD4" s="274">
        <f t="shared" si="4"/>
        <v>8590</v>
      </c>
      <c r="CE4" s="274">
        <f t="shared" si="4"/>
        <v>9019</v>
      </c>
      <c r="CF4" s="274">
        <f t="shared" si="4"/>
        <v>9470</v>
      </c>
      <c r="CG4" s="274">
        <f t="shared" si="4"/>
        <v>9754</v>
      </c>
      <c r="CH4" s="274">
        <f t="shared" si="4"/>
        <v>10047</v>
      </c>
      <c r="CI4" s="274">
        <f t="shared" si="4"/>
        <v>9946</v>
      </c>
      <c r="CJ4" s="274">
        <f t="shared" si="4"/>
        <v>9847</v>
      </c>
      <c r="CK4" s="274">
        <f t="shared" si="4"/>
        <v>10142</v>
      </c>
    </row>
    <row r="5" spans="2:89" x14ac:dyDescent="0.3">
      <c r="B5" s="272">
        <v>0.33</v>
      </c>
      <c r="C5" t="s">
        <v>241</v>
      </c>
      <c r="F5" s="638">
        <f t="shared" ref="F5:I6" si="5">+ROUNDDOWN(F$3*$B5, 0)</f>
        <v>660</v>
      </c>
      <c r="G5" s="638">
        <f t="shared" si="5"/>
        <v>660</v>
      </c>
      <c r="H5" s="638">
        <f t="shared" si="5"/>
        <v>653</v>
      </c>
      <c r="I5" s="638">
        <f t="shared" si="5"/>
        <v>673</v>
      </c>
      <c r="J5" s="638">
        <f t="shared" si="3"/>
        <v>693</v>
      </c>
      <c r="K5" s="638">
        <f t="shared" si="3"/>
        <v>727</v>
      </c>
      <c r="L5" s="638">
        <f t="shared" si="3"/>
        <v>764</v>
      </c>
      <c r="M5" s="638">
        <f t="shared" si="3"/>
        <v>787</v>
      </c>
      <c r="N5" s="639">
        <f t="shared" si="3"/>
        <v>810</v>
      </c>
      <c r="O5" s="640">
        <f t="shared" si="3"/>
        <v>802</v>
      </c>
      <c r="P5" s="274">
        <f t="shared" si="3"/>
        <v>794</v>
      </c>
      <c r="Q5" s="274">
        <f t="shared" si="3"/>
        <v>818</v>
      </c>
      <c r="R5" s="274">
        <f t="shared" si="3"/>
        <v>843</v>
      </c>
      <c r="S5" s="274">
        <f t="shared" si="3"/>
        <v>834</v>
      </c>
      <c r="T5" s="274">
        <f t="shared" si="3"/>
        <v>826</v>
      </c>
      <c r="U5" s="274">
        <f t="shared" si="3"/>
        <v>851</v>
      </c>
      <c r="V5" s="274">
        <f t="shared" si="3"/>
        <v>876</v>
      </c>
      <c r="W5" s="274">
        <f t="shared" si="3"/>
        <v>920</v>
      </c>
      <c r="X5" s="274">
        <f t="shared" si="3"/>
        <v>966</v>
      </c>
      <c r="Y5" s="274">
        <f t="shared" si="3"/>
        <v>995</v>
      </c>
      <c r="Z5" s="274">
        <f t="shared" si="3"/>
        <v>1025</v>
      </c>
      <c r="AA5" s="274">
        <f t="shared" si="3"/>
        <v>1015</v>
      </c>
      <c r="AB5" s="274">
        <f t="shared" si="3"/>
        <v>1004</v>
      </c>
      <c r="AC5" s="274">
        <f t="shared" si="3"/>
        <v>1035</v>
      </c>
      <c r="AD5" s="274">
        <f t="shared" si="3"/>
        <v>1066</v>
      </c>
      <c r="AE5" s="274">
        <f t="shared" si="3"/>
        <v>1055</v>
      </c>
      <c r="AF5" s="274">
        <f t="shared" si="3"/>
        <v>1044</v>
      </c>
      <c r="AG5" s="274">
        <f t="shared" si="3"/>
        <v>1076</v>
      </c>
      <c r="AH5" s="274">
        <f t="shared" si="3"/>
        <v>1108</v>
      </c>
      <c r="AI5" s="274">
        <f t="shared" si="3"/>
        <v>1163</v>
      </c>
      <c r="AJ5" s="274">
        <f t="shared" si="3"/>
        <v>1222</v>
      </c>
      <c r="AK5" s="274">
        <f t="shared" si="3"/>
        <v>1258</v>
      </c>
      <c r="AL5" s="274">
        <f t="shared" si="3"/>
        <v>1296</v>
      </c>
      <c r="AM5" s="274">
        <f t="shared" si="3"/>
        <v>1283</v>
      </c>
      <c r="AN5" s="274">
        <f t="shared" si="3"/>
        <v>1270</v>
      </c>
      <c r="AO5" s="274">
        <f t="shared" si="3"/>
        <v>1308</v>
      </c>
      <c r="AP5" s="274">
        <f t="shared" si="3"/>
        <v>1348</v>
      </c>
      <c r="AQ5" s="274">
        <f t="shared" si="3"/>
        <v>1334</v>
      </c>
      <c r="AR5" s="274">
        <f t="shared" si="3"/>
        <v>1321</v>
      </c>
      <c r="AS5" s="274">
        <f t="shared" si="3"/>
        <v>1360</v>
      </c>
      <c r="AT5" s="274">
        <f t="shared" si="3"/>
        <v>1401</v>
      </c>
      <c r="AU5" s="274">
        <f t="shared" si="3"/>
        <v>1471</v>
      </c>
      <c r="AV5" s="274">
        <f t="shared" si="3"/>
        <v>1545</v>
      </c>
      <c r="AW5" s="274">
        <f t="shared" si="3"/>
        <v>1591</v>
      </c>
      <c r="AX5" s="274">
        <f t="shared" si="3"/>
        <v>1639</v>
      </c>
      <c r="AY5" s="274">
        <f t="shared" si="3"/>
        <v>1623</v>
      </c>
      <c r="AZ5" s="274">
        <f t="shared" si="3"/>
        <v>1606</v>
      </c>
      <c r="BA5" s="274">
        <f t="shared" si="3"/>
        <v>1655</v>
      </c>
      <c r="BB5" s="274">
        <f t="shared" si="3"/>
        <v>1704</v>
      </c>
      <c r="BC5" s="274">
        <f t="shared" si="3"/>
        <v>1687</v>
      </c>
      <c r="BD5" s="274">
        <f t="shared" si="3"/>
        <v>1670</v>
      </c>
      <c r="BE5" s="274">
        <f t="shared" si="3"/>
        <v>1721</v>
      </c>
      <c r="BF5" s="274">
        <f t="shared" si="3"/>
        <v>1772</v>
      </c>
      <c r="BG5" s="274">
        <f t="shared" si="3"/>
        <v>1861</v>
      </c>
      <c r="BH5" s="274">
        <f t="shared" si="3"/>
        <v>1954</v>
      </c>
      <c r="BI5" s="274">
        <f t="shared" si="3"/>
        <v>2012</v>
      </c>
      <c r="BJ5" s="274">
        <f t="shared" si="3"/>
        <v>2073</v>
      </c>
      <c r="BK5" s="274">
        <f t="shared" si="3"/>
        <v>2052</v>
      </c>
      <c r="BL5" s="274">
        <f t="shared" si="3"/>
        <v>2032</v>
      </c>
      <c r="BM5" s="274">
        <f t="shared" si="3"/>
        <v>2093</v>
      </c>
      <c r="BN5" s="274">
        <f t="shared" si="3"/>
        <v>2155</v>
      </c>
      <c r="BO5" s="274">
        <f t="shared" si="3"/>
        <v>2134</v>
      </c>
      <c r="BP5" s="274">
        <f t="shared" si="3"/>
        <v>2112</v>
      </c>
      <c r="BQ5" s="274">
        <f t="shared" si="3"/>
        <v>2176</v>
      </c>
      <c r="BR5" s="274">
        <f t="shared" si="3"/>
        <v>2241</v>
      </c>
      <c r="BS5" s="274">
        <f t="shared" si="3"/>
        <v>2353</v>
      </c>
      <c r="BT5" s="274">
        <f t="shared" si="4"/>
        <v>2471</v>
      </c>
      <c r="BU5" s="274">
        <f t="shared" si="4"/>
        <v>2545</v>
      </c>
      <c r="BV5" s="274">
        <f t="shared" si="4"/>
        <v>2621</v>
      </c>
      <c r="BW5" s="274">
        <f t="shared" si="4"/>
        <v>2595</v>
      </c>
      <c r="BX5" s="274">
        <f t="shared" si="4"/>
        <v>2569</v>
      </c>
      <c r="BY5" s="274">
        <f t="shared" si="4"/>
        <v>2646</v>
      </c>
      <c r="BZ5" s="274">
        <f t="shared" si="4"/>
        <v>2726</v>
      </c>
      <c r="CA5" s="274">
        <f t="shared" si="4"/>
        <v>2698</v>
      </c>
      <c r="CB5" s="274">
        <f t="shared" si="4"/>
        <v>2671</v>
      </c>
      <c r="CC5" s="274">
        <f t="shared" si="4"/>
        <v>2752</v>
      </c>
      <c r="CD5" s="274">
        <f t="shared" si="4"/>
        <v>2834</v>
      </c>
      <c r="CE5" s="274">
        <f t="shared" si="4"/>
        <v>2976</v>
      </c>
      <c r="CF5" s="274">
        <f t="shared" si="4"/>
        <v>3125</v>
      </c>
      <c r="CG5" s="274">
        <f t="shared" si="4"/>
        <v>3219</v>
      </c>
      <c r="CH5" s="274">
        <f t="shared" si="4"/>
        <v>3315</v>
      </c>
      <c r="CI5" s="274">
        <f t="shared" si="4"/>
        <v>3282</v>
      </c>
      <c r="CJ5" s="274">
        <f t="shared" si="4"/>
        <v>3249</v>
      </c>
      <c r="CK5" s="274">
        <f t="shared" si="4"/>
        <v>3347</v>
      </c>
    </row>
    <row r="6" spans="2:89" x14ac:dyDescent="0.3">
      <c r="B6" s="272">
        <v>0.1</v>
      </c>
      <c r="C6" t="s">
        <v>242</v>
      </c>
      <c r="F6" s="638">
        <f t="shared" si="5"/>
        <v>200</v>
      </c>
      <c r="G6" s="638">
        <f t="shared" si="5"/>
        <v>200</v>
      </c>
      <c r="H6" s="638">
        <f t="shared" si="5"/>
        <v>198</v>
      </c>
      <c r="I6" s="638">
        <f t="shared" si="5"/>
        <v>203</v>
      </c>
      <c r="J6" s="638">
        <f t="shared" si="3"/>
        <v>210</v>
      </c>
      <c r="K6" s="638">
        <f t="shared" si="3"/>
        <v>220</v>
      </c>
      <c r="L6" s="638">
        <f t="shared" si="3"/>
        <v>231</v>
      </c>
      <c r="M6" s="638">
        <f t="shared" si="3"/>
        <v>238</v>
      </c>
      <c r="N6" s="639">
        <f t="shared" si="3"/>
        <v>245</v>
      </c>
      <c r="O6" s="640">
        <f t="shared" si="3"/>
        <v>243</v>
      </c>
      <c r="P6" s="274">
        <f t="shared" si="3"/>
        <v>240</v>
      </c>
      <c r="Q6" s="274">
        <f t="shared" si="3"/>
        <v>248</v>
      </c>
      <c r="R6" s="274">
        <f t="shared" si="3"/>
        <v>255</v>
      </c>
      <c r="S6" s="274">
        <f t="shared" si="3"/>
        <v>252</v>
      </c>
      <c r="T6" s="274">
        <f t="shared" si="3"/>
        <v>250</v>
      </c>
      <c r="U6" s="274">
        <f t="shared" si="3"/>
        <v>257</v>
      </c>
      <c r="V6" s="274">
        <f t="shared" si="3"/>
        <v>265</v>
      </c>
      <c r="W6" s="274">
        <f t="shared" si="3"/>
        <v>278</v>
      </c>
      <c r="X6" s="274">
        <f t="shared" si="3"/>
        <v>292</v>
      </c>
      <c r="Y6" s="274">
        <f t="shared" si="3"/>
        <v>301</v>
      </c>
      <c r="Z6" s="274">
        <f t="shared" si="3"/>
        <v>310</v>
      </c>
      <c r="AA6" s="274">
        <f t="shared" si="3"/>
        <v>307</v>
      </c>
      <c r="AB6" s="274">
        <f t="shared" si="3"/>
        <v>304</v>
      </c>
      <c r="AC6" s="274">
        <f t="shared" si="3"/>
        <v>313</v>
      </c>
      <c r="AD6" s="274">
        <f t="shared" si="3"/>
        <v>323</v>
      </c>
      <c r="AE6" s="274">
        <f t="shared" si="3"/>
        <v>319</v>
      </c>
      <c r="AF6" s="274">
        <f t="shared" si="3"/>
        <v>316</v>
      </c>
      <c r="AG6" s="274">
        <f t="shared" si="3"/>
        <v>326</v>
      </c>
      <c r="AH6" s="274">
        <f t="shared" si="3"/>
        <v>335</v>
      </c>
      <c r="AI6" s="274">
        <f t="shared" si="3"/>
        <v>352</v>
      </c>
      <c r="AJ6" s="274">
        <f t="shared" si="3"/>
        <v>370</v>
      </c>
      <c r="AK6" s="274">
        <f t="shared" si="3"/>
        <v>381</v>
      </c>
      <c r="AL6" s="274">
        <f t="shared" si="3"/>
        <v>392</v>
      </c>
      <c r="AM6" s="274">
        <f t="shared" si="3"/>
        <v>388</v>
      </c>
      <c r="AN6" s="274">
        <f t="shared" si="3"/>
        <v>385</v>
      </c>
      <c r="AO6" s="274">
        <f t="shared" si="3"/>
        <v>396</v>
      </c>
      <c r="AP6" s="274">
        <f t="shared" si="3"/>
        <v>408</v>
      </c>
      <c r="AQ6" s="274">
        <f t="shared" si="3"/>
        <v>404</v>
      </c>
      <c r="AR6" s="274">
        <f t="shared" si="3"/>
        <v>400</v>
      </c>
      <c r="AS6" s="274">
        <f t="shared" si="3"/>
        <v>412</v>
      </c>
      <c r="AT6" s="274">
        <f t="shared" si="3"/>
        <v>424</v>
      </c>
      <c r="AU6" s="274">
        <f t="shared" si="3"/>
        <v>446</v>
      </c>
      <c r="AV6" s="274">
        <f t="shared" si="3"/>
        <v>468</v>
      </c>
      <c r="AW6" s="274">
        <f t="shared" si="3"/>
        <v>482</v>
      </c>
      <c r="AX6" s="274">
        <f t="shared" si="3"/>
        <v>496</v>
      </c>
      <c r="AY6" s="274">
        <f t="shared" si="3"/>
        <v>491</v>
      </c>
      <c r="AZ6" s="274">
        <f t="shared" si="3"/>
        <v>486</v>
      </c>
      <c r="BA6" s="274">
        <f t="shared" si="3"/>
        <v>501</v>
      </c>
      <c r="BB6" s="274">
        <f t="shared" si="3"/>
        <v>516</v>
      </c>
      <c r="BC6" s="274">
        <f t="shared" si="3"/>
        <v>511</v>
      </c>
      <c r="BD6" s="274">
        <f t="shared" si="3"/>
        <v>506</v>
      </c>
      <c r="BE6" s="274">
        <f t="shared" si="3"/>
        <v>521</v>
      </c>
      <c r="BF6" s="274">
        <f t="shared" si="3"/>
        <v>537</v>
      </c>
      <c r="BG6" s="274">
        <f t="shared" si="3"/>
        <v>564</v>
      </c>
      <c r="BH6" s="274">
        <f t="shared" si="3"/>
        <v>592</v>
      </c>
      <c r="BI6" s="274">
        <f t="shared" si="3"/>
        <v>609</v>
      </c>
      <c r="BJ6" s="274">
        <f t="shared" si="3"/>
        <v>628</v>
      </c>
      <c r="BK6" s="274">
        <f t="shared" si="3"/>
        <v>622</v>
      </c>
      <c r="BL6" s="274">
        <f t="shared" si="3"/>
        <v>615</v>
      </c>
      <c r="BM6" s="274">
        <f t="shared" si="3"/>
        <v>634</v>
      </c>
      <c r="BN6" s="274">
        <f t="shared" si="3"/>
        <v>653</v>
      </c>
      <c r="BO6" s="274">
        <f t="shared" si="3"/>
        <v>646</v>
      </c>
      <c r="BP6" s="274">
        <f t="shared" si="3"/>
        <v>640</v>
      </c>
      <c r="BQ6" s="274">
        <f t="shared" si="3"/>
        <v>659</v>
      </c>
      <c r="BR6" s="274">
        <f t="shared" si="3"/>
        <v>679</v>
      </c>
      <c r="BS6" s="274">
        <f t="shared" ref="BS6:BS7" si="6">+ROUNDDOWN(BS$3*$B6, 0)</f>
        <v>713</v>
      </c>
      <c r="BT6" s="274">
        <f t="shared" si="4"/>
        <v>748</v>
      </c>
      <c r="BU6" s="274">
        <f t="shared" si="4"/>
        <v>771</v>
      </c>
      <c r="BV6" s="274">
        <f t="shared" si="4"/>
        <v>794</v>
      </c>
      <c r="BW6" s="274">
        <f t="shared" si="4"/>
        <v>786</v>
      </c>
      <c r="BX6" s="274">
        <f t="shared" si="4"/>
        <v>778</v>
      </c>
      <c r="BY6" s="274">
        <f t="shared" si="4"/>
        <v>802</v>
      </c>
      <c r="BZ6" s="274">
        <f t="shared" si="4"/>
        <v>826</v>
      </c>
      <c r="CA6" s="274">
        <f t="shared" si="4"/>
        <v>817</v>
      </c>
      <c r="CB6" s="274">
        <f t="shared" si="4"/>
        <v>809</v>
      </c>
      <c r="CC6" s="274">
        <f t="shared" si="4"/>
        <v>833</v>
      </c>
      <c r="CD6" s="274">
        <f t="shared" si="4"/>
        <v>859</v>
      </c>
      <c r="CE6" s="274">
        <f t="shared" si="4"/>
        <v>901</v>
      </c>
      <c r="CF6" s="274">
        <f t="shared" si="4"/>
        <v>947</v>
      </c>
      <c r="CG6" s="274">
        <f t="shared" si="4"/>
        <v>975</v>
      </c>
      <c r="CH6" s="274">
        <f t="shared" si="4"/>
        <v>1004</v>
      </c>
      <c r="CI6" s="274">
        <f t="shared" si="4"/>
        <v>994</v>
      </c>
      <c r="CJ6" s="274">
        <f t="shared" si="4"/>
        <v>984</v>
      </c>
      <c r="CK6" s="274">
        <f t="shared" si="4"/>
        <v>1014</v>
      </c>
    </row>
    <row r="7" spans="2:89" x14ac:dyDescent="0.3">
      <c r="B7" s="272">
        <v>0.05</v>
      </c>
      <c r="C7" t="s">
        <v>254</v>
      </c>
      <c r="F7" s="273">
        <v>0</v>
      </c>
      <c r="G7" s="273">
        <v>0</v>
      </c>
      <c r="H7" s="273">
        <v>0</v>
      </c>
      <c r="I7" s="273">
        <v>0</v>
      </c>
      <c r="J7" s="273">
        <v>4</v>
      </c>
      <c r="K7" s="273">
        <v>34</v>
      </c>
      <c r="L7" s="273">
        <v>31</v>
      </c>
      <c r="M7" s="273">
        <v>0</v>
      </c>
      <c r="N7" s="510">
        <v>0</v>
      </c>
      <c r="O7" s="503">
        <f t="shared" ref="O7:BR7" si="7">+ROUNDDOWN(O$3*$B7, 0)</f>
        <v>121</v>
      </c>
      <c r="P7" s="274">
        <f t="shared" si="7"/>
        <v>120</v>
      </c>
      <c r="Q7" s="274">
        <f t="shared" si="7"/>
        <v>124</v>
      </c>
      <c r="R7" s="274">
        <f t="shared" si="7"/>
        <v>127</v>
      </c>
      <c r="S7" s="274">
        <f t="shared" si="7"/>
        <v>126</v>
      </c>
      <c r="T7" s="274">
        <f t="shared" si="7"/>
        <v>125</v>
      </c>
      <c r="U7" s="274">
        <f t="shared" si="7"/>
        <v>128</v>
      </c>
      <c r="V7" s="274">
        <f t="shared" si="7"/>
        <v>132</v>
      </c>
      <c r="W7" s="274">
        <f t="shared" si="7"/>
        <v>139</v>
      </c>
      <c r="X7" s="274">
        <f t="shared" si="7"/>
        <v>146</v>
      </c>
      <c r="Y7" s="274">
        <f t="shared" si="7"/>
        <v>150</v>
      </c>
      <c r="Z7" s="274">
        <f t="shared" si="7"/>
        <v>155</v>
      </c>
      <c r="AA7" s="274">
        <f t="shared" si="7"/>
        <v>153</v>
      </c>
      <c r="AB7" s="274">
        <f t="shared" si="7"/>
        <v>152</v>
      </c>
      <c r="AC7" s="274">
        <f t="shared" si="7"/>
        <v>156</v>
      </c>
      <c r="AD7" s="274">
        <f t="shared" si="7"/>
        <v>161</v>
      </c>
      <c r="AE7" s="274">
        <f t="shared" si="7"/>
        <v>159</v>
      </c>
      <c r="AF7" s="274">
        <f t="shared" si="7"/>
        <v>158</v>
      </c>
      <c r="AG7" s="274">
        <f t="shared" si="7"/>
        <v>163</v>
      </c>
      <c r="AH7" s="274">
        <f t="shared" si="7"/>
        <v>167</v>
      </c>
      <c r="AI7" s="274">
        <f t="shared" si="7"/>
        <v>176</v>
      </c>
      <c r="AJ7" s="274">
        <f t="shared" si="7"/>
        <v>185</v>
      </c>
      <c r="AK7" s="274">
        <f t="shared" si="7"/>
        <v>190</v>
      </c>
      <c r="AL7" s="274">
        <f t="shared" si="7"/>
        <v>196</v>
      </c>
      <c r="AM7" s="274">
        <f t="shared" si="7"/>
        <v>194</v>
      </c>
      <c r="AN7" s="274">
        <f t="shared" si="7"/>
        <v>192</v>
      </c>
      <c r="AO7" s="274">
        <f t="shared" si="7"/>
        <v>198</v>
      </c>
      <c r="AP7" s="274">
        <f t="shared" si="7"/>
        <v>204</v>
      </c>
      <c r="AQ7" s="274">
        <f t="shared" si="7"/>
        <v>202</v>
      </c>
      <c r="AR7" s="274">
        <f t="shared" si="7"/>
        <v>200</v>
      </c>
      <c r="AS7" s="274">
        <f t="shared" si="7"/>
        <v>206</v>
      </c>
      <c r="AT7" s="274">
        <f t="shared" si="7"/>
        <v>212</v>
      </c>
      <c r="AU7" s="274">
        <f t="shared" si="7"/>
        <v>223</v>
      </c>
      <c r="AV7" s="274">
        <f t="shared" si="7"/>
        <v>234</v>
      </c>
      <c r="AW7" s="274">
        <f t="shared" si="7"/>
        <v>241</v>
      </c>
      <c r="AX7" s="274">
        <f t="shared" si="7"/>
        <v>248</v>
      </c>
      <c r="AY7" s="274">
        <f t="shared" si="7"/>
        <v>245</v>
      </c>
      <c r="AZ7" s="274">
        <f t="shared" si="7"/>
        <v>243</v>
      </c>
      <c r="BA7" s="274">
        <f t="shared" si="7"/>
        <v>250</v>
      </c>
      <c r="BB7" s="274">
        <f t="shared" si="7"/>
        <v>258</v>
      </c>
      <c r="BC7" s="274">
        <f t="shared" si="7"/>
        <v>255</v>
      </c>
      <c r="BD7" s="274">
        <f t="shared" si="7"/>
        <v>253</v>
      </c>
      <c r="BE7" s="274">
        <f t="shared" si="7"/>
        <v>260</v>
      </c>
      <c r="BF7" s="274">
        <f t="shared" si="7"/>
        <v>268</v>
      </c>
      <c r="BG7" s="274">
        <f t="shared" si="7"/>
        <v>282</v>
      </c>
      <c r="BH7" s="274">
        <f t="shared" si="7"/>
        <v>296</v>
      </c>
      <c r="BI7" s="274">
        <f t="shared" si="7"/>
        <v>304</v>
      </c>
      <c r="BJ7" s="274">
        <f t="shared" si="7"/>
        <v>314</v>
      </c>
      <c r="BK7" s="274">
        <f t="shared" si="7"/>
        <v>311</v>
      </c>
      <c r="BL7" s="274">
        <f t="shared" si="7"/>
        <v>307</v>
      </c>
      <c r="BM7" s="274">
        <f t="shared" si="7"/>
        <v>317</v>
      </c>
      <c r="BN7" s="274">
        <f t="shared" si="7"/>
        <v>326</v>
      </c>
      <c r="BO7" s="274">
        <f t="shared" si="7"/>
        <v>323</v>
      </c>
      <c r="BP7" s="274">
        <f t="shared" si="7"/>
        <v>320</v>
      </c>
      <c r="BQ7" s="274">
        <f t="shared" si="7"/>
        <v>329</v>
      </c>
      <c r="BR7" s="274">
        <f t="shared" si="7"/>
        <v>339</v>
      </c>
      <c r="BS7" s="274">
        <f t="shared" si="6"/>
        <v>356</v>
      </c>
      <c r="BT7" s="274">
        <f t="shared" si="4"/>
        <v>374</v>
      </c>
      <c r="BU7" s="274">
        <f t="shared" si="4"/>
        <v>385</v>
      </c>
      <c r="BV7" s="274">
        <f t="shared" si="4"/>
        <v>397</v>
      </c>
      <c r="BW7" s="274">
        <f t="shared" si="4"/>
        <v>393</v>
      </c>
      <c r="BX7" s="274">
        <f t="shared" si="4"/>
        <v>389</v>
      </c>
      <c r="BY7" s="274">
        <f t="shared" si="4"/>
        <v>401</v>
      </c>
      <c r="BZ7" s="274">
        <f t="shared" si="4"/>
        <v>413</v>
      </c>
      <c r="CA7" s="274">
        <f t="shared" si="4"/>
        <v>408</v>
      </c>
      <c r="CB7" s="274">
        <f t="shared" si="4"/>
        <v>404</v>
      </c>
      <c r="CC7" s="274">
        <f t="shared" si="4"/>
        <v>416</v>
      </c>
      <c r="CD7" s="274">
        <f t="shared" si="4"/>
        <v>429</v>
      </c>
      <c r="CE7" s="274">
        <f t="shared" si="4"/>
        <v>450</v>
      </c>
      <c r="CF7" s="274">
        <f t="shared" si="4"/>
        <v>473</v>
      </c>
      <c r="CG7" s="274">
        <f t="shared" si="4"/>
        <v>487</v>
      </c>
      <c r="CH7" s="274">
        <f t="shared" si="4"/>
        <v>502</v>
      </c>
      <c r="CI7" s="274">
        <f t="shared" si="4"/>
        <v>497</v>
      </c>
      <c r="CJ7" s="274">
        <f t="shared" si="4"/>
        <v>492</v>
      </c>
      <c r="CK7" s="274">
        <f t="shared" si="4"/>
        <v>507</v>
      </c>
    </row>
    <row r="8" spans="2:89" x14ac:dyDescent="0.3">
      <c r="F8" s="271"/>
      <c r="G8" s="271"/>
      <c r="H8" s="271"/>
      <c r="I8" s="271"/>
      <c r="J8" s="271"/>
      <c r="K8" s="271"/>
      <c r="L8" s="271"/>
      <c r="M8" s="271"/>
      <c r="N8" s="511"/>
      <c r="O8" s="504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I8" s="271"/>
      <c r="AJ8" s="271"/>
      <c r="AK8" s="271"/>
      <c r="AL8" s="271"/>
      <c r="AM8" s="271"/>
      <c r="AN8" s="271"/>
      <c r="AO8" s="271"/>
      <c r="AP8" s="271"/>
      <c r="AQ8" s="271"/>
      <c r="AR8" s="271"/>
      <c r="AS8" s="271"/>
      <c r="AT8" s="271"/>
      <c r="AU8" s="271"/>
      <c r="AV8" s="271"/>
      <c r="AW8" s="271"/>
      <c r="AX8" s="271"/>
      <c r="AY8" s="271"/>
      <c r="AZ8" s="271"/>
      <c r="BA8" s="271"/>
      <c r="BB8" s="271"/>
      <c r="BC8" s="271"/>
      <c r="BD8" s="271"/>
      <c r="BE8" s="271"/>
      <c r="BF8" s="271"/>
      <c r="BG8" s="271"/>
      <c r="BH8" s="271"/>
      <c r="BI8" s="271"/>
      <c r="BJ8" s="271"/>
      <c r="BK8" s="271"/>
      <c r="BL8" s="271"/>
      <c r="BM8" s="271"/>
      <c r="BN8" s="271"/>
      <c r="BO8" s="271"/>
      <c r="BP8" s="271"/>
      <c r="BQ8" s="271"/>
      <c r="BR8" s="271"/>
      <c r="BS8" s="271"/>
      <c r="BT8" s="271"/>
      <c r="BU8" s="271"/>
      <c r="BV8" s="271"/>
      <c r="BW8" s="271"/>
      <c r="BX8" s="271"/>
      <c r="BY8" s="271"/>
      <c r="BZ8" s="271"/>
      <c r="CA8" s="271"/>
      <c r="CB8" s="271"/>
      <c r="CC8" s="271"/>
      <c r="CD8" s="271"/>
      <c r="CE8" s="271"/>
      <c r="CF8" s="271"/>
      <c r="CG8" s="271"/>
      <c r="CH8" s="271"/>
      <c r="CI8" s="271"/>
      <c r="CJ8" s="271"/>
      <c r="CK8" s="271"/>
    </row>
    <row r="9" spans="2:89" x14ac:dyDescent="0.3">
      <c r="F9" s="271"/>
      <c r="G9" s="271"/>
      <c r="H9" s="271"/>
      <c r="I9" s="271"/>
      <c r="J9" s="271"/>
      <c r="K9" s="271"/>
      <c r="L9" s="271"/>
      <c r="M9" s="271"/>
      <c r="N9" s="511"/>
      <c r="O9" s="504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1"/>
      <c r="AK9" s="271"/>
      <c r="AL9" s="271"/>
      <c r="AM9" s="271"/>
      <c r="AN9" s="271"/>
      <c r="AO9" s="271"/>
      <c r="AP9" s="271"/>
      <c r="AQ9" s="271"/>
      <c r="AR9" s="271"/>
      <c r="AS9" s="271"/>
      <c r="AT9" s="271"/>
      <c r="AU9" s="271"/>
      <c r="AV9" s="271"/>
      <c r="AW9" s="271"/>
      <c r="AX9" s="271"/>
      <c r="AY9" s="271"/>
      <c r="AZ9" s="271"/>
      <c r="BA9" s="271"/>
      <c r="BB9" s="271"/>
      <c r="BC9" s="271"/>
      <c r="BD9" s="271"/>
      <c r="BE9" s="271"/>
      <c r="BF9" s="271"/>
      <c r="BG9" s="271"/>
      <c r="BH9" s="271"/>
      <c r="BI9" s="271"/>
      <c r="BJ9" s="271"/>
      <c r="BK9" s="271"/>
      <c r="BL9" s="271"/>
      <c r="BM9" s="271"/>
      <c r="BN9" s="271"/>
      <c r="BO9" s="271"/>
      <c r="BP9" s="271"/>
      <c r="BQ9" s="271"/>
      <c r="BR9" s="271"/>
      <c r="BS9" s="271"/>
      <c r="BT9" s="271"/>
      <c r="BU9" s="271"/>
      <c r="BV9" s="271"/>
      <c r="BW9" s="271"/>
      <c r="BX9" s="271"/>
      <c r="BY9" s="271"/>
      <c r="BZ9" s="271"/>
      <c r="CA9" s="271"/>
      <c r="CB9" s="271"/>
      <c r="CC9" s="271"/>
      <c r="CD9" s="271"/>
      <c r="CE9" s="271"/>
      <c r="CF9" s="271"/>
      <c r="CG9" s="271"/>
      <c r="CH9" s="271"/>
      <c r="CI9" s="271"/>
      <c r="CJ9" s="271"/>
      <c r="CK9" s="271"/>
    </row>
    <row r="10" spans="2:89" x14ac:dyDescent="0.3">
      <c r="C10" t="s">
        <v>240</v>
      </c>
      <c r="F10" s="278">
        <f t="shared" ref="F10:AK10" si="8">+F4/F$3</f>
        <v>1</v>
      </c>
      <c r="G10" s="278">
        <f t="shared" si="8"/>
        <v>1</v>
      </c>
      <c r="H10" s="278">
        <f t="shared" si="8"/>
        <v>1</v>
      </c>
      <c r="I10" s="278">
        <f t="shared" si="8"/>
        <v>0.99980386388153375</v>
      </c>
      <c r="J10" s="278">
        <f t="shared" si="8"/>
        <v>0.99972293392973932</v>
      </c>
      <c r="K10" s="278">
        <f t="shared" si="8"/>
        <v>0.99972293392973921</v>
      </c>
      <c r="L10" s="278">
        <f t="shared" si="8"/>
        <v>0.99961498414743377</v>
      </c>
      <c r="M10" s="278">
        <f t="shared" si="8"/>
        <v>0.9998455564979889</v>
      </c>
      <c r="N10" s="512">
        <f t="shared" si="8"/>
        <v>0.99962169984696458</v>
      </c>
      <c r="O10" s="505">
        <f t="shared" si="8"/>
        <v>0.99985192890954244</v>
      </c>
      <c r="P10" s="278">
        <f t="shared" si="8"/>
        <v>0.99998481725735067</v>
      </c>
      <c r="Q10" s="278">
        <f t="shared" si="8"/>
        <v>0.99988805389729618</v>
      </c>
      <c r="R10" s="278">
        <f t="shared" si="8"/>
        <v>0.99973147888102665</v>
      </c>
      <c r="S10" s="278">
        <f t="shared" si="8"/>
        <v>0.99994499026684869</v>
      </c>
      <c r="T10" s="278">
        <f t="shared" si="8"/>
        <v>0.99966142669794911</v>
      </c>
      <c r="U10" s="278">
        <f t="shared" si="8"/>
        <v>0.99962652895256288</v>
      </c>
      <c r="V10" s="278">
        <f t="shared" si="8"/>
        <v>0.99987499186469786</v>
      </c>
      <c r="W10" s="278">
        <f t="shared" si="8"/>
        <v>0.99994669833284655</v>
      </c>
      <c r="X10" s="278">
        <f t="shared" si="8"/>
        <v>0.99979304161538518</v>
      </c>
      <c r="Y10" s="278">
        <f t="shared" si="8"/>
        <v>0.99984608384795004</v>
      </c>
      <c r="Z10" s="278">
        <f t="shared" si="8"/>
        <v>0.99969159190844059</v>
      </c>
      <c r="AA10" s="278">
        <f t="shared" si="8"/>
        <v>0.99971109846645934</v>
      </c>
      <c r="AB10" s="278">
        <f t="shared" si="8"/>
        <v>0.99995739339093992</v>
      </c>
      <c r="AC10" s="278">
        <f t="shared" si="8"/>
        <v>0.99984580345751828</v>
      </c>
      <c r="AD10" s="278">
        <f t="shared" si="8"/>
        <v>0.99982104008810424</v>
      </c>
      <c r="AE10" s="278">
        <f t="shared" si="8"/>
        <v>0.99991484072982384</v>
      </c>
      <c r="AF10" s="278">
        <f t="shared" si="8"/>
        <v>0.9999085241882939</v>
      </c>
      <c r="AG10" s="278">
        <f t="shared" si="8"/>
        <v>0.99991465675288604</v>
      </c>
      <c r="AH10" s="278">
        <f t="shared" si="8"/>
        <v>0.9999652652956369</v>
      </c>
      <c r="AI10" s="278">
        <f t="shared" si="8"/>
        <v>0.99997944135803218</v>
      </c>
      <c r="AJ10" s="278">
        <f t="shared" si="8"/>
        <v>0.99988493427539737</v>
      </c>
      <c r="AK10" s="278">
        <f t="shared" si="8"/>
        <v>0.99986134027418483</v>
      </c>
      <c r="AL10" s="278">
        <f t="shared" ref="AL10:BQ10" si="9">+AL4/AL$3</f>
        <v>0.99975444188681395</v>
      </c>
      <c r="AM10" s="278">
        <f t="shared" si="9"/>
        <v>0.99982642733285487</v>
      </c>
      <c r="AN10" s="278">
        <f t="shared" si="9"/>
        <v>0.999797861679664</v>
      </c>
      <c r="AO10" s="278">
        <f t="shared" si="9"/>
        <v>0.99992392369727578</v>
      </c>
      <c r="AP10" s="278">
        <f t="shared" si="9"/>
        <v>0.9999288193096102</v>
      </c>
      <c r="AQ10" s="278">
        <f t="shared" si="9"/>
        <v>0.99989173133737963</v>
      </c>
      <c r="AR10" s="278">
        <f t="shared" si="9"/>
        <v>0.99975187097071871</v>
      </c>
      <c r="AS10" s="278">
        <f t="shared" si="9"/>
        <v>0.99997252446180995</v>
      </c>
      <c r="AT10" s="278">
        <f t="shared" si="9"/>
        <v>0.99980302642106988</v>
      </c>
      <c r="AU10" s="278">
        <f t="shared" si="9"/>
        <v>0.9999487588635052</v>
      </c>
      <c r="AV10" s="278">
        <f t="shared" si="9"/>
        <v>0.99994875886350509</v>
      </c>
      <c r="AW10" s="278">
        <f t="shared" si="9"/>
        <v>0.99984717787300992</v>
      </c>
      <c r="AX10" s="278">
        <f t="shared" si="9"/>
        <v>0.99990957158621274</v>
      </c>
      <c r="AY10" s="278">
        <f t="shared" si="9"/>
        <v>0.99984451460274937</v>
      </c>
      <c r="AZ10" s="278">
        <f t="shared" si="9"/>
        <v>0.9998814787978989</v>
      </c>
      <c r="BA10" s="278">
        <f t="shared" si="9"/>
        <v>0.99986752252141309</v>
      </c>
      <c r="BB10" s="278">
        <f t="shared" si="9"/>
        <v>0.99997398510209567</v>
      </c>
      <c r="BC10" s="278">
        <f t="shared" si="9"/>
        <v>0.99990750709028287</v>
      </c>
      <c r="BD10" s="278">
        <f t="shared" si="9"/>
        <v>0.99993515688723411</v>
      </c>
      <c r="BE10" s="278">
        <f t="shared" si="9"/>
        <v>0.99995624896535229</v>
      </c>
      <c r="BF10" s="278">
        <f t="shared" si="9"/>
        <v>0.99987247636911958</v>
      </c>
      <c r="BG10" s="278">
        <f t="shared" si="9"/>
        <v>0.99995225979410318</v>
      </c>
      <c r="BH10" s="278">
        <f t="shared" si="9"/>
        <v>0.99995225979410318</v>
      </c>
      <c r="BI10" s="278">
        <f t="shared" si="9"/>
        <v>0.99984406220744027</v>
      </c>
      <c r="BJ10" s="278">
        <f t="shared" si="9"/>
        <v>0.99984883703474225</v>
      </c>
      <c r="BK10" s="278">
        <f t="shared" si="9"/>
        <v>0.99998066728348378</v>
      </c>
      <c r="BL10" s="278">
        <f t="shared" si="9"/>
        <v>0.99985075326649286</v>
      </c>
      <c r="BM10" s="278">
        <f t="shared" si="9"/>
        <v>0.9998964754326668</v>
      </c>
      <c r="BN10" s="278">
        <f t="shared" si="9"/>
        <v>0.99985667709585646</v>
      </c>
      <c r="BO10" s="278">
        <f t="shared" si="9"/>
        <v>0.99990615443765629</v>
      </c>
      <c r="BP10" s="278">
        <f t="shared" si="9"/>
        <v>0.99985461553994803</v>
      </c>
      <c r="BQ10" s="278">
        <f t="shared" si="9"/>
        <v>0.99999714735473388</v>
      </c>
      <c r="BR10" s="278">
        <f t="shared" ref="BR10:CK10" si="10">+BR4/BR$3</f>
        <v>0.99987201613952204</v>
      </c>
      <c r="BS10" s="278">
        <f t="shared" si="10"/>
        <v>0.99992809735642374</v>
      </c>
      <c r="BT10" s="278">
        <f t="shared" si="10"/>
        <v>0.99998150803918717</v>
      </c>
      <c r="BU10" s="278">
        <f t="shared" si="10"/>
        <v>0.99989465086090679</v>
      </c>
      <c r="BV10" s="278">
        <f t="shared" si="10"/>
        <v>0.99997142651479898</v>
      </c>
      <c r="BW10" s="278">
        <f t="shared" si="10"/>
        <v>0.99990150333274774</v>
      </c>
      <c r="BX10" s="278">
        <f t="shared" si="10"/>
        <v>0.99998497453262525</v>
      </c>
      <c r="BY10" s="278">
        <f t="shared" si="10"/>
        <v>0.99990892160965994</v>
      </c>
      <c r="BZ10" s="278">
        <f t="shared" si="10"/>
        <v>0.99995733983214308</v>
      </c>
      <c r="CA10" s="278">
        <f t="shared" si="10"/>
        <v>0.99990965521909148</v>
      </c>
      <c r="CB10" s="278">
        <f t="shared" si="10"/>
        <v>0.99988248449940398</v>
      </c>
      <c r="CC10" s="278">
        <f t="shared" si="10"/>
        <v>0.99989687323004162</v>
      </c>
      <c r="CD10" s="278">
        <f t="shared" si="10"/>
        <v>0.99999349658302927</v>
      </c>
      <c r="CE10" s="278">
        <f t="shared" si="10"/>
        <v>0.99993806149812525</v>
      </c>
      <c r="CF10" s="278">
        <f t="shared" si="10"/>
        <v>0.9999433410300208</v>
      </c>
      <c r="CG10" s="278">
        <f t="shared" si="10"/>
        <v>0.99993308951177695</v>
      </c>
      <c r="CH10" s="278">
        <f t="shared" si="10"/>
        <v>0.99997091064704591</v>
      </c>
      <c r="CI10" s="278">
        <f t="shared" si="10"/>
        <v>0.999917627282632</v>
      </c>
      <c r="CJ10" s="278">
        <f t="shared" si="10"/>
        <v>0.99996434035225334</v>
      </c>
      <c r="CK10" s="278">
        <f t="shared" si="10"/>
        <v>0.99992391747647302</v>
      </c>
    </row>
    <row r="11" spans="2:89" x14ac:dyDescent="0.3">
      <c r="C11" t="s">
        <v>241</v>
      </c>
      <c r="F11" s="278">
        <f t="shared" ref="F11:AK11" si="11">+F5/F$3</f>
        <v>0.33</v>
      </c>
      <c r="G11" s="278">
        <f t="shared" si="11"/>
        <v>0.33</v>
      </c>
      <c r="H11" s="278">
        <f t="shared" si="11"/>
        <v>0.32979797979797981</v>
      </c>
      <c r="I11" s="278">
        <f t="shared" si="11"/>
        <v>0.32999901931940767</v>
      </c>
      <c r="J11" s="278">
        <f t="shared" si="11"/>
        <v>0.32990856819681397</v>
      </c>
      <c r="K11" s="278">
        <f t="shared" si="11"/>
        <v>0.32961386529112036</v>
      </c>
      <c r="L11" s="278">
        <f t="shared" si="11"/>
        <v>0.32989453472511421</v>
      </c>
      <c r="M11" s="278">
        <f t="shared" si="11"/>
        <v>0.32992807252155859</v>
      </c>
      <c r="N11" s="512">
        <f t="shared" si="11"/>
        <v>0.32967979514496792</v>
      </c>
      <c r="O11" s="505">
        <f t="shared" si="11"/>
        <v>0.32972090747757116</v>
      </c>
      <c r="P11" s="278">
        <f t="shared" si="11"/>
        <v>0.32972921299930913</v>
      </c>
      <c r="Q11" s="278">
        <f t="shared" si="11"/>
        <v>0.32980178551935008</v>
      </c>
      <c r="R11" s="278">
        <f t="shared" si="11"/>
        <v>0.32998184678806008</v>
      </c>
      <c r="S11" s="278">
        <f t="shared" si="11"/>
        <v>0.32975647365858118</v>
      </c>
      <c r="T11" s="278">
        <f t="shared" si="11"/>
        <v>0.32989226466340632</v>
      </c>
      <c r="U11" s="278">
        <f t="shared" si="11"/>
        <v>0.32997757026323937</v>
      </c>
      <c r="V11" s="278">
        <f t="shared" si="11"/>
        <v>0.32977804701561569</v>
      </c>
      <c r="W11" s="278">
        <f t="shared" si="11"/>
        <v>0.32984975348376439</v>
      </c>
      <c r="X11" s="278">
        <f t="shared" si="11"/>
        <v>0.32984975348376439</v>
      </c>
      <c r="Y11" s="278">
        <f t="shared" si="11"/>
        <v>0.32985638376283494</v>
      </c>
      <c r="Z11" s="278">
        <f t="shared" si="11"/>
        <v>0.32990466249393158</v>
      </c>
      <c r="AA11" s="278">
        <f t="shared" si="11"/>
        <v>0.32998593981901014</v>
      </c>
      <c r="AB11" s="278">
        <f t="shared" si="11"/>
        <v>0.32970680557126558</v>
      </c>
      <c r="AC11" s="278">
        <f t="shared" si="11"/>
        <v>0.32998737454672555</v>
      </c>
      <c r="AD11" s="278">
        <f t="shared" si="11"/>
        <v>0.32997189744084182</v>
      </c>
      <c r="AE11" s="278">
        <f t="shared" si="11"/>
        <v>0.32986559004689309</v>
      </c>
      <c r="AF11" s="278">
        <f t="shared" si="11"/>
        <v>0.32972346786246964</v>
      </c>
      <c r="AG11" s="278">
        <f t="shared" si="11"/>
        <v>0.32993197505860328</v>
      </c>
      <c r="AH11" s="278">
        <f t="shared" si="11"/>
        <v>0.32984861981171948</v>
      </c>
      <c r="AI11" s="278">
        <f t="shared" si="11"/>
        <v>0.32973521131255779</v>
      </c>
      <c r="AJ11" s="278">
        <f t="shared" si="11"/>
        <v>0.3299647285132421</v>
      </c>
      <c r="AK11" s="278">
        <f t="shared" si="11"/>
        <v>0.32979170583768341</v>
      </c>
      <c r="AL11" s="278">
        <f t="shared" ref="AL11:BQ11" si="12">+AL5/AL$3</f>
        <v>0.3298578810298653</v>
      </c>
      <c r="AM11" s="278">
        <f t="shared" si="12"/>
        <v>0.32984759739471659</v>
      </c>
      <c r="AN11" s="278">
        <f t="shared" si="12"/>
        <v>0.3298034504761489</v>
      </c>
      <c r="AO11" s="278">
        <f t="shared" si="12"/>
        <v>0.32977823807262652</v>
      </c>
      <c r="AP11" s="278">
        <f t="shared" si="12"/>
        <v>0.32996427134133527</v>
      </c>
      <c r="AQ11" s="278">
        <f t="shared" si="12"/>
        <v>0.32983569970426913</v>
      </c>
      <c r="AR11" s="278">
        <f t="shared" si="12"/>
        <v>0.32992061492688468</v>
      </c>
      <c r="AS11" s="278">
        <f t="shared" si="12"/>
        <v>0.32976785481766768</v>
      </c>
      <c r="AT11" s="278">
        <f t="shared" si="12"/>
        <v>0.32981493760676217</v>
      </c>
      <c r="AU11" s="278">
        <f t="shared" si="12"/>
        <v>0.32980372741888253</v>
      </c>
      <c r="AV11" s="278">
        <f t="shared" si="12"/>
        <v>0.32989981474356511</v>
      </c>
      <c r="AW11" s="278">
        <f t="shared" si="12"/>
        <v>0.32982725689321146</v>
      </c>
      <c r="AX11" s="278">
        <f t="shared" si="12"/>
        <v>0.32988159980471066</v>
      </c>
      <c r="AY11" s="278">
        <f t="shared" si="12"/>
        <v>0.32996088800330664</v>
      </c>
      <c r="AZ11" s="278">
        <f t="shared" si="12"/>
        <v>0.32980276339072206</v>
      </c>
      <c r="BA11" s="278">
        <f t="shared" si="12"/>
        <v>0.32996625120098477</v>
      </c>
      <c r="BB11" s="278">
        <f t="shared" si="12"/>
        <v>0.32984043178745082</v>
      </c>
      <c r="BC11" s="278">
        <f t="shared" si="12"/>
        <v>0.32984825273001706</v>
      </c>
      <c r="BD11" s="278">
        <f t="shared" si="12"/>
        <v>0.32982257791856229</v>
      </c>
      <c r="BE11" s="278">
        <f t="shared" si="12"/>
        <v>0.32999514946680181</v>
      </c>
      <c r="BF11" s="278">
        <f t="shared" si="12"/>
        <v>0.32987786783207595</v>
      </c>
      <c r="BG11" s="278">
        <f t="shared" si="12"/>
        <v>0.32994878643206133</v>
      </c>
      <c r="BH11" s="278">
        <f t="shared" si="12"/>
        <v>0.32994034374158687</v>
      </c>
      <c r="BI11" s="278">
        <f t="shared" si="12"/>
        <v>0.32983870358441875</v>
      </c>
      <c r="BJ11" s="278">
        <f t="shared" si="12"/>
        <v>0.32994056656686099</v>
      </c>
      <c r="BK11" s="278">
        <f t="shared" si="12"/>
        <v>0.32989715904593386</v>
      </c>
      <c r="BL11" s="278">
        <f t="shared" si="12"/>
        <v>0.329981603156978</v>
      </c>
      <c r="BM11" s="278">
        <f t="shared" si="12"/>
        <v>0.32998790966265712</v>
      </c>
      <c r="BN11" s="278">
        <f t="shared" si="12"/>
        <v>0.32986698394696429</v>
      </c>
      <c r="BO11" s="278">
        <f t="shared" si="12"/>
        <v>0.32995202312818284</v>
      </c>
      <c r="BP11" s="278">
        <f t="shared" si="12"/>
        <v>0.32984894533276637</v>
      </c>
      <c r="BQ11" s="278">
        <f t="shared" si="12"/>
        <v>0.32994598827049293</v>
      </c>
      <c r="BR11" s="278">
        <f t="shared" ref="BR11:CK11" si="13">+BR5/BR$3</f>
        <v>0.32990476857607021</v>
      </c>
      <c r="BS11" s="278">
        <f t="shared" si="13"/>
        <v>0.32989775842395752</v>
      </c>
      <c r="BT11" s="278">
        <f t="shared" si="13"/>
        <v>0.32994449277137555</v>
      </c>
      <c r="BU11" s="278">
        <f t="shared" si="13"/>
        <v>0.32992763988603757</v>
      </c>
      <c r="BV11" s="278">
        <f t="shared" si="13"/>
        <v>0.32988358828134529</v>
      </c>
      <c r="BW11" s="278">
        <f t="shared" si="13"/>
        <v>0.32991028622358304</v>
      </c>
      <c r="BX11" s="278">
        <f t="shared" si="13"/>
        <v>0.32990386536205396</v>
      </c>
      <c r="BY11" s="278">
        <f t="shared" si="13"/>
        <v>0.3298951379774514</v>
      </c>
      <c r="BZ11" s="278">
        <f t="shared" si="13"/>
        <v>0.32997018622230023</v>
      </c>
      <c r="CA11" s="278">
        <f t="shared" si="13"/>
        <v>0.32987970772574088</v>
      </c>
      <c r="CB11" s="278">
        <f t="shared" si="13"/>
        <v>0.32987723766031474</v>
      </c>
      <c r="CC11" s="278">
        <f t="shared" si="13"/>
        <v>0.32998155595743789</v>
      </c>
      <c r="CD11" s="278">
        <f t="shared" si="13"/>
        <v>0.3299163642975908</v>
      </c>
      <c r="CE11" s="278">
        <f t="shared" si="13"/>
        <v>0.32994962534853317</v>
      </c>
      <c r="CF11" s="278">
        <f t="shared" si="13"/>
        <v>0.32997074347611566</v>
      </c>
      <c r="CG11" s="278">
        <f t="shared" si="13"/>
        <v>0.32999637227172546</v>
      </c>
      <c r="CH11" s="278">
        <f t="shared" si="13"/>
        <v>0.32993964056882225</v>
      </c>
      <c r="CI11" s="278">
        <f t="shared" si="13"/>
        <v>0.32995472076629784</v>
      </c>
      <c r="CJ11" s="278">
        <f t="shared" si="13"/>
        <v>0.32993644173905468</v>
      </c>
      <c r="CK11" s="278">
        <f t="shared" si="13"/>
        <v>0.32998869570042944</v>
      </c>
    </row>
    <row r="12" spans="2:89" x14ac:dyDescent="0.3">
      <c r="C12" t="s">
        <v>242</v>
      </c>
      <c r="F12" s="278">
        <f t="shared" ref="F12:AK12" si="14">+F6/F$3</f>
        <v>0.1</v>
      </c>
      <c r="G12" s="278">
        <f t="shared" si="14"/>
        <v>0.1</v>
      </c>
      <c r="H12" s="278">
        <f t="shared" si="14"/>
        <v>0.1</v>
      </c>
      <c r="I12" s="278">
        <f t="shared" si="14"/>
        <v>9.9539080121604395E-2</v>
      </c>
      <c r="J12" s="278">
        <f t="shared" si="14"/>
        <v>9.9972293392973935E-2</v>
      </c>
      <c r="K12" s="278">
        <f t="shared" si="14"/>
        <v>9.9745598850132719E-2</v>
      </c>
      <c r="L12" s="278">
        <f t="shared" si="14"/>
        <v>9.9745598850132705E-2</v>
      </c>
      <c r="M12" s="278">
        <f t="shared" si="14"/>
        <v>9.9774944422021533E-2</v>
      </c>
      <c r="N12" s="512">
        <f t="shared" si="14"/>
        <v>9.9717962729033507E-2</v>
      </c>
      <c r="O12" s="505">
        <f t="shared" si="14"/>
        <v>9.9902968225747873E-2</v>
      </c>
      <c r="P12" s="278">
        <f t="shared" si="14"/>
        <v>9.9666260856214356E-2</v>
      </c>
      <c r="Q12" s="278">
        <f t="shared" si="14"/>
        <v>9.998880538972961E-2</v>
      </c>
      <c r="R12" s="278">
        <f t="shared" si="14"/>
        <v>9.9816572871833126E-2</v>
      </c>
      <c r="S12" s="278">
        <f t="shared" si="14"/>
        <v>9.9638646716981361E-2</v>
      </c>
      <c r="T12" s="278">
        <f t="shared" si="14"/>
        <v>9.9846327077302149E-2</v>
      </c>
      <c r="U12" s="278">
        <f t="shared" si="14"/>
        <v>9.9652450714045257E-2</v>
      </c>
      <c r="V12" s="278">
        <f t="shared" si="14"/>
        <v>9.9761623811801564E-2</v>
      </c>
      <c r="W12" s="278">
        <f t="shared" si="14"/>
        <v>9.9671990726615756E-2</v>
      </c>
      <c r="X12" s="278">
        <f t="shared" si="14"/>
        <v>9.9706136663829395E-2</v>
      </c>
      <c r="Y12" s="278">
        <f t="shared" si="14"/>
        <v>9.9785700012676712E-2</v>
      </c>
      <c r="Z12" s="278">
        <f t="shared" si="14"/>
        <v>9.9776044266457364E-2</v>
      </c>
      <c r="AA12" s="278">
        <f t="shared" si="14"/>
        <v>9.9808555196488791E-2</v>
      </c>
      <c r="AB12" s="278">
        <f t="shared" si="14"/>
        <v>9.9831542722773642E-2</v>
      </c>
      <c r="AC12" s="278">
        <f t="shared" si="14"/>
        <v>9.979328331702908E-2</v>
      </c>
      <c r="AD12" s="278">
        <f t="shared" si="14"/>
        <v>9.9982104008810427E-2</v>
      </c>
      <c r="AE12" s="278">
        <f t="shared" si="14"/>
        <v>9.9741349028397056E-2</v>
      </c>
      <c r="AF12" s="278">
        <f t="shared" si="14"/>
        <v>9.9801356172931413E-2</v>
      </c>
      <c r="AG12" s="278">
        <f t="shared" si="14"/>
        <v>9.9960802852327765E-2</v>
      </c>
      <c r="AH12" s="278">
        <f t="shared" si="14"/>
        <v>9.9728598950294248E-2</v>
      </c>
      <c r="AI12" s="278">
        <f t="shared" si="14"/>
        <v>9.9799479262270285E-2</v>
      </c>
      <c r="AJ12" s="278">
        <f t="shared" si="14"/>
        <v>9.990748735670997E-2</v>
      </c>
      <c r="AK12" s="278">
        <f t="shared" si="14"/>
        <v>9.9881271799807131E-2</v>
      </c>
      <c r="AL12" s="278">
        <f t="shared" ref="AL12:BQ12" si="15">+AL6/AL$3</f>
        <v>9.9771828212737029E-2</v>
      </c>
      <c r="AM12" s="278">
        <f t="shared" si="15"/>
        <v>9.9751260942439621E-2</v>
      </c>
      <c r="AN12" s="278">
        <f t="shared" si="15"/>
        <v>9.9979786167966406E-2</v>
      </c>
      <c r="AO12" s="278">
        <f t="shared" si="15"/>
        <v>9.984111794859335E-2</v>
      </c>
      <c r="AP12" s="278">
        <f t="shared" si="15"/>
        <v>9.9870491622599991E-2</v>
      </c>
      <c r="AQ12" s="278">
        <f t="shared" si="15"/>
        <v>9.9890271874456329E-2</v>
      </c>
      <c r="AR12" s="278">
        <f t="shared" si="15"/>
        <v>9.9900261900646395E-2</v>
      </c>
      <c r="AS12" s="278">
        <f t="shared" si="15"/>
        <v>9.9900261900646395E-2</v>
      </c>
      <c r="AT12" s="278">
        <f t="shared" si="15"/>
        <v>9.9815512880276347E-2</v>
      </c>
      <c r="AU12" s="278">
        <f t="shared" si="15"/>
        <v>9.9994875886350518E-2</v>
      </c>
      <c r="AV12" s="278">
        <f t="shared" si="15"/>
        <v>9.993081766989545E-2</v>
      </c>
      <c r="AW12" s="278">
        <f t="shared" si="15"/>
        <v>9.9922525344140742E-2</v>
      </c>
      <c r="AX12" s="278">
        <f t="shared" si="15"/>
        <v>9.9829941124549418E-2</v>
      </c>
      <c r="AY12" s="278">
        <f t="shared" si="15"/>
        <v>9.9821809001616496E-2</v>
      </c>
      <c r="AZ12" s="278">
        <f t="shared" si="15"/>
        <v>9.9803326904041659E-2</v>
      </c>
      <c r="BA12" s="278">
        <f t="shared" si="15"/>
        <v>9.9887064562956721E-2</v>
      </c>
      <c r="BB12" s="278">
        <f t="shared" si="15"/>
        <v>9.9881257513101313E-2</v>
      </c>
      <c r="BC12" s="278">
        <f t="shared" si="15"/>
        <v>9.9912541283366157E-2</v>
      </c>
      <c r="BD12" s="278">
        <f t="shared" si="15"/>
        <v>9.9934266123827858E-2</v>
      </c>
      <c r="BE12" s="278">
        <f t="shared" si="15"/>
        <v>9.9899751814179968E-2</v>
      </c>
      <c r="BF12" s="278">
        <f t="shared" si="15"/>
        <v>9.9968631504415789E-2</v>
      </c>
      <c r="BG12" s="278">
        <f t="shared" si="15"/>
        <v>9.999522597941031E-2</v>
      </c>
      <c r="BH12" s="278">
        <f t="shared" si="15"/>
        <v>9.9961455217512513E-2</v>
      </c>
      <c r="BI12" s="278">
        <f t="shared" si="15"/>
        <v>9.9836864057112826E-2</v>
      </c>
      <c r="BJ12" s="278">
        <f t="shared" si="15"/>
        <v>9.9953051521461014E-2</v>
      </c>
      <c r="BK12" s="278">
        <f t="shared" si="15"/>
        <v>9.9998066728348378E-2</v>
      </c>
      <c r="BL12" s="278">
        <f t="shared" si="15"/>
        <v>9.9871400561782217E-2</v>
      </c>
      <c r="BM12" s="278">
        <f t="shared" si="15"/>
        <v>9.9958115014870813E-2</v>
      </c>
      <c r="BN12" s="278">
        <f t="shared" si="15"/>
        <v>9.995505360434695E-2</v>
      </c>
      <c r="BO12" s="278">
        <f t="shared" si="15"/>
        <v>9.9882383758578316E-2</v>
      </c>
      <c r="BP12" s="278">
        <f t="shared" si="15"/>
        <v>9.9954225858414042E-2</v>
      </c>
      <c r="BQ12" s="278">
        <f t="shared" si="15"/>
        <v>9.9923899940374469E-2</v>
      </c>
      <c r="BR12" s="278">
        <f t="shared" ref="BR12:CK12" si="16">+BR6/BR$3</f>
        <v>9.9957758975078845E-2</v>
      </c>
      <c r="BS12" s="278">
        <f t="shared" si="16"/>
        <v>9.9964769127191544E-2</v>
      </c>
      <c r="BT12" s="278">
        <f t="shared" si="16"/>
        <v>9.9877976767700896E-2</v>
      </c>
      <c r="BU12" s="278">
        <f t="shared" si="16"/>
        <v>9.9950573812233781E-2</v>
      </c>
      <c r="BV12" s="278">
        <f t="shared" si="16"/>
        <v>9.9934211787633787E-2</v>
      </c>
      <c r="BW12" s="278">
        <f t="shared" si="16"/>
        <v>9.9926583804137284E-2</v>
      </c>
      <c r="BX12" s="278">
        <f t="shared" si="16"/>
        <v>9.9908605391855976E-2</v>
      </c>
      <c r="BY12" s="278">
        <f t="shared" si="16"/>
        <v>9.9990892160965988E-2</v>
      </c>
      <c r="BZ12" s="278">
        <f t="shared" si="16"/>
        <v>9.9983629427593534E-2</v>
      </c>
      <c r="CA12" s="278">
        <f t="shared" si="16"/>
        <v>9.9893150931034208E-2</v>
      </c>
      <c r="CB12" s="278">
        <f t="shared" si="16"/>
        <v>9.9914146487156352E-2</v>
      </c>
      <c r="CC12" s="278">
        <f t="shared" si="16"/>
        <v>9.988177184322157E-2</v>
      </c>
      <c r="CD12" s="278">
        <f t="shared" si="16"/>
        <v>9.9999349658302927E-2</v>
      </c>
      <c r="CE12" s="278">
        <f t="shared" si="16"/>
        <v>9.989402299698534E-2</v>
      </c>
      <c r="CF12" s="278">
        <f t="shared" si="16"/>
        <v>9.9994334103002083E-2</v>
      </c>
      <c r="CG12" s="278">
        <f t="shared" si="16"/>
        <v>9.9952302878202018E-2</v>
      </c>
      <c r="CH12" s="278">
        <f t="shared" si="16"/>
        <v>9.992742055236728E-2</v>
      </c>
      <c r="CI12" s="278">
        <f t="shared" si="16"/>
        <v>9.9931441938360774E-2</v>
      </c>
      <c r="CJ12" s="278">
        <f t="shared" si="16"/>
        <v>9.9925348929279706E-2</v>
      </c>
      <c r="CK12" s="278">
        <f t="shared" si="16"/>
        <v>9.9972673271656834E-2</v>
      </c>
    </row>
    <row r="13" spans="2:89" x14ac:dyDescent="0.3">
      <c r="C13" t="s">
        <v>247</v>
      </c>
      <c r="F13" s="278">
        <f t="shared" ref="F13:AK13" si="17">+F7/F$3</f>
        <v>0</v>
      </c>
      <c r="G13" s="278">
        <f t="shared" si="17"/>
        <v>0</v>
      </c>
      <c r="H13" s="278">
        <f t="shared" si="17"/>
        <v>0</v>
      </c>
      <c r="I13" s="278">
        <f t="shared" si="17"/>
        <v>0</v>
      </c>
      <c r="J13" s="278">
        <f t="shared" si="17"/>
        <v>1.9042341598661701E-3</v>
      </c>
      <c r="K13" s="278">
        <f t="shared" si="17"/>
        <v>1.5415228913202328E-2</v>
      </c>
      <c r="L13" s="278">
        <f t="shared" si="17"/>
        <v>1.3385773005861964E-2</v>
      </c>
      <c r="M13" s="278">
        <f t="shared" si="17"/>
        <v>0</v>
      </c>
      <c r="N13" s="512">
        <f t="shared" si="17"/>
        <v>0</v>
      </c>
      <c r="O13" s="505">
        <f t="shared" si="17"/>
        <v>4.9745922449857996E-2</v>
      </c>
      <c r="P13" s="278">
        <f t="shared" si="17"/>
        <v>4.9833130428107178E-2</v>
      </c>
      <c r="Q13" s="278">
        <f t="shared" si="17"/>
        <v>4.9994402694864805E-2</v>
      </c>
      <c r="R13" s="278">
        <f t="shared" si="17"/>
        <v>4.9712567665579632E-2</v>
      </c>
      <c r="S13" s="278">
        <f t="shared" si="17"/>
        <v>4.981932335849068E-2</v>
      </c>
      <c r="T13" s="278">
        <f t="shared" si="17"/>
        <v>4.9923163538651075E-2</v>
      </c>
      <c r="U13" s="278">
        <f t="shared" si="17"/>
        <v>4.9632348993765729E-2</v>
      </c>
      <c r="V13" s="278">
        <f t="shared" si="17"/>
        <v>4.9692582427010586E-2</v>
      </c>
      <c r="W13" s="278">
        <f t="shared" si="17"/>
        <v>4.9835995363307878E-2</v>
      </c>
      <c r="X13" s="278">
        <f t="shared" si="17"/>
        <v>4.9853068331914697E-2</v>
      </c>
      <c r="Y13" s="278">
        <f t="shared" si="17"/>
        <v>4.9727093029573108E-2</v>
      </c>
      <c r="Z13" s="278">
        <f t="shared" si="17"/>
        <v>4.9888022133228682E-2</v>
      </c>
      <c r="AA13" s="278">
        <f t="shared" si="17"/>
        <v>4.974172294808725E-2</v>
      </c>
      <c r="AB13" s="278">
        <f t="shared" si="17"/>
        <v>4.9915771361386821E-2</v>
      </c>
      <c r="AC13" s="278">
        <f t="shared" si="17"/>
        <v>4.9737227467912259E-2</v>
      </c>
      <c r="AD13" s="278">
        <f t="shared" si="17"/>
        <v>4.9836280945568044E-2</v>
      </c>
      <c r="AE13" s="278">
        <f t="shared" si="17"/>
        <v>4.9714340111332703E-2</v>
      </c>
      <c r="AF13" s="278">
        <f t="shared" si="17"/>
        <v>4.9900678086465707E-2</v>
      </c>
      <c r="AG13" s="278">
        <f t="shared" si="17"/>
        <v>4.9980401426163883E-2</v>
      </c>
      <c r="AH13" s="278">
        <f t="shared" si="17"/>
        <v>4.9715450819997432E-2</v>
      </c>
      <c r="AI13" s="278">
        <f t="shared" si="17"/>
        <v>4.9899739631135143E-2</v>
      </c>
      <c r="AJ13" s="278">
        <f t="shared" si="17"/>
        <v>4.9953743678354985E-2</v>
      </c>
      <c r="AK13" s="278">
        <f t="shared" si="17"/>
        <v>4.9809558115389382E-2</v>
      </c>
      <c r="AL13" s="278">
        <f t="shared" ref="AL13:BQ13" si="18">+AL7/AL$3</f>
        <v>4.9885914106368515E-2</v>
      </c>
      <c r="AM13" s="278">
        <f t="shared" si="18"/>
        <v>4.987563047121981E-2</v>
      </c>
      <c r="AN13" s="278">
        <f t="shared" si="18"/>
        <v>4.9860049205842985E-2</v>
      </c>
      <c r="AO13" s="278">
        <f t="shared" si="18"/>
        <v>4.9920558974296675E-2</v>
      </c>
      <c r="AP13" s="278">
        <f t="shared" si="18"/>
        <v>4.9935245811299996E-2</v>
      </c>
      <c r="AQ13" s="278">
        <f t="shared" si="18"/>
        <v>4.9945135937228165E-2</v>
      </c>
      <c r="AR13" s="278">
        <f t="shared" si="18"/>
        <v>4.9950130950323197E-2</v>
      </c>
      <c r="AS13" s="278">
        <f t="shared" si="18"/>
        <v>4.9950130950323197E-2</v>
      </c>
      <c r="AT13" s="278">
        <f t="shared" si="18"/>
        <v>4.9907756440138173E-2</v>
      </c>
      <c r="AU13" s="278">
        <f t="shared" si="18"/>
        <v>4.9997437943175259E-2</v>
      </c>
      <c r="AV13" s="278">
        <f t="shared" si="18"/>
        <v>4.9965408834947725E-2</v>
      </c>
      <c r="AW13" s="278">
        <f t="shared" si="18"/>
        <v>4.9961262672070371E-2</v>
      </c>
      <c r="AX13" s="278">
        <f t="shared" si="18"/>
        <v>4.9914970562274709E-2</v>
      </c>
      <c r="AY13" s="278">
        <f t="shared" si="18"/>
        <v>4.9809252964146726E-2</v>
      </c>
      <c r="AZ13" s="278">
        <f t="shared" si="18"/>
        <v>4.9901663452020829E-2</v>
      </c>
      <c r="BA13" s="278">
        <f t="shared" si="18"/>
        <v>4.9843844592293775E-2</v>
      </c>
      <c r="BB13" s="278">
        <f t="shared" si="18"/>
        <v>4.9940628756550656E-2</v>
      </c>
      <c r="BC13" s="278">
        <f t="shared" si="18"/>
        <v>4.9858508859605424E-2</v>
      </c>
      <c r="BD13" s="278">
        <f t="shared" si="18"/>
        <v>4.9967133061913929E-2</v>
      </c>
      <c r="BE13" s="278">
        <f t="shared" si="18"/>
        <v>4.9854002824734726E-2</v>
      </c>
      <c r="BF13" s="278">
        <f t="shared" si="18"/>
        <v>4.9891235089727058E-2</v>
      </c>
      <c r="BG13" s="278">
        <f t="shared" si="18"/>
        <v>4.9997612989705155E-2</v>
      </c>
      <c r="BH13" s="278">
        <f t="shared" si="18"/>
        <v>4.9980727608756256E-2</v>
      </c>
      <c r="BI13" s="278">
        <f t="shared" si="18"/>
        <v>4.9836464159872411E-2</v>
      </c>
      <c r="BJ13" s="278">
        <f t="shared" si="18"/>
        <v>4.9976525760730507E-2</v>
      </c>
      <c r="BK13" s="278">
        <f t="shared" si="18"/>
        <v>4.9999033364174189E-2</v>
      </c>
      <c r="BL13" s="278">
        <f t="shared" si="18"/>
        <v>4.9854504020271771E-2</v>
      </c>
      <c r="BM13" s="278">
        <f t="shared" si="18"/>
        <v>4.9979057507435407E-2</v>
      </c>
      <c r="BN13" s="278">
        <f t="shared" si="18"/>
        <v>4.9900991539076726E-2</v>
      </c>
      <c r="BO13" s="278">
        <f t="shared" si="18"/>
        <v>4.9941191879289158E-2</v>
      </c>
      <c r="BP13" s="278">
        <f t="shared" si="18"/>
        <v>4.9977112929207021E-2</v>
      </c>
      <c r="BQ13" s="278">
        <f t="shared" si="18"/>
        <v>4.9886135175088317E-2</v>
      </c>
      <c r="BR13" s="278">
        <f t="shared" ref="BR13:CK13" si="19">+BR7/BR$3</f>
        <v>4.9905272890356005E-2</v>
      </c>
      <c r="BS13" s="278">
        <f t="shared" si="19"/>
        <v>4.9912283042468711E-2</v>
      </c>
      <c r="BT13" s="278">
        <f t="shared" si="19"/>
        <v>4.9938988383850448E-2</v>
      </c>
      <c r="BU13" s="278">
        <f t="shared" si="19"/>
        <v>4.991046811635539E-2</v>
      </c>
      <c r="BV13" s="278">
        <f t="shared" si="19"/>
        <v>4.9967105893816893E-2</v>
      </c>
      <c r="BW13" s="278">
        <f t="shared" si="19"/>
        <v>4.9963291902068642E-2</v>
      </c>
      <c r="BX13" s="278">
        <f t="shared" si="19"/>
        <v>4.9954302695927988E-2</v>
      </c>
      <c r="BY13" s="278">
        <f t="shared" si="19"/>
        <v>4.9995446080482994E-2</v>
      </c>
      <c r="BZ13" s="278">
        <f t="shared" si="19"/>
        <v>4.9991814713796767E-2</v>
      </c>
      <c r="CA13" s="278">
        <f t="shared" si="19"/>
        <v>4.9885441346220263E-2</v>
      </c>
      <c r="CB13" s="278">
        <f t="shared" si="19"/>
        <v>4.9895321607924807E-2</v>
      </c>
      <c r="CC13" s="278">
        <f t="shared" si="19"/>
        <v>4.9880932877287121E-2</v>
      </c>
      <c r="CD13" s="278">
        <f t="shared" si="19"/>
        <v>4.9941467990002278E-2</v>
      </c>
      <c r="CE13" s="278">
        <f t="shared" si="19"/>
        <v>4.9891576413588684E-2</v>
      </c>
      <c r="CF13" s="278">
        <f t="shared" si="19"/>
        <v>4.9944371732544866E-2</v>
      </c>
      <c r="CG13" s="278">
        <f t="shared" si="19"/>
        <v>4.9924893847881423E-2</v>
      </c>
      <c r="CH13" s="278">
        <f t="shared" si="19"/>
        <v>4.996371027618364E-2</v>
      </c>
      <c r="CI13" s="278">
        <f t="shared" si="19"/>
        <v>4.9965720969180387E-2</v>
      </c>
      <c r="CJ13" s="278">
        <f t="shared" si="19"/>
        <v>4.9962674464639853E-2</v>
      </c>
      <c r="CK13" s="278">
        <f t="shared" si="19"/>
        <v>4.9986336635828417E-2</v>
      </c>
    </row>
    <row r="14" spans="2:89" x14ac:dyDescent="0.3">
      <c r="F14" s="275"/>
      <c r="G14" s="275"/>
      <c r="H14" s="275"/>
      <c r="I14" s="275"/>
      <c r="J14" s="275"/>
      <c r="K14" s="275"/>
      <c r="L14" s="275"/>
      <c r="M14" s="275"/>
      <c r="N14" s="513"/>
      <c r="O14" s="506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75"/>
      <c r="AJ14" s="275"/>
      <c r="AK14" s="275"/>
      <c r="AL14" s="275"/>
      <c r="AM14" s="275"/>
      <c r="AN14" s="275"/>
      <c r="AO14" s="275"/>
      <c r="AP14" s="275"/>
      <c r="AQ14" s="275"/>
      <c r="AR14" s="275"/>
      <c r="AS14" s="275"/>
      <c r="AT14" s="275"/>
      <c r="AU14" s="275"/>
      <c r="AV14" s="275"/>
      <c r="AW14" s="275"/>
      <c r="AX14" s="275"/>
      <c r="AY14" s="275"/>
      <c r="AZ14" s="275"/>
      <c r="BA14" s="275"/>
      <c r="BB14" s="275"/>
      <c r="BC14" s="275"/>
      <c r="BD14" s="275"/>
      <c r="BE14" s="275"/>
      <c r="BF14" s="275"/>
      <c r="BG14" s="275"/>
      <c r="BH14" s="275"/>
      <c r="BI14" s="275"/>
      <c r="BJ14" s="275"/>
      <c r="BK14" s="275"/>
      <c r="BL14" s="275"/>
      <c r="BM14" s="275"/>
      <c r="BN14" s="275"/>
      <c r="BO14" s="275"/>
      <c r="BP14" s="275"/>
      <c r="BQ14" s="275"/>
      <c r="BR14" s="275"/>
      <c r="BS14" s="275"/>
      <c r="BT14" s="275"/>
      <c r="BU14" s="275"/>
      <c r="BV14" s="275"/>
      <c r="BW14" s="275"/>
      <c r="BX14" s="275"/>
      <c r="BY14" s="275"/>
      <c r="BZ14" s="275"/>
      <c r="CA14" s="275"/>
      <c r="CB14" s="275"/>
      <c r="CC14" s="275"/>
      <c r="CD14" s="275"/>
      <c r="CE14" s="275"/>
      <c r="CF14" s="275"/>
      <c r="CG14" s="275"/>
      <c r="CH14" s="275"/>
      <c r="CI14" s="275"/>
      <c r="CJ14" s="275"/>
      <c r="CK14" s="275"/>
    </row>
    <row r="15" spans="2:89" x14ac:dyDescent="0.3">
      <c r="C15" s="258" t="s">
        <v>272</v>
      </c>
      <c r="F15" s="273">
        <v>0</v>
      </c>
      <c r="G15" s="273">
        <v>0</v>
      </c>
      <c r="H15" s="273">
        <v>0</v>
      </c>
      <c r="I15" s="273">
        <v>0</v>
      </c>
      <c r="J15" s="273">
        <v>0</v>
      </c>
      <c r="K15" s="273">
        <v>28</v>
      </c>
      <c r="L15" s="273">
        <v>28</v>
      </c>
      <c r="M15" s="273">
        <v>0</v>
      </c>
      <c r="N15" s="510">
        <v>0</v>
      </c>
      <c r="O15" s="503">
        <v>0</v>
      </c>
      <c r="P15" s="280">
        <f t="shared" ref="P15:BV15" si="20">IF(P1="Peak", P7*0.7, 0)</f>
        <v>0</v>
      </c>
      <c r="Q15" s="280">
        <f t="shared" si="20"/>
        <v>0</v>
      </c>
      <c r="R15" s="280">
        <f t="shared" si="20"/>
        <v>0</v>
      </c>
      <c r="S15" s="280">
        <f t="shared" si="20"/>
        <v>0</v>
      </c>
      <c r="T15" s="280">
        <f t="shared" si="20"/>
        <v>0</v>
      </c>
      <c r="U15" s="280">
        <f t="shared" si="20"/>
        <v>0</v>
      </c>
      <c r="V15" s="280">
        <f t="shared" si="20"/>
        <v>0</v>
      </c>
      <c r="W15" s="280">
        <f t="shared" si="20"/>
        <v>97.3</v>
      </c>
      <c r="X15" s="280">
        <f t="shared" si="20"/>
        <v>102.19999999999999</v>
      </c>
      <c r="Y15" s="280">
        <f t="shared" si="20"/>
        <v>0</v>
      </c>
      <c r="Z15" s="280">
        <f t="shared" si="20"/>
        <v>0</v>
      </c>
      <c r="AA15" s="280">
        <f t="shared" si="20"/>
        <v>0</v>
      </c>
      <c r="AB15" s="280">
        <f t="shared" si="20"/>
        <v>0</v>
      </c>
      <c r="AC15" s="280">
        <f t="shared" si="20"/>
        <v>0</v>
      </c>
      <c r="AD15" s="280">
        <f t="shared" si="20"/>
        <v>0</v>
      </c>
      <c r="AE15" s="280">
        <f t="shared" si="20"/>
        <v>0</v>
      </c>
      <c r="AF15" s="280">
        <f t="shared" si="20"/>
        <v>0</v>
      </c>
      <c r="AG15" s="280">
        <f t="shared" si="20"/>
        <v>0</v>
      </c>
      <c r="AH15" s="280">
        <f t="shared" si="20"/>
        <v>0</v>
      </c>
      <c r="AI15" s="280">
        <f t="shared" si="20"/>
        <v>123.19999999999999</v>
      </c>
      <c r="AJ15" s="280">
        <f t="shared" si="20"/>
        <v>129.5</v>
      </c>
      <c r="AK15" s="280">
        <f t="shared" si="20"/>
        <v>0</v>
      </c>
      <c r="AL15" s="280">
        <f t="shared" si="20"/>
        <v>0</v>
      </c>
      <c r="AM15" s="280">
        <f t="shared" si="20"/>
        <v>0</v>
      </c>
      <c r="AN15" s="280">
        <f t="shared" si="20"/>
        <v>0</v>
      </c>
      <c r="AO15" s="280">
        <f t="shared" si="20"/>
        <v>0</v>
      </c>
      <c r="AP15" s="280">
        <f t="shared" si="20"/>
        <v>0</v>
      </c>
      <c r="AQ15" s="280">
        <f t="shared" si="20"/>
        <v>0</v>
      </c>
      <c r="AR15" s="280">
        <f t="shared" si="20"/>
        <v>0</v>
      </c>
      <c r="AS15" s="280">
        <f t="shared" si="20"/>
        <v>0</v>
      </c>
      <c r="AT15" s="280">
        <f t="shared" si="20"/>
        <v>0</v>
      </c>
      <c r="AU15" s="280">
        <f t="shared" si="20"/>
        <v>156.1</v>
      </c>
      <c r="AV15" s="280">
        <f t="shared" si="20"/>
        <v>163.79999999999998</v>
      </c>
      <c r="AW15" s="280">
        <f t="shared" si="20"/>
        <v>0</v>
      </c>
      <c r="AX15" s="280">
        <f t="shared" si="20"/>
        <v>0</v>
      </c>
      <c r="AY15" s="280">
        <f t="shared" si="20"/>
        <v>0</v>
      </c>
      <c r="AZ15" s="280">
        <f t="shared" si="20"/>
        <v>0</v>
      </c>
      <c r="BA15" s="280">
        <f t="shared" si="20"/>
        <v>0</v>
      </c>
      <c r="BB15" s="280">
        <f t="shared" si="20"/>
        <v>0</v>
      </c>
      <c r="BC15" s="280">
        <f t="shared" si="20"/>
        <v>0</v>
      </c>
      <c r="BD15" s="280">
        <f t="shared" si="20"/>
        <v>0</v>
      </c>
      <c r="BE15" s="280">
        <f t="shared" si="20"/>
        <v>0</v>
      </c>
      <c r="BF15" s="280">
        <f t="shared" si="20"/>
        <v>0</v>
      </c>
      <c r="BG15" s="280">
        <f t="shared" si="20"/>
        <v>197.39999999999998</v>
      </c>
      <c r="BH15" s="280">
        <f t="shared" si="20"/>
        <v>207.2</v>
      </c>
      <c r="BI15" s="280">
        <f t="shared" si="20"/>
        <v>0</v>
      </c>
      <c r="BJ15" s="280">
        <f t="shared" si="20"/>
        <v>0</v>
      </c>
      <c r="BK15" s="280">
        <f t="shared" si="20"/>
        <v>0</v>
      </c>
      <c r="BL15" s="280">
        <f t="shared" si="20"/>
        <v>0</v>
      </c>
      <c r="BM15" s="280">
        <f t="shared" si="20"/>
        <v>0</v>
      </c>
      <c r="BN15" s="280">
        <f t="shared" si="20"/>
        <v>0</v>
      </c>
      <c r="BO15" s="280">
        <f t="shared" si="20"/>
        <v>0</v>
      </c>
      <c r="BP15" s="280">
        <f t="shared" si="20"/>
        <v>0</v>
      </c>
      <c r="BQ15" s="280">
        <f t="shared" si="20"/>
        <v>0</v>
      </c>
      <c r="BR15" s="280">
        <f t="shared" si="20"/>
        <v>0</v>
      </c>
      <c r="BS15" s="280">
        <f t="shared" si="20"/>
        <v>249.2</v>
      </c>
      <c r="BT15" s="280">
        <f t="shared" si="20"/>
        <v>261.8</v>
      </c>
      <c r="BU15" s="280">
        <f t="shared" si="20"/>
        <v>0</v>
      </c>
      <c r="BV15" s="280">
        <f t="shared" si="20"/>
        <v>0</v>
      </c>
      <c r="BW15" s="280">
        <f t="shared" ref="BW15:CK15" si="21">IF(BW1="Peak", BW7*0.7, 0)</f>
        <v>0</v>
      </c>
      <c r="BX15" s="280">
        <f t="shared" si="21"/>
        <v>0</v>
      </c>
      <c r="BY15" s="280">
        <f t="shared" si="21"/>
        <v>0</v>
      </c>
      <c r="BZ15" s="280">
        <f t="shared" si="21"/>
        <v>0</v>
      </c>
      <c r="CA15" s="280">
        <f t="shared" si="21"/>
        <v>0</v>
      </c>
      <c r="CB15" s="280">
        <f t="shared" si="21"/>
        <v>0</v>
      </c>
      <c r="CC15" s="280">
        <f t="shared" si="21"/>
        <v>0</v>
      </c>
      <c r="CD15" s="280">
        <f t="shared" si="21"/>
        <v>0</v>
      </c>
      <c r="CE15" s="280">
        <f t="shared" si="21"/>
        <v>315</v>
      </c>
      <c r="CF15" s="280">
        <f t="shared" si="21"/>
        <v>331.09999999999997</v>
      </c>
      <c r="CG15" s="280">
        <f t="shared" si="21"/>
        <v>0</v>
      </c>
      <c r="CH15" s="280">
        <f t="shared" si="21"/>
        <v>0</v>
      </c>
      <c r="CI15" s="280">
        <f t="shared" si="21"/>
        <v>0</v>
      </c>
      <c r="CJ15" s="280">
        <f t="shared" si="21"/>
        <v>0</v>
      </c>
      <c r="CK15" s="280">
        <f t="shared" si="21"/>
        <v>0</v>
      </c>
    </row>
    <row r="16" spans="2:89" x14ac:dyDescent="0.3">
      <c r="C16" s="262" t="s">
        <v>279</v>
      </c>
      <c r="F16" s="273">
        <v>0</v>
      </c>
      <c r="G16" s="273">
        <v>0</v>
      </c>
      <c r="H16" s="273">
        <v>0</v>
      </c>
      <c r="I16" s="273">
        <v>0</v>
      </c>
      <c r="J16" s="273">
        <v>1</v>
      </c>
      <c r="K16" s="273">
        <v>2</v>
      </c>
      <c r="L16" s="273">
        <v>1</v>
      </c>
      <c r="M16" s="273">
        <v>0</v>
      </c>
      <c r="N16" s="510">
        <v>0</v>
      </c>
      <c r="O16" s="503">
        <v>0</v>
      </c>
      <c r="P16" s="280">
        <f t="shared" ref="P16:BW16" si="22">IF(P1="Peak",P7*0.2,IF(AND(P1="Trough", O1="Trough"),0,P7*0.1))</f>
        <v>0</v>
      </c>
      <c r="Q16" s="280">
        <f t="shared" si="22"/>
        <v>12.4</v>
      </c>
      <c r="R16" s="280">
        <f t="shared" si="22"/>
        <v>12.700000000000001</v>
      </c>
      <c r="S16" s="280">
        <f t="shared" si="22"/>
        <v>12.600000000000001</v>
      </c>
      <c r="T16" s="280">
        <f t="shared" si="22"/>
        <v>0</v>
      </c>
      <c r="U16" s="280">
        <f t="shared" si="22"/>
        <v>12.8</v>
      </c>
      <c r="V16" s="280">
        <f t="shared" si="22"/>
        <v>13.200000000000001</v>
      </c>
      <c r="W16" s="280">
        <f t="shared" si="22"/>
        <v>27.8</v>
      </c>
      <c r="X16" s="280">
        <f t="shared" si="22"/>
        <v>29.200000000000003</v>
      </c>
      <c r="Y16" s="280">
        <f t="shared" si="22"/>
        <v>15</v>
      </c>
      <c r="Z16" s="280">
        <f t="shared" si="22"/>
        <v>15.5</v>
      </c>
      <c r="AA16" s="280">
        <f t="shared" si="22"/>
        <v>15.3</v>
      </c>
      <c r="AB16" s="280">
        <f t="shared" si="22"/>
        <v>0</v>
      </c>
      <c r="AC16" s="280">
        <f t="shared" si="22"/>
        <v>15.600000000000001</v>
      </c>
      <c r="AD16" s="280">
        <f t="shared" si="22"/>
        <v>16.100000000000001</v>
      </c>
      <c r="AE16" s="280">
        <f t="shared" si="22"/>
        <v>15.9</v>
      </c>
      <c r="AF16" s="280">
        <f t="shared" si="22"/>
        <v>0</v>
      </c>
      <c r="AG16" s="280">
        <f t="shared" si="22"/>
        <v>16.3</v>
      </c>
      <c r="AH16" s="280">
        <f t="shared" si="22"/>
        <v>16.7</v>
      </c>
      <c r="AI16" s="280">
        <f t="shared" si="22"/>
        <v>35.200000000000003</v>
      </c>
      <c r="AJ16" s="280">
        <f t="shared" si="22"/>
        <v>37</v>
      </c>
      <c r="AK16" s="280">
        <f t="shared" si="22"/>
        <v>19</v>
      </c>
      <c r="AL16" s="280">
        <f t="shared" si="22"/>
        <v>19.600000000000001</v>
      </c>
      <c r="AM16" s="280">
        <f t="shared" si="22"/>
        <v>19.400000000000002</v>
      </c>
      <c r="AN16" s="280">
        <f t="shared" si="22"/>
        <v>0</v>
      </c>
      <c r="AO16" s="280">
        <f t="shared" si="22"/>
        <v>19.8</v>
      </c>
      <c r="AP16" s="280">
        <f t="shared" si="22"/>
        <v>20.400000000000002</v>
      </c>
      <c r="AQ16" s="280">
        <f t="shared" si="22"/>
        <v>20.200000000000003</v>
      </c>
      <c r="AR16" s="280">
        <f t="shared" si="22"/>
        <v>0</v>
      </c>
      <c r="AS16" s="280">
        <f t="shared" si="22"/>
        <v>20.6</v>
      </c>
      <c r="AT16" s="280">
        <f t="shared" si="22"/>
        <v>21.200000000000003</v>
      </c>
      <c r="AU16" s="280">
        <f t="shared" si="22"/>
        <v>44.6</v>
      </c>
      <c r="AV16" s="280">
        <f t="shared" si="22"/>
        <v>46.800000000000004</v>
      </c>
      <c r="AW16" s="280">
        <f t="shared" si="22"/>
        <v>24.1</v>
      </c>
      <c r="AX16" s="280">
        <f t="shared" si="22"/>
        <v>24.8</v>
      </c>
      <c r="AY16" s="280">
        <f t="shared" si="22"/>
        <v>24.5</v>
      </c>
      <c r="AZ16" s="280">
        <f t="shared" si="22"/>
        <v>0</v>
      </c>
      <c r="BA16" s="280">
        <f t="shared" si="22"/>
        <v>25</v>
      </c>
      <c r="BB16" s="280">
        <f t="shared" si="22"/>
        <v>25.8</v>
      </c>
      <c r="BC16" s="280">
        <f t="shared" si="22"/>
        <v>25.5</v>
      </c>
      <c r="BD16" s="280">
        <f t="shared" si="22"/>
        <v>0</v>
      </c>
      <c r="BE16" s="280">
        <f t="shared" si="22"/>
        <v>26</v>
      </c>
      <c r="BF16" s="280">
        <f t="shared" si="22"/>
        <v>26.8</v>
      </c>
      <c r="BG16" s="280">
        <f t="shared" si="22"/>
        <v>56.400000000000006</v>
      </c>
      <c r="BH16" s="280">
        <f t="shared" si="22"/>
        <v>59.2</v>
      </c>
      <c r="BI16" s="280">
        <f t="shared" si="22"/>
        <v>30.400000000000002</v>
      </c>
      <c r="BJ16" s="280">
        <f t="shared" si="22"/>
        <v>31.400000000000002</v>
      </c>
      <c r="BK16" s="280">
        <f t="shared" si="22"/>
        <v>31.1</v>
      </c>
      <c r="BL16" s="280">
        <f t="shared" si="22"/>
        <v>0</v>
      </c>
      <c r="BM16" s="280">
        <f t="shared" si="22"/>
        <v>31.700000000000003</v>
      </c>
      <c r="BN16" s="280">
        <f t="shared" si="22"/>
        <v>32.6</v>
      </c>
      <c r="BO16" s="280">
        <f t="shared" si="22"/>
        <v>32.300000000000004</v>
      </c>
      <c r="BP16" s="280">
        <f t="shared" si="22"/>
        <v>0</v>
      </c>
      <c r="BQ16" s="280">
        <f t="shared" si="22"/>
        <v>32.9</v>
      </c>
      <c r="BR16" s="280">
        <f t="shared" si="22"/>
        <v>33.9</v>
      </c>
      <c r="BS16" s="280">
        <f t="shared" si="22"/>
        <v>71.2</v>
      </c>
      <c r="BT16" s="280">
        <f t="shared" si="22"/>
        <v>74.8</v>
      </c>
      <c r="BU16" s="280">
        <f t="shared" si="22"/>
        <v>38.5</v>
      </c>
      <c r="BV16" s="280">
        <f t="shared" si="22"/>
        <v>39.700000000000003</v>
      </c>
      <c r="BW16" s="280">
        <f t="shared" si="22"/>
        <v>39.300000000000004</v>
      </c>
      <c r="BX16" s="280">
        <f t="shared" ref="BX16:CK16" si="23">IF(BX1="Peak",BX7*0.2,IF(AND(BX1="Trough", BW1="Trough"),0,BX7*0.1))</f>
        <v>0</v>
      </c>
      <c r="BY16" s="280">
        <f t="shared" si="23"/>
        <v>40.1</v>
      </c>
      <c r="BZ16" s="280">
        <f t="shared" si="23"/>
        <v>41.300000000000004</v>
      </c>
      <c r="CA16" s="280">
        <f t="shared" si="23"/>
        <v>40.800000000000004</v>
      </c>
      <c r="CB16" s="280">
        <f t="shared" si="23"/>
        <v>0</v>
      </c>
      <c r="CC16" s="280">
        <f t="shared" si="23"/>
        <v>41.6</v>
      </c>
      <c r="CD16" s="280">
        <f t="shared" si="23"/>
        <v>42.900000000000006</v>
      </c>
      <c r="CE16" s="280">
        <f t="shared" si="23"/>
        <v>90</v>
      </c>
      <c r="CF16" s="280">
        <f t="shared" si="23"/>
        <v>94.600000000000009</v>
      </c>
      <c r="CG16" s="280">
        <f t="shared" si="23"/>
        <v>48.7</v>
      </c>
      <c r="CH16" s="280">
        <f t="shared" si="23"/>
        <v>50.2</v>
      </c>
      <c r="CI16" s="280">
        <f t="shared" si="23"/>
        <v>49.7</v>
      </c>
      <c r="CJ16" s="280">
        <f t="shared" si="23"/>
        <v>0</v>
      </c>
      <c r="CK16" s="280">
        <f t="shared" si="23"/>
        <v>50.7</v>
      </c>
    </row>
    <row r="17" spans="2:89" x14ac:dyDescent="0.3">
      <c r="C17" s="262" t="s">
        <v>278</v>
      </c>
      <c r="F17" s="273">
        <v>0</v>
      </c>
      <c r="G17" s="273">
        <v>0</v>
      </c>
      <c r="H17" s="273">
        <v>0</v>
      </c>
      <c r="I17" s="273">
        <v>0</v>
      </c>
      <c r="J17" s="273">
        <v>3</v>
      </c>
      <c r="K17" s="273">
        <v>4</v>
      </c>
      <c r="L17" s="273">
        <v>2</v>
      </c>
      <c r="M17" s="273">
        <v>0</v>
      </c>
      <c r="N17" s="510">
        <v>0</v>
      </c>
      <c r="O17" s="503">
        <v>0</v>
      </c>
      <c r="P17" s="280">
        <f t="shared" ref="P17:BW17" si="24">IF(P1="Peak",P7*0.1,IF(AND(P1="Trough", O1="Trough"),0,P7*0.05))</f>
        <v>0</v>
      </c>
      <c r="Q17" s="280">
        <f t="shared" si="24"/>
        <v>6.2</v>
      </c>
      <c r="R17" s="280">
        <f t="shared" si="24"/>
        <v>6.3500000000000005</v>
      </c>
      <c r="S17" s="280">
        <f t="shared" si="24"/>
        <v>6.3000000000000007</v>
      </c>
      <c r="T17" s="280">
        <f t="shared" si="24"/>
        <v>0</v>
      </c>
      <c r="U17" s="280">
        <f t="shared" si="24"/>
        <v>6.4</v>
      </c>
      <c r="V17" s="280">
        <f t="shared" si="24"/>
        <v>6.6000000000000005</v>
      </c>
      <c r="W17" s="280">
        <f t="shared" si="24"/>
        <v>13.9</v>
      </c>
      <c r="X17" s="280">
        <f t="shared" si="24"/>
        <v>14.600000000000001</v>
      </c>
      <c r="Y17" s="280">
        <f t="shared" si="24"/>
        <v>7.5</v>
      </c>
      <c r="Z17" s="280">
        <f t="shared" si="24"/>
        <v>7.75</v>
      </c>
      <c r="AA17" s="280">
        <f t="shared" si="24"/>
        <v>7.65</v>
      </c>
      <c r="AB17" s="280">
        <f t="shared" si="24"/>
        <v>0</v>
      </c>
      <c r="AC17" s="280">
        <f t="shared" si="24"/>
        <v>7.8000000000000007</v>
      </c>
      <c r="AD17" s="280">
        <f t="shared" si="24"/>
        <v>8.0500000000000007</v>
      </c>
      <c r="AE17" s="280">
        <f t="shared" si="24"/>
        <v>7.95</v>
      </c>
      <c r="AF17" s="280">
        <f t="shared" si="24"/>
        <v>0</v>
      </c>
      <c r="AG17" s="280">
        <f t="shared" si="24"/>
        <v>8.15</v>
      </c>
      <c r="AH17" s="280">
        <f t="shared" si="24"/>
        <v>8.35</v>
      </c>
      <c r="AI17" s="280">
        <f t="shared" si="24"/>
        <v>17.600000000000001</v>
      </c>
      <c r="AJ17" s="280">
        <f t="shared" si="24"/>
        <v>18.5</v>
      </c>
      <c r="AK17" s="280">
        <f t="shared" si="24"/>
        <v>9.5</v>
      </c>
      <c r="AL17" s="280">
        <f t="shared" si="24"/>
        <v>9.8000000000000007</v>
      </c>
      <c r="AM17" s="280">
        <f t="shared" si="24"/>
        <v>9.7000000000000011</v>
      </c>
      <c r="AN17" s="280">
        <f t="shared" si="24"/>
        <v>0</v>
      </c>
      <c r="AO17" s="280">
        <f t="shared" si="24"/>
        <v>9.9</v>
      </c>
      <c r="AP17" s="280">
        <f t="shared" si="24"/>
        <v>10.200000000000001</v>
      </c>
      <c r="AQ17" s="280">
        <f t="shared" si="24"/>
        <v>10.100000000000001</v>
      </c>
      <c r="AR17" s="280">
        <f t="shared" si="24"/>
        <v>0</v>
      </c>
      <c r="AS17" s="280">
        <f t="shared" si="24"/>
        <v>10.3</v>
      </c>
      <c r="AT17" s="280">
        <f t="shared" si="24"/>
        <v>10.600000000000001</v>
      </c>
      <c r="AU17" s="280">
        <f t="shared" si="24"/>
        <v>22.3</v>
      </c>
      <c r="AV17" s="280">
        <f t="shared" si="24"/>
        <v>23.400000000000002</v>
      </c>
      <c r="AW17" s="280">
        <f t="shared" si="24"/>
        <v>12.05</v>
      </c>
      <c r="AX17" s="280">
        <f t="shared" si="24"/>
        <v>12.4</v>
      </c>
      <c r="AY17" s="280">
        <f t="shared" si="24"/>
        <v>12.25</v>
      </c>
      <c r="AZ17" s="280">
        <f t="shared" si="24"/>
        <v>0</v>
      </c>
      <c r="BA17" s="280">
        <f t="shared" si="24"/>
        <v>12.5</v>
      </c>
      <c r="BB17" s="280">
        <f t="shared" si="24"/>
        <v>12.9</v>
      </c>
      <c r="BC17" s="280">
        <f t="shared" si="24"/>
        <v>12.75</v>
      </c>
      <c r="BD17" s="280">
        <f t="shared" si="24"/>
        <v>0</v>
      </c>
      <c r="BE17" s="280">
        <f t="shared" si="24"/>
        <v>13</v>
      </c>
      <c r="BF17" s="280">
        <f t="shared" si="24"/>
        <v>13.4</v>
      </c>
      <c r="BG17" s="280">
        <f t="shared" si="24"/>
        <v>28.200000000000003</v>
      </c>
      <c r="BH17" s="280">
        <f t="shared" si="24"/>
        <v>29.6</v>
      </c>
      <c r="BI17" s="280">
        <f t="shared" si="24"/>
        <v>15.200000000000001</v>
      </c>
      <c r="BJ17" s="280">
        <f t="shared" si="24"/>
        <v>15.700000000000001</v>
      </c>
      <c r="BK17" s="280">
        <f t="shared" si="24"/>
        <v>15.55</v>
      </c>
      <c r="BL17" s="280">
        <f t="shared" si="24"/>
        <v>0</v>
      </c>
      <c r="BM17" s="280">
        <f t="shared" si="24"/>
        <v>15.850000000000001</v>
      </c>
      <c r="BN17" s="280">
        <f t="shared" si="24"/>
        <v>16.3</v>
      </c>
      <c r="BO17" s="280">
        <f t="shared" si="24"/>
        <v>16.150000000000002</v>
      </c>
      <c r="BP17" s="280">
        <f t="shared" si="24"/>
        <v>0</v>
      </c>
      <c r="BQ17" s="280">
        <f t="shared" si="24"/>
        <v>16.45</v>
      </c>
      <c r="BR17" s="280">
        <f t="shared" si="24"/>
        <v>16.95</v>
      </c>
      <c r="BS17" s="280">
        <f t="shared" si="24"/>
        <v>35.6</v>
      </c>
      <c r="BT17" s="280">
        <f t="shared" si="24"/>
        <v>37.4</v>
      </c>
      <c r="BU17" s="280">
        <f t="shared" si="24"/>
        <v>19.25</v>
      </c>
      <c r="BV17" s="280">
        <f t="shared" si="24"/>
        <v>19.850000000000001</v>
      </c>
      <c r="BW17" s="280">
        <f t="shared" si="24"/>
        <v>19.650000000000002</v>
      </c>
      <c r="BX17" s="280">
        <f t="shared" ref="BX17:CK17" si="25">IF(BX1="Peak",BX7*0.1,IF(AND(BX1="Trough", BW1="Trough"),0,BX7*0.05))</f>
        <v>0</v>
      </c>
      <c r="BY17" s="280">
        <f t="shared" si="25"/>
        <v>20.05</v>
      </c>
      <c r="BZ17" s="280">
        <f t="shared" si="25"/>
        <v>20.650000000000002</v>
      </c>
      <c r="CA17" s="280">
        <f t="shared" si="25"/>
        <v>20.400000000000002</v>
      </c>
      <c r="CB17" s="280">
        <f t="shared" si="25"/>
        <v>0</v>
      </c>
      <c r="CC17" s="280">
        <f t="shared" si="25"/>
        <v>20.8</v>
      </c>
      <c r="CD17" s="280">
        <f t="shared" si="25"/>
        <v>21.450000000000003</v>
      </c>
      <c r="CE17" s="280">
        <f t="shared" si="25"/>
        <v>45</v>
      </c>
      <c r="CF17" s="280">
        <f t="shared" si="25"/>
        <v>47.300000000000004</v>
      </c>
      <c r="CG17" s="280">
        <f t="shared" si="25"/>
        <v>24.35</v>
      </c>
      <c r="CH17" s="280">
        <f t="shared" si="25"/>
        <v>25.1</v>
      </c>
      <c r="CI17" s="280">
        <f t="shared" si="25"/>
        <v>24.85</v>
      </c>
      <c r="CJ17" s="280">
        <f t="shared" si="25"/>
        <v>0</v>
      </c>
      <c r="CK17" s="280">
        <f t="shared" si="25"/>
        <v>25.35</v>
      </c>
    </row>
    <row r="18" spans="2:89" x14ac:dyDescent="0.3">
      <c r="D18" s="277" t="s">
        <v>349</v>
      </c>
      <c r="E18" s="3"/>
      <c r="F18" s="281">
        <f t="shared" ref="F18:AK18" si="26">SUM(F15:F17)</f>
        <v>0</v>
      </c>
      <c r="G18" s="281">
        <f t="shared" si="26"/>
        <v>0</v>
      </c>
      <c r="H18" s="281">
        <f t="shared" si="26"/>
        <v>0</v>
      </c>
      <c r="I18" s="281">
        <f t="shared" si="26"/>
        <v>0</v>
      </c>
      <c r="J18" s="281">
        <f t="shared" si="26"/>
        <v>4</v>
      </c>
      <c r="K18" s="281">
        <f t="shared" si="26"/>
        <v>34</v>
      </c>
      <c r="L18" s="281">
        <f t="shared" si="26"/>
        <v>31</v>
      </c>
      <c r="M18" s="281">
        <f t="shared" si="26"/>
        <v>0</v>
      </c>
      <c r="N18" s="514">
        <f t="shared" si="26"/>
        <v>0</v>
      </c>
      <c r="O18" s="507">
        <f t="shared" si="26"/>
        <v>0</v>
      </c>
      <c r="P18" s="281">
        <f t="shared" si="26"/>
        <v>0</v>
      </c>
      <c r="Q18" s="281">
        <f t="shared" si="26"/>
        <v>18.600000000000001</v>
      </c>
      <c r="R18" s="281">
        <f t="shared" si="26"/>
        <v>19.05</v>
      </c>
      <c r="S18" s="281">
        <f t="shared" si="26"/>
        <v>18.900000000000002</v>
      </c>
      <c r="T18" s="281">
        <f t="shared" si="26"/>
        <v>0</v>
      </c>
      <c r="U18" s="281">
        <f t="shared" si="26"/>
        <v>19.200000000000003</v>
      </c>
      <c r="V18" s="281">
        <f t="shared" si="26"/>
        <v>19.8</v>
      </c>
      <c r="W18" s="281">
        <f t="shared" si="26"/>
        <v>139</v>
      </c>
      <c r="X18" s="281">
        <f t="shared" si="26"/>
        <v>145.99999999999997</v>
      </c>
      <c r="Y18" s="281">
        <f t="shared" si="26"/>
        <v>22.5</v>
      </c>
      <c r="Z18" s="281">
        <f t="shared" si="26"/>
        <v>23.25</v>
      </c>
      <c r="AA18" s="281">
        <f t="shared" si="26"/>
        <v>22.950000000000003</v>
      </c>
      <c r="AB18" s="281">
        <f t="shared" si="26"/>
        <v>0</v>
      </c>
      <c r="AC18" s="281">
        <f t="shared" si="26"/>
        <v>23.400000000000002</v>
      </c>
      <c r="AD18" s="281">
        <f t="shared" si="26"/>
        <v>24.150000000000002</v>
      </c>
      <c r="AE18" s="281">
        <f t="shared" si="26"/>
        <v>23.85</v>
      </c>
      <c r="AF18" s="281">
        <f t="shared" si="26"/>
        <v>0</v>
      </c>
      <c r="AG18" s="281">
        <f t="shared" si="26"/>
        <v>24.450000000000003</v>
      </c>
      <c r="AH18" s="281">
        <f t="shared" si="26"/>
        <v>25.049999999999997</v>
      </c>
      <c r="AI18" s="281">
        <f t="shared" si="26"/>
        <v>175.99999999999997</v>
      </c>
      <c r="AJ18" s="281">
        <f t="shared" si="26"/>
        <v>185</v>
      </c>
      <c r="AK18" s="281">
        <f t="shared" si="26"/>
        <v>28.5</v>
      </c>
      <c r="AL18" s="281">
        <f t="shared" ref="AL18:BQ18" si="27">SUM(AL15:AL17)</f>
        <v>29.400000000000002</v>
      </c>
      <c r="AM18" s="281">
        <f t="shared" si="27"/>
        <v>29.1</v>
      </c>
      <c r="AN18" s="281">
        <f t="shared" si="27"/>
        <v>0</v>
      </c>
      <c r="AO18" s="281">
        <f t="shared" si="27"/>
        <v>29.700000000000003</v>
      </c>
      <c r="AP18" s="281">
        <f t="shared" si="27"/>
        <v>30.6</v>
      </c>
      <c r="AQ18" s="281">
        <f t="shared" si="27"/>
        <v>30.300000000000004</v>
      </c>
      <c r="AR18" s="281">
        <f t="shared" si="27"/>
        <v>0</v>
      </c>
      <c r="AS18" s="281">
        <f t="shared" si="27"/>
        <v>30.900000000000002</v>
      </c>
      <c r="AT18" s="281">
        <f t="shared" si="27"/>
        <v>31.800000000000004</v>
      </c>
      <c r="AU18" s="281">
        <f t="shared" si="27"/>
        <v>223</v>
      </c>
      <c r="AV18" s="281">
        <f t="shared" si="27"/>
        <v>234</v>
      </c>
      <c r="AW18" s="281">
        <f t="shared" si="27"/>
        <v>36.150000000000006</v>
      </c>
      <c r="AX18" s="281">
        <f t="shared" si="27"/>
        <v>37.200000000000003</v>
      </c>
      <c r="AY18" s="281">
        <f t="shared" si="27"/>
        <v>36.75</v>
      </c>
      <c r="AZ18" s="281">
        <f t="shared" si="27"/>
        <v>0</v>
      </c>
      <c r="BA18" s="281">
        <f t="shared" si="27"/>
        <v>37.5</v>
      </c>
      <c r="BB18" s="281">
        <f t="shared" si="27"/>
        <v>38.700000000000003</v>
      </c>
      <c r="BC18" s="281">
        <f t="shared" si="27"/>
        <v>38.25</v>
      </c>
      <c r="BD18" s="281">
        <f t="shared" si="27"/>
        <v>0</v>
      </c>
      <c r="BE18" s="281">
        <f t="shared" si="27"/>
        <v>39</v>
      </c>
      <c r="BF18" s="281">
        <f t="shared" si="27"/>
        <v>40.200000000000003</v>
      </c>
      <c r="BG18" s="281">
        <f t="shared" si="27"/>
        <v>282</v>
      </c>
      <c r="BH18" s="281">
        <f t="shared" si="27"/>
        <v>296</v>
      </c>
      <c r="BI18" s="281">
        <f t="shared" si="27"/>
        <v>45.6</v>
      </c>
      <c r="BJ18" s="281">
        <f t="shared" si="27"/>
        <v>47.1</v>
      </c>
      <c r="BK18" s="281">
        <f t="shared" si="27"/>
        <v>46.650000000000006</v>
      </c>
      <c r="BL18" s="281">
        <f t="shared" si="27"/>
        <v>0</v>
      </c>
      <c r="BM18" s="281">
        <f t="shared" si="27"/>
        <v>47.550000000000004</v>
      </c>
      <c r="BN18" s="281">
        <f t="shared" si="27"/>
        <v>48.900000000000006</v>
      </c>
      <c r="BO18" s="281">
        <f t="shared" si="27"/>
        <v>48.45</v>
      </c>
      <c r="BP18" s="281">
        <f t="shared" si="27"/>
        <v>0</v>
      </c>
      <c r="BQ18" s="281">
        <f t="shared" si="27"/>
        <v>49.349999999999994</v>
      </c>
      <c r="BR18" s="281">
        <f t="shared" ref="BR18:CK18" si="28">SUM(BR15:BR17)</f>
        <v>50.849999999999994</v>
      </c>
      <c r="BS18" s="281">
        <f t="shared" si="28"/>
        <v>356</v>
      </c>
      <c r="BT18" s="281">
        <f t="shared" si="28"/>
        <v>374</v>
      </c>
      <c r="BU18" s="281">
        <f t="shared" si="28"/>
        <v>57.75</v>
      </c>
      <c r="BV18" s="281">
        <f t="shared" si="28"/>
        <v>59.550000000000004</v>
      </c>
      <c r="BW18" s="281">
        <f t="shared" si="28"/>
        <v>58.95</v>
      </c>
      <c r="BX18" s="281">
        <f t="shared" si="28"/>
        <v>0</v>
      </c>
      <c r="BY18" s="281">
        <f t="shared" si="28"/>
        <v>60.150000000000006</v>
      </c>
      <c r="BZ18" s="281">
        <f t="shared" si="28"/>
        <v>61.95</v>
      </c>
      <c r="CA18" s="281">
        <f t="shared" si="28"/>
        <v>61.2</v>
      </c>
      <c r="CB18" s="281">
        <f t="shared" si="28"/>
        <v>0</v>
      </c>
      <c r="CC18" s="281">
        <f t="shared" si="28"/>
        <v>62.400000000000006</v>
      </c>
      <c r="CD18" s="281">
        <f t="shared" si="28"/>
        <v>64.350000000000009</v>
      </c>
      <c r="CE18" s="281">
        <f t="shared" si="28"/>
        <v>450</v>
      </c>
      <c r="CF18" s="281">
        <f t="shared" si="28"/>
        <v>473</v>
      </c>
      <c r="CG18" s="281">
        <f t="shared" si="28"/>
        <v>73.050000000000011</v>
      </c>
      <c r="CH18" s="281">
        <f t="shared" si="28"/>
        <v>75.300000000000011</v>
      </c>
      <c r="CI18" s="281">
        <f t="shared" si="28"/>
        <v>74.550000000000011</v>
      </c>
      <c r="CJ18" s="281">
        <f t="shared" si="28"/>
        <v>0</v>
      </c>
      <c r="CK18" s="281">
        <f t="shared" si="28"/>
        <v>76.050000000000011</v>
      </c>
    </row>
    <row r="19" spans="2:89" x14ac:dyDescent="0.3">
      <c r="N19" s="116"/>
      <c r="O19" s="191"/>
    </row>
    <row r="20" spans="2:89" x14ac:dyDescent="0.3">
      <c r="N20" s="116"/>
      <c r="O20" s="191"/>
    </row>
    <row r="21" spans="2:89" x14ac:dyDescent="0.3">
      <c r="D21" t="s">
        <v>243</v>
      </c>
      <c r="F21" s="638">
        <v>15</v>
      </c>
      <c r="G21" s="638">
        <v>15</v>
      </c>
      <c r="H21" s="638">
        <v>17</v>
      </c>
      <c r="I21" s="638">
        <f>+H21+I7</f>
        <v>17</v>
      </c>
      <c r="J21" s="638">
        <f>+I21+J7</f>
        <v>21</v>
      </c>
      <c r="K21" s="638">
        <f>+IF(K1="Peak", K18, K7)</f>
        <v>34</v>
      </c>
      <c r="L21" s="638">
        <f t="shared" ref="L21:BW21" si="29">+IF(L1="Peak", L18, L7)</f>
        <v>31</v>
      </c>
      <c r="M21" s="638">
        <f>+M7</f>
        <v>0</v>
      </c>
      <c r="N21" s="639">
        <f t="shared" si="29"/>
        <v>0</v>
      </c>
      <c r="O21" s="640">
        <f t="shared" si="29"/>
        <v>121</v>
      </c>
      <c r="P21" s="273">
        <f>+IF(P1="Peak", P18, P7)</f>
        <v>120</v>
      </c>
      <c r="Q21" s="273">
        <f t="shared" si="29"/>
        <v>124</v>
      </c>
      <c r="R21" s="273">
        <f t="shared" si="29"/>
        <v>127</v>
      </c>
      <c r="S21" s="273">
        <f t="shared" si="29"/>
        <v>126</v>
      </c>
      <c r="T21" s="273">
        <f t="shared" si="29"/>
        <v>125</v>
      </c>
      <c r="U21" s="273">
        <f t="shared" si="29"/>
        <v>128</v>
      </c>
      <c r="V21" s="273">
        <f t="shared" si="29"/>
        <v>132</v>
      </c>
      <c r="W21" s="273">
        <f t="shared" si="29"/>
        <v>139</v>
      </c>
      <c r="X21" s="273">
        <f t="shared" si="29"/>
        <v>145.99999999999997</v>
      </c>
      <c r="Y21" s="273">
        <f t="shared" si="29"/>
        <v>150</v>
      </c>
      <c r="Z21" s="273">
        <f t="shared" si="29"/>
        <v>155</v>
      </c>
      <c r="AA21" s="273">
        <f t="shared" si="29"/>
        <v>153</v>
      </c>
      <c r="AB21" s="273">
        <f t="shared" si="29"/>
        <v>152</v>
      </c>
      <c r="AC21" s="273">
        <f t="shared" si="29"/>
        <v>156</v>
      </c>
      <c r="AD21" s="273">
        <f t="shared" si="29"/>
        <v>161</v>
      </c>
      <c r="AE21" s="273">
        <f t="shared" si="29"/>
        <v>159</v>
      </c>
      <c r="AF21" s="273">
        <f t="shared" si="29"/>
        <v>158</v>
      </c>
      <c r="AG21" s="273">
        <f t="shared" si="29"/>
        <v>163</v>
      </c>
      <c r="AH21" s="273">
        <f t="shared" si="29"/>
        <v>167</v>
      </c>
      <c r="AI21" s="273">
        <f t="shared" si="29"/>
        <v>175.99999999999997</v>
      </c>
      <c r="AJ21" s="273">
        <f t="shared" si="29"/>
        <v>185</v>
      </c>
      <c r="AK21" s="273">
        <f t="shared" si="29"/>
        <v>190</v>
      </c>
      <c r="AL21" s="273">
        <f t="shared" si="29"/>
        <v>196</v>
      </c>
      <c r="AM21" s="273">
        <f t="shared" si="29"/>
        <v>194</v>
      </c>
      <c r="AN21" s="273">
        <f t="shared" si="29"/>
        <v>192</v>
      </c>
      <c r="AO21" s="273">
        <f t="shared" si="29"/>
        <v>198</v>
      </c>
      <c r="AP21" s="273">
        <f t="shared" si="29"/>
        <v>204</v>
      </c>
      <c r="AQ21" s="273">
        <f t="shared" si="29"/>
        <v>202</v>
      </c>
      <c r="AR21" s="273">
        <f t="shared" si="29"/>
        <v>200</v>
      </c>
      <c r="AS21" s="273">
        <f t="shared" si="29"/>
        <v>206</v>
      </c>
      <c r="AT21" s="273">
        <f t="shared" si="29"/>
        <v>212</v>
      </c>
      <c r="AU21" s="273">
        <f t="shared" si="29"/>
        <v>223</v>
      </c>
      <c r="AV21" s="273">
        <f t="shared" si="29"/>
        <v>234</v>
      </c>
      <c r="AW21" s="273">
        <f t="shared" si="29"/>
        <v>241</v>
      </c>
      <c r="AX21" s="273">
        <f t="shared" si="29"/>
        <v>248</v>
      </c>
      <c r="AY21" s="273">
        <f t="shared" si="29"/>
        <v>245</v>
      </c>
      <c r="AZ21" s="273">
        <f t="shared" si="29"/>
        <v>243</v>
      </c>
      <c r="BA21" s="273">
        <f t="shared" si="29"/>
        <v>250</v>
      </c>
      <c r="BB21" s="273">
        <f t="shared" si="29"/>
        <v>258</v>
      </c>
      <c r="BC21" s="273">
        <f t="shared" si="29"/>
        <v>255</v>
      </c>
      <c r="BD21" s="273">
        <f t="shared" si="29"/>
        <v>253</v>
      </c>
      <c r="BE21" s="273">
        <f t="shared" si="29"/>
        <v>260</v>
      </c>
      <c r="BF21" s="273">
        <f t="shared" si="29"/>
        <v>268</v>
      </c>
      <c r="BG21" s="273">
        <f t="shared" si="29"/>
        <v>282</v>
      </c>
      <c r="BH21" s="273">
        <f t="shared" si="29"/>
        <v>296</v>
      </c>
      <c r="BI21" s="273">
        <f t="shared" si="29"/>
        <v>304</v>
      </c>
      <c r="BJ21" s="273">
        <f t="shared" si="29"/>
        <v>314</v>
      </c>
      <c r="BK21" s="273">
        <f t="shared" si="29"/>
        <v>311</v>
      </c>
      <c r="BL21" s="273">
        <f t="shared" si="29"/>
        <v>307</v>
      </c>
      <c r="BM21" s="273">
        <f t="shared" si="29"/>
        <v>317</v>
      </c>
      <c r="BN21" s="273">
        <f t="shared" si="29"/>
        <v>326</v>
      </c>
      <c r="BO21" s="273">
        <f t="shared" si="29"/>
        <v>323</v>
      </c>
      <c r="BP21" s="273">
        <f t="shared" si="29"/>
        <v>320</v>
      </c>
      <c r="BQ21" s="273">
        <f t="shared" si="29"/>
        <v>329</v>
      </c>
      <c r="BR21" s="273">
        <f t="shared" si="29"/>
        <v>339</v>
      </c>
      <c r="BS21" s="273">
        <f t="shared" si="29"/>
        <v>356</v>
      </c>
      <c r="BT21" s="273">
        <f t="shared" si="29"/>
        <v>374</v>
      </c>
      <c r="BU21" s="273">
        <f t="shared" si="29"/>
        <v>385</v>
      </c>
      <c r="BV21" s="273">
        <f t="shared" si="29"/>
        <v>397</v>
      </c>
      <c r="BW21" s="273">
        <f t="shared" si="29"/>
        <v>393</v>
      </c>
      <c r="BX21" s="273">
        <f t="shared" ref="BX21:CK21" si="30">+IF(BX1="Peak", BX18, BX7)</f>
        <v>389</v>
      </c>
      <c r="BY21" s="273">
        <f t="shared" si="30"/>
        <v>401</v>
      </c>
      <c r="BZ21" s="273">
        <f t="shared" si="30"/>
        <v>413</v>
      </c>
      <c r="CA21" s="273">
        <f t="shared" si="30"/>
        <v>408</v>
      </c>
      <c r="CB21" s="273">
        <f t="shared" si="30"/>
        <v>404</v>
      </c>
      <c r="CC21" s="273">
        <f t="shared" si="30"/>
        <v>416</v>
      </c>
      <c r="CD21" s="273">
        <f t="shared" si="30"/>
        <v>429</v>
      </c>
      <c r="CE21" s="273">
        <f t="shared" si="30"/>
        <v>450</v>
      </c>
      <c r="CF21" s="273">
        <f t="shared" si="30"/>
        <v>473</v>
      </c>
      <c r="CG21" s="273">
        <f t="shared" si="30"/>
        <v>487</v>
      </c>
      <c r="CH21" s="273">
        <f t="shared" si="30"/>
        <v>502</v>
      </c>
      <c r="CI21" s="273">
        <f t="shared" si="30"/>
        <v>497</v>
      </c>
      <c r="CJ21" s="273">
        <f t="shared" si="30"/>
        <v>492</v>
      </c>
      <c r="CK21" s="273">
        <f t="shared" si="30"/>
        <v>507</v>
      </c>
    </row>
    <row r="22" spans="2:89" x14ac:dyDescent="0.3">
      <c r="B22" s="272">
        <v>1</v>
      </c>
      <c r="C22" t="s">
        <v>240</v>
      </c>
      <c r="F22" s="638">
        <v>12</v>
      </c>
      <c r="G22" s="638">
        <v>10</v>
      </c>
      <c r="H22" s="638">
        <v>17</v>
      </c>
      <c r="I22" s="638">
        <v>17</v>
      </c>
      <c r="J22" s="638">
        <v>17</v>
      </c>
      <c r="K22" s="638">
        <f t="shared" ref="K22:BU22" si="31">+ROUNDDOWN(K$21*$B22, 0)</f>
        <v>34</v>
      </c>
      <c r="L22" s="638">
        <f t="shared" si="31"/>
        <v>31</v>
      </c>
      <c r="M22" s="638">
        <f t="shared" si="31"/>
        <v>0</v>
      </c>
      <c r="N22" s="639">
        <f t="shared" si="31"/>
        <v>0</v>
      </c>
      <c r="O22" s="640">
        <f t="shared" si="31"/>
        <v>121</v>
      </c>
      <c r="P22" s="274">
        <f t="shared" si="31"/>
        <v>120</v>
      </c>
      <c r="Q22" s="274">
        <f t="shared" si="31"/>
        <v>124</v>
      </c>
      <c r="R22" s="274">
        <f t="shared" si="31"/>
        <v>127</v>
      </c>
      <c r="S22" s="274">
        <f t="shared" si="31"/>
        <v>126</v>
      </c>
      <c r="T22" s="274">
        <f t="shared" si="31"/>
        <v>125</v>
      </c>
      <c r="U22" s="274">
        <f t="shared" si="31"/>
        <v>128</v>
      </c>
      <c r="V22" s="274">
        <f t="shared" si="31"/>
        <v>132</v>
      </c>
      <c r="W22" s="274">
        <f t="shared" si="31"/>
        <v>139</v>
      </c>
      <c r="X22" s="274">
        <f t="shared" si="31"/>
        <v>146</v>
      </c>
      <c r="Y22" s="274">
        <f t="shared" si="31"/>
        <v>150</v>
      </c>
      <c r="Z22" s="274">
        <f t="shared" si="31"/>
        <v>155</v>
      </c>
      <c r="AA22" s="274">
        <f t="shared" si="31"/>
        <v>153</v>
      </c>
      <c r="AB22" s="274">
        <f t="shared" si="31"/>
        <v>152</v>
      </c>
      <c r="AC22" s="274">
        <f t="shared" si="31"/>
        <v>156</v>
      </c>
      <c r="AD22" s="274">
        <f t="shared" si="31"/>
        <v>161</v>
      </c>
      <c r="AE22" s="274">
        <f t="shared" si="31"/>
        <v>159</v>
      </c>
      <c r="AF22" s="274">
        <f t="shared" si="31"/>
        <v>158</v>
      </c>
      <c r="AG22" s="274">
        <f t="shared" si="31"/>
        <v>163</v>
      </c>
      <c r="AH22" s="274">
        <f t="shared" si="31"/>
        <v>167</v>
      </c>
      <c r="AI22" s="274">
        <f t="shared" si="31"/>
        <v>176</v>
      </c>
      <c r="AJ22" s="274">
        <f t="shared" si="31"/>
        <v>185</v>
      </c>
      <c r="AK22" s="274">
        <f t="shared" si="31"/>
        <v>190</v>
      </c>
      <c r="AL22" s="274">
        <f t="shared" si="31"/>
        <v>196</v>
      </c>
      <c r="AM22" s="274">
        <f t="shared" si="31"/>
        <v>194</v>
      </c>
      <c r="AN22" s="274">
        <f t="shared" si="31"/>
        <v>192</v>
      </c>
      <c r="AO22" s="274">
        <f t="shared" si="31"/>
        <v>198</v>
      </c>
      <c r="AP22" s="274">
        <f t="shared" si="31"/>
        <v>204</v>
      </c>
      <c r="AQ22" s="274">
        <f t="shared" si="31"/>
        <v>202</v>
      </c>
      <c r="AR22" s="274">
        <f t="shared" si="31"/>
        <v>200</v>
      </c>
      <c r="AS22" s="274">
        <f t="shared" si="31"/>
        <v>206</v>
      </c>
      <c r="AT22" s="274">
        <f t="shared" si="31"/>
        <v>212</v>
      </c>
      <c r="AU22" s="274">
        <f t="shared" si="31"/>
        <v>223</v>
      </c>
      <c r="AV22" s="274">
        <f t="shared" si="31"/>
        <v>234</v>
      </c>
      <c r="AW22" s="274">
        <f t="shared" si="31"/>
        <v>241</v>
      </c>
      <c r="AX22" s="274">
        <f t="shared" si="31"/>
        <v>248</v>
      </c>
      <c r="AY22" s="274">
        <f t="shared" si="31"/>
        <v>245</v>
      </c>
      <c r="AZ22" s="274">
        <f t="shared" si="31"/>
        <v>243</v>
      </c>
      <c r="BA22" s="274">
        <f t="shared" si="31"/>
        <v>250</v>
      </c>
      <c r="BB22" s="274">
        <f t="shared" si="31"/>
        <v>258</v>
      </c>
      <c r="BC22" s="274">
        <f t="shared" si="31"/>
        <v>255</v>
      </c>
      <c r="BD22" s="274">
        <f t="shared" si="31"/>
        <v>253</v>
      </c>
      <c r="BE22" s="274">
        <f t="shared" si="31"/>
        <v>260</v>
      </c>
      <c r="BF22" s="274">
        <f t="shared" si="31"/>
        <v>268</v>
      </c>
      <c r="BG22" s="274">
        <f t="shared" si="31"/>
        <v>282</v>
      </c>
      <c r="BH22" s="274">
        <f t="shared" si="31"/>
        <v>296</v>
      </c>
      <c r="BI22" s="274">
        <f t="shared" si="31"/>
        <v>304</v>
      </c>
      <c r="BJ22" s="274">
        <f t="shared" si="31"/>
        <v>314</v>
      </c>
      <c r="BK22" s="274">
        <f t="shared" si="31"/>
        <v>311</v>
      </c>
      <c r="BL22" s="274">
        <f t="shared" si="31"/>
        <v>307</v>
      </c>
      <c r="BM22" s="274">
        <f t="shared" si="31"/>
        <v>317</v>
      </c>
      <c r="BN22" s="274">
        <f t="shared" si="31"/>
        <v>326</v>
      </c>
      <c r="BO22" s="274">
        <f t="shared" si="31"/>
        <v>323</v>
      </c>
      <c r="BP22" s="274">
        <f t="shared" si="31"/>
        <v>320</v>
      </c>
      <c r="BQ22" s="274">
        <f t="shared" si="31"/>
        <v>329</v>
      </c>
      <c r="BR22" s="274">
        <f t="shared" si="31"/>
        <v>339</v>
      </c>
      <c r="BS22" s="274">
        <f t="shared" si="31"/>
        <v>356</v>
      </c>
      <c r="BT22" s="274">
        <f t="shared" si="31"/>
        <v>374</v>
      </c>
      <c r="BU22" s="274">
        <f t="shared" si="31"/>
        <v>385</v>
      </c>
      <c r="BV22" s="274">
        <f t="shared" ref="BV22:CK25" si="32">+ROUNDDOWN(BV$21*$B22, 0)</f>
        <v>397</v>
      </c>
      <c r="BW22" s="274">
        <f t="shared" si="32"/>
        <v>393</v>
      </c>
      <c r="BX22" s="274">
        <f t="shared" si="32"/>
        <v>389</v>
      </c>
      <c r="BY22" s="274">
        <f t="shared" si="32"/>
        <v>401</v>
      </c>
      <c r="BZ22" s="274">
        <f t="shared" si="32"/>
        <v>413</v>
      </c>
      <c r="CA22" s="274">
        <f t="shared" si="32"/>
        <v>408</v>
      </c>
      <c r="CB22" s="274">
        <f t="shared" si="32"/>
        <v>404</v>
      </c>
      <c r="CC22" s="274">
        <f t="shared" si="32"/>
        <v>416</v>
      </c>
      <c r="CD22" s="274">
        <f t="shared" si="32"/>
        <v>429</v>
      </c>
      <c r="CE22" s="274">
        <f t="shared" si="32"/>
        <v>450</v>
      </c>
      <c r="CF22" s="274">
        <f t="shared" si="32"/>
        <v>473</v>
      </c>
      <c r="CG22" s="274">
        <f t="shared" si="32"/>
        <v>487</v>
      </c>
      <c r="CH22" s="274">
        <f t="shared" si="32"/>
        <v>502</v>
      </c>
      <c r="CI22" s="274">
        <f t="shared" si="32"/>
        <v>497</v>
      </c>
      <c r="CJ22" s="274">
        <f t="shared" si="32"/>
        <v>492</v>
      </c>
      <c r="CK22" s="274">
        <f t="shared" si="32"/>
        <v>507</v>
      </c>
    </row>
    <row r="23" spans="2:89" x14ac:dyDescent="0.3">
      <c r="B23" s="272">
        <v>0.75</v>
      </c>
      <c r="C23" t="s">
        <v>241</v>
      </c>
      <c r="F23" s="638">
        <v>1</v>
      </c>
      <c r="G23" s="638">
        <v>1</v>
      </c>
      <c r="H23" s="638">
        <f t="shared" ref="H23:J24" si="33">+ROUNDDOWN(H$21*$B23, 0)</f>
        <v>12</v>
      </c>
      <c r="I23" s="638">
        <f t="shared" si="33"/>
        <v>12</v>
      </c>
      <c r="J23" s="638">
        <f t="shared" si="33"/>
        <v>15</v>
      </c>
      <c r="K23" s="638">
        <f t="shared" ref="K23:BU25" si="34">+ROUNDDOWN(K$21*$B23, 0)</f>
        <v>25</v>
      </c>
      <c r="L23" s="638">
        <f t="shared" si="34"/>
        <v>23</v>
      </c>
      <c r="M23" s="638">
        <f t="shared" si="34"/>
        <v>0</v>
      </c>
      <c r="N23" s="639">
        <f t="shared" si="34"/>
        <v>0</v>
      </c>
      <c r="O23" s="640">
        <f t="shared" si="34"/>
        <v>90</v>
      </c>
      <c r="P23" s="274">
        <f t="shared" si="34"/>
        <v>90</v>
      </c>
      <c r="Q23" s="274">
        <f t="shared" si="34"/>
        <v>93</v>
      </c>
      <c r="R23" s="274">
        <f t="shared" si="34"/>
        <v>95</v>
      </c>
      <c r="S23" s="274">
        <f t="shared" si="34"/>
        <v>94</v>
      </c>
      <c r="T23" s="274">
        <f t="shared" si="34"/>
        <v>93</v>
      </c>
      <c r="U23" s="274">
        <f t="shared" si="34"/>
        <v>96</v>
      </c>
      <c r="V23" s="274">
        <f t="shared" si="34"/>
        <v>99</v>
      </c>
      <c r="W23" s="274">
        <f t="shared" si="34"/>
        <v>104</v>
      </c>
      <c r="X23" s="274">
        <f t="shared" si="34"/>
        <v>109</v>
      </c>
      <c r="Y23" s="274">
        <f t="shared" si="34"/>
        <v>112</v>
      </c>
      <c r="Z23" s="274">
        <f t="shared" si="34"/>
        <v>116</v>
      </c>
      <c r="AA23" s="274">
        <f t="shared" si="34"/>
        <v>114</v>
      </c>
      <c r="AB23" s="274">
        <f t="shared" si="34"/>
        <v>114</v>
      </c>
      <c r="AC23" s="274">
        <f t="shared" si="34"/>
        <v>117</v>
      </c>
      <c r="AD23" s="274">
        <f t="shared" si="34"/>
        <v>120</v>
      </c>
      <c r="AE23" s="274">
        <f t="shared" si="34"/>
        <v>119</v>
      </c>
      <c r="AF23" s="274">
        <f t="shared" si="34"/>
        <v>118</v>
      </c>
      <c r="AG23" s="274">
        <f t="shared" si="34"/>
        <v>122</v>
      </c>
      <c r="AH23" s="274">
        <f t="shared" si="34"/>
        <v>125</v>
      </c>
      <c r="AI23" s="274">
        <f t="shared" si="34"/>
        <v>132</v>
      </c>
      <c r="AJ23" s="274">
        <f t="shared" si="34"/>
        <v>138</v>
      </c>
      <c r="AK23" s="274">
        <f t="shared" si="34"/>
        <v>142</v>
      </c>
      <c r="AL23" s="274">
        <f t="shared" si="34"/>
        <v>147</v>
      </c>
      <c r="AM23" s="274">
        <f t="shared" si="34"/>
        <v>145</v>
      </c>
      <c r="AN23" s="274">
        <f t="shared" si="34"/>
        <v>144</v>
      </c>
      <c r="AO23" s="274">
        <f t="shared" si="34"/>
        <v>148</v>
      </c>
      <c r="AP23" s="274">
        <f t="shared" si="34"/>
        <v>153</v>
      </c>
      <c r="AQ23" s="274">
        <f t="shared" si="34"/>
        <v>151</v>
      </c>
      <c r="AR23" s="274">
        <f t="shared" si="34"/>
        <v>150</v>
      </c>
      <c r="AS23" s="274">
        <f t="shared" si="34"/>
        <v>154</v>
      </c>
      <c r="AT23" s="274">
        <f t="shared" si="34"/>
        <v>159</v>
      </c>
      <c r="AU23" s="274">
        <f t="shared" si="34"/>
        <v>167</v>
      </c>
      <c r="AV23" s="274">
        <f t="shared" si="34"/>
        <v>175</v>
      </c>
      <c r="AW23" s="274">
        <f t="shared" si="34"/>
        <v>180</v>
      </c>
      <c r="AX23" s="274">
        <f t="shared" si="34"/>
        <v>186</v>
      </c>
      <c r="AY23" s="274">
        <f t="shared" si="34"/>
        <v>183</v>
      </c>
      <c r="AZ23" s="274">
        <f t="shared" si="34"/>
        <v>182</v>
      </c>
      <c r="BA23" s="274">
        <f t="shared" si="34"/>
        <v>187</v>
      </c>
      <c r="BB23" s="274">
        <f t="shared" si="34"/>
        <v>193</v>
      </c>
      <c r="BC23" s="274">
        <f t="shared" si="34"/>
        <v>191</v>
      </c>
      <c r="BD23" s="274">
        <f t="shared" si="34"/>
        <v>189</v>
      </c>
      <c r="BE23" s="274">
        <f t="shared" si="34"/>
        <v>195</v>
      </c>
      <c r="BF23" s="274">
        <f t="shared" si="34"/>
        <v>201</v>
      </c>
      <c r="BG23" s="274">
        <f t="shared" si="34"/>
        <v>211</v>
      </c>
      <c r="BH23" s="274">
        <f t="shared" si="34"/>
        <v>222</v>
      </c>
      <c r="BI23" s="274">
        <f t="shared" si="34"/>
        <v>228</v>
      </c>
      <c r="BJ23" s="274">
        <f t="shared" si="34"/>
        <v>235</v>
      </c>
      <c r="BK23" s="274">
        <f t="shared" si="34"/>
        <v>233</v>
      </c>
      <c r="BL23" s="274">
        <f t="shared" si="34"/>
        <v>230</v>
      </c>
      <c r="BM23" s="274">
        <f t="shared" si="34"/>
        <v>237</v>
      </c>
      <c r="BN23" s="274">
        <f t="shared" si="34"/>
        <v>244</v>
      </c>
      <c r="BO23" s="274">
        <f t="shared" si="34"/>
        <v>242</v>
      </c>
      <c r="BP23" s="274">
        <f t="shared" si="34"/>
        <v>240</v>
      </c>
      <c r="BQ23" s="274">
        <f t="shared" si="34"/>
        <v>246</v>
      </c>
      <c r="BR23" s="274">
        <f t="shared" si="34"/>
        <v>254</v>
      </c>
      <c r="BS23" s="274">
        <f t="shared" si="34"/>
        <v>267</v>
      </c>
      <c r="BT23" s="274">
        <f t="shared" si="34"/>
        <v>280</v>
      </c>
      <c r="BU23" s="274">
        <f t="shared" si="34"/>
        <v>288</v>
      </c>
      <c r="BV23" s="274">
        <f t="shared" si="32"/>
        <v>297</v>
      </c>
      <c r="BW23" s="274">
        <f t="shared" si="32"/>
        <v>294</v>
      </c>
      <c r="BX23" s="274">
        <f t="shared" si="32"/>
        <v>291</v>
      </c>
      <c r="BY23" s="274">
        <f t="shared" si="32"/>
        <v>300</v>
      </c>
      <c r="BZ23" s="274">
        <f t="shared" si="32"/>
        <v>309</v>
      </c>
      <c r="CA23" s="274">
        <f t="shared" si="32"/>
        <v>306</v>
      </c>
      <c r="CB23" s="274">
        <f t="shared" si="32"/>
        <v>303</v>
      </c>
      <c r="CC23" s="274">
        <f t="shared" si="32"/>
        <v>312</v>
      </c>
      <c r="CD23" s="274">
        <f t="shared" si="32"/>
        <v>321</v>
      </c>
      <c r="CE23" s="274">
        <f t="shared" si="32"/>
        <v>337</v>
      </c>
      <c r="CF23" s="274">
        <f t="shared" si="32"/>
        <v>354</v>
      </c>
      <c r="CG23" s="274">
        <f t="shared" si="32"/>
        <v>365</v>
      </c>
      <c r="CH23" s="274">
        <f t="shared" si="32"/>
        <v>376</v>
      </c>
      <c r="CI23" s="274">
        <f t="shared" si="32"/>
        <v>372</v>
      </c>
      <c r="CJ23" s="274">
        <f t="shared" si="32"/>
        <v>369</v>
      </c>
      <c r="CK23" s="274">
        <f t="shared" si="32"/>
        <v>380</v>
      </c>
    </row>
    <row r="24" spans="2:89" x14ac:dyDescent="0.3">
      <c r="B24" s="272">
        <v>0.33</v>
      </c>
      <c r="C24" t="s">
        <v>242</v>
      </c>
      <c r="F24" s="638">
        <v>1</v>
      </c>
      <c r="G24" s="638">
        <v>1</v>
      </c>
      <c r="H24" s="638">
        <f t="shared" si="33"/>
        <v>5</v>
      </c>
      <c r="I24" s="638">
        <f t="shared" si="33"/>
        <v>5</v>
      </c>
      <c r="J24" s="638">
        <f t="shared" si="33"/>
        <v>6</v>
      </c>
      <c r="K24" s="638">
        <f t="shared" si="34"/>
        <v>11</v>
      </c>
      <c r="L24" s="638">
        <f t="shared" si="34"/>
        <v>10</v>
      </c>
      <c r="M24" s="638">
        <f t="shared" si="34"/>
        <v>0</v>
      </c>
      <c r="N24" s="639">
        <f t="shared" si="34"/>
        <v>0</v>
      </c>
      <c r="O24" s="640">
        <f t="shared" si="34"/>
        <v>39</v>
      </c>
      <c r="P24" s="274">
        <f t="shared" si="34"/>
        <v>39</v>
      </c>
      <c r="Q24" s="274">
        <f t="shared" si="34"/>
        <v>40</v>
      </c>
      <c r="R24" s="274">
        <f t="shared" si="34"/>
        <v>41</v>
      </c>
      <c r="S24" s="274">
        <f t="shared" si="34"/>
        <v>41</v>
      </c>
      <c r="T24" s="274">
        <f t="shared" si="34"/>
        <v>41</v>
      </c>
      <c r="U24" s="274">
        <f t="shared" si="34"/>
        <v>42</v>
      </c>
      <c r="V24" s="274">
        <f t="shared" si="34"/>
        <v>43</v>
      </c>
      <c r="W24" s="274">
        <f t="shared" si="34"/>
        <v>45</v>
      </c>
      <c r="X24" s="274">
        <f t="shared" si="34"/>
        <v>48</v>
      </c>
      <c r="Y24" s="274">
        <f t="shared" si="34"/>
        <v>49</v>
      </c>
      <c r="Z24" s="274">
        <f t="shared" si="34"/>
        <v>51</v>
      </c>
      <c r="AA24" s="274">
        <f t="shared" si="34"/>
        <v>50</v>
      </c>
      <c r="AB24" s="274">
        <f t="shared" si="34"/>
        <v>50</v>
      </c>
      <c r="AC24" s="274">
        <f t="shared" si="34"/>
        <v>51</v>
      </c>
      <c r="AD24" s="274">
        <f t="shared" si="34"/>
        <v>53</v>
      </c>
      <c r="AE24" s="274">
        <f t="shared" si="34"/>
        <v>52</v>
      </c>
      <c r="AF24" s="274">
        <f t="shared" si="34"/>
        <v>52</v>
      </c>
      <c r="AG24" s="274">
        <f t="shared" si="34"/>
        <v>53</v>
      </c>
      <c r="AH24" s="274">
        <f t="shared" si="34"/>
        <v>55</v>
      </c>
      <c r="AI24" s="274">
        <f t="shared" si="34"/>
        <v>58</v>
      </c>
      <c r="AJ24" s="274">
        <f t="shared" si="34"/>
        <v>61</v>
      </c>
      <c r="AK24" s="274">
        <f t="shared" si="34"/>
        <v>62</v>
      </c>
      <c r="AL24" s="274">
        <f t="shared" si="34"/>
        <v>64</v>
      </c>
      <c r="AM24" s="274">
        <f t="shared" si="34"/>
        <v>64</v>
      </c>
      <c r="AN24" s="274">
        <f t="shared" si="34"/>
        <v>63</v>
      </c>
      <c r="AO24" s="274">
        <f t="shared" si="34"/>
        <v>65</v>
      </c>
      <c r="AP24" s="274">
        <f t="shared" si="34"/>
        <v>67</v>
      </c>
      <c r="AQ24" s="274">
        <f t="shared" si="34"/>
        <v>66</v>
      </c>
      <c r="AR24" s="274">
        <f t="shared" si="34"/>
        <v>66</v>
      </c>
      <c r="AS24" s="274">
        <f t="shared" si="34"/>
        <v>67</v>
      </c>
      <c r="AT24" s="274">
        <f t="shared" si="34"/>
        <v>69</v>
      </c>
      <c r="AU24" s="274">
        <f t="shared" si="34"/>
        <v>73</v>
      </c>
      <c r="AV24" s="274">
        <f t="shared" si="34"/>
        <v>77</v>
      </c>
      <c r="AW24" s="274">
        <f t="shared" si="34"/>
        <v>79</v>
      </c>
      <c r="AX24" s="274">
        <f t="shared" si="34"/>
        <v>81</v>
      </c>
      <c r="AY24" s="274">
        <f t="shared" si="34"/>
        <v>80</v>
      </c>
      <c r="AZ24" s="274">
        <f t="shared" si="34"/>
        <v>80</v>
      </c>
      <c r="BA24" s="274">
        <f t="shared" si="34"/>
        <v>82</v>
      </c>
      <c r="BB24" s="274">
        <f t="shared" si="34"/>
        <v>85</v>
      </c>
      <c r="BC24" s="274">
        <f t="shared" si="34"/>
        <v>84</v>
      </c>
      <c r="BD24" s="274">
        <f t="shared" si="34"/>
        <v>83</v>
      </c>
      <c r="BE24" s="274">
        <f t="shared" si="34"/>
        <v>85</v>
      </c>
      <c r="BF24" s="274">
        <f t="shared" si="34"/>
        <v>88</v>
      </c>
      <c r="BG24" s="274">
        <f t="shared" si="34"/>
        <v>93</v>
      </c>
      <c r="BH24" s="274">
        <f t="shared" si="34"/>
        <v>97</v>
      </c>
      <c r="BI24" s="274">
        <f t="shared" si="34"/>
        <v>100</v>
      </c>
      <c r="BJ24" s="274">
        <f t="shared" si="34"/>
        <v>103</v>
      </c>
      <c r="BK24" s="274">
        <f t="shared" si="34"/>
        <v>102</v>
      </c>
      <c r="BL24" s="274">
        <f t="shared" si="34"/>
        <v>101</v>
      </c>
      <c r="BM24" s="274">
        <f t="shared" si="34"/>
        <v>104</v>
      </c>
      <c r="BN24" s="274">
        <f t="shared" si="34"/>
        <v>107</v>
      </c>
      <c r="BO24" s="274">
        <f t="shared" si="34"/>
        <v>106</v>
      </c>
      <c r="BP24" s="274">
        <f t="shared" si="34"/>
        <v>105</v>
      </c>
      <c r="BQ24" s="274">
        <f t="shared" si="34"/>
        <v>108</v>
      </c>
      <c r="BR24" s="274">
        <f t="shared" si="34"/>
        <v>111</v>
      </c>
      <c r="BS24" s="274">
        <f t="shared" si="34"/>
        <v>117</v>
      </c>
      <c r="BT24" s="274">
        <f t="shared" si="34"/>
        <v>123</v>
      </c>
      <c r="BU24" s="274">
        <f t="shared" si="34"/>
        <v>127</v>
      </c>
      <c r="BV24" s="274">
        <f t="shared" si="32"/>
        <v>131</v>
      </c>
      <c r="BW24" s="274">
        <f t="shared" si="32"/>
        <v>129</v>
      </c>
      <c r="BX24" s="274">
        <f t="shared" si="32"/>
        <v>128</v>
      </c>
      <c r="BY24" s="274">
        <f t="shared" si="32"/>
        <v>132</v>
      </c>
      <c r="BZ24" s="274">
        <f t="shared" si="32"/>
        <v>136</v>
      </c>
      <c r="CA24" s="274">
        <f t="shared" si="32"/>
        <v>134</v>
      </c>
      <c r="CB24" s="274">
        <f t="shared" si="32"/>
        <v>133</v>
      </c>
      <c r="CC24" s="274">
        <f t="shared" si="32"/>
        <v>137</v>
      </c>
      <c r="CD24" s="274">
        <f t="shared" si="32"/>
        <v>141</v>
      </c>
      <c r="CE24" s="274">
        <f t="shared" si="32"/>
        <v>148</v>
      </c>
      <c r="CF24" s="274">
        <f t="shared" si="32"/>
        <v>156</v>
      </c>
      <c r="CG24" s="274">
        <f t="shared" si="32"/>
        <v>160</v>
      </c>
      <c r="CH24" s="274">
        <f t="shared" si="32"/>
        <v>165</v>
      </c>
      <c r="CI24" s="274">
        <f t="shared" si="32"/>
        <v>164</v>
      </c>
      <c r="CJ24" s="274">
        <f t="shared" si="32"/>
        <v>162</v>
      </c>
      <c r="CK24" s="274">
        <f t="shared" si="32"/>
        <v>167</v>
      </c>
    </row>
    <row r="25" spans="2:89" x14ac:dyDescent="0.3">
      <c r="B25" s="272">
        <v>0.1</v>
      </c>
      <c r="C25" t="s">
        <v>254</v>
      </c>
      <c r="F25" s="273">
        <v>0</v>
      </c>
      <c r="G25" s="273">
        <v>0</v>
      </c>
      <c r="H25" s="273">
        <v>0</v>
      </c>
      <c r="I25" s="273">
        <v>0</v>
      </c>
      <c r="J25" s="273">
        <v>3</v>
      </c>
      <c r="K25" s="273">
        <v>3</v>
      </c>
      <c r="L25" s="273">
        <v>7</v>
      </c>
      <c r="M25" s="273">
        <v>11</v>
      </c>
      <c r="N25" s="510">
        <v>8</v>
      </c>
      <c r="O25" s="503">
        <v>7</v>
      </c>
      <c r="P25" s="274">
        <f t="shared" si="34"/>
        <v>12</v>
      </c>
      <c r="Q25" s="274">
        <f t="shared" si="34"/>
        <v>12</v>
      </c>
      <c r="R25" s="274">
        <f t="shared" si="34"/>
        <v>12</v>
      </c>
      <c r="S25" s="274">
        <f t="shared" si="34"/>
        <v>12</v>
      </c>
      <c r="T25" s="274">
        <f t="shared" si="34"/>
        <v>12</v>
      </c>
      <c r="U25" s="274">
        <f t="shared" si="34"/>
        <v>12</v>
      </c>
      <c r="V25" s="274">
        <f t="shared" si="34"/>
        <v>13</v>
      </c>
      <c r="W25" s="274">
        <f t="shared" si="34"/>
        <v>13</v>
      </c>
      <c r="X25" s="274">
        <f t="shared" si="34"/>
        <v>14</v>
      </c>
      <c r="Y25" s="274">
        <f t="shared" si="34"/>
        <v>15</v>
      </c>
      <c r="Z25" s="274">
        <f t="shared" si="34"/>
        <v>15</v>
      </c>
      <c r="AA25" s="274">
        <f t="shared" si="34"/>
        <v>15</v>
      </c>
      <c r="AB25" s="274">
        <f t="shared" si="34"/>
        <v>15</v>
      </c>
      <c r="AC25" s="274">
        <f t="shared" si="34"/>
        <v>15</v>
      </c>
      <c r="AD25" s="274">
        <f t="shared" si="34"/>
        <v>16</v>
      </c>
      <c r="AE25" s="274">
        <f t="shared" si="34"/>
        <v>15</v>
      </c>
      <c r="AF25" s="274">
        <f t="shared" si="34"/>
        <v>15</v>
      </c>
      <c r="AG25" s="274">
        <f t="shared" si="34"/>
        <v>16</v>
      </c>
      <c r="AH25" s="274">
        <f t="shared" si="34"/>
        <v>16</v>
      </c>
      <c r="AI25" s="274">
        <f t="shared" si="34"/>
        <v>17</v>
      </c>
      <c r="AJ25" s="274">
        <f t="shared" si="34"/>
        <v>18</v>
      </c>
      <c r="AK25" s="274">
        <f t="shared" si="34"/>
        <v>19</v>
      </c>
      <c r="AL25" s="274">
        <f t="shared" si="34"/>
        <v>19</v>
      </c>
      <c r="AM25" s="274">
        <f t="shared" si="34"/>
        <v>19</v>
      </c>
      <c r="AN25" s="274">
        <f t="shared" si="34"/>
        <v>19</v>
      </c>
      <c r="AO25" s="274">
        <f t="shared" si="34"/>
        <v>19</v>
      </c>
      <c r="AP25" s="274">
        <f t="shared" si="34"/>
        <v>20</v>
      </c>
      <c r="AQ25" s="274">
        <f t="shared" si="34"/>
        <v>20</v>
      </c>
      <c r="AR25" s="274">
        <f t="shared" si="34"/>
        <v>20</v>
      </c>
      <c r="AS25" s="274">
        <f t="shared" si="34"/>
        <v>20</v>
      </c>
      <c r="AT25" s="274">
        <f t="shared" si="34"/>
        <v>21</v>
      </c>
      <c r="AU25" s="274">
        <f t="shared" si="34"/>
        <v>22</v>
      </c>
      <c r="AV25" s="274">
        <f t="shared" si="34"/>
        <v>23</v>
      </c>
      <c r="AW25" s="274">
        <f t="shared" si="34"/>
        <v>24</v>
      </c>
      <c r="AX25" s="274">
        <f t="shared" si="34"/>
        <v>24</v>
      </c>
      <c r="AY25" s="274">
        <f t="shared" si="34"/>
        <v>24</v>
      </c>
      <c r="AZ25" s="274">
        <f t="shared" si="34"/>
        <v>24</v>
      </c>
      <c r="BA25" s="274">
        <f t="shared" si="34"/>
        <v>25</v>
      </c>
      <c r="BB25" s="274">
        <f t="shared" si="34"/>
        <v>25</v>
      </c>
      <c r="BC25" s="274">
        <f t="shared" si="34"/>
        <v>25</v>
      </c>
      <c r="BD25" s="274">
        <f t="shared" si="34"/>
        <v>25</v>
      </c>
      <c r="BE25" s="274">
        <f t="shared" si="34"/>
        <v>26</v>
      </c>
      <c r="BF25" s="274">
        <f t="shared" si="34"/>
        <v>26</v>
      </c>
      <c r="BG25" s="274">
        <f t="shared" si="34"/>
        <v>28</v>
      </c>
      <c r="BH25" s="274">
        <f t="shared" si="34"/>
        <v>29</v>
      </c>
      <c r="BI25" s="274">
        <f t="shared" si="34"/>
        <v>30</v>
      </c>
      <c r="BJ25" s="274">
        <f t="shared" si="34"/>
        <v>31</v>
      </c>
      <c r="BK25" s="274">
        <f t="shared" si="34"/>
        <v>31</v>
      </c>
      <c r="BL25" s="274">
        <f t="shared" si="34"/>
        <v>30</v>
      </c>
      <c r="BM25" s="274">
        <f t="shared" si="34"/>
        <v>31</v>
      </c>
      <c r="BN25" s="274">
        <f t="shared" si="34"/>
        <v>32</v>
      </c>
      <c r="BO25" s="274">
        <f t="shared" si="34"/>
        <v>32</v>
      </c>
      <c r="BP25" s="274">
        <f t="shared" si="34"/>
        <v>32</v>
      </c>
      <c r="BQ25" s="274">
        <f t="shared" si="34"/>
        <v>32</v>
      </c>
      <c r="BR25" s="274">
        <f t="shared" si="34"/>
        <v>33</v>
      </c>
      <c r="BS25" s="274">
        <f t="shared" si="34"/>
        <v>35</v>
      </c>
      <c r="BT25" s="274">
        <f t="shared" si="34"/>
        <v>37</v>
      </c>
      <c r="BU25" s="274">
        <f t="shared" si="34"/>
        <v>38</v>
      </c>
      <c r="BV25" s="274">
        <f t="shared" si="32"/>
        <v>39</v>
      </c>
      <c r="BW25" s="274">
        <f t="shared" si="32"/>
        <v>39</v>
      </c>
      <c r="BX25" s="274">
        <f t="shared" si="32"/>
        <v>38</v>
      </c>
      <c r="BY25" s="274">
        <f t="shared" si="32"/>
        <v>40</v>
      </c>
      <c r="BZ25" s="274">
        <f t="shared" si="32"/>
        <v>41</v>
      </c>
      <c r="CA25" s="274">
        <f t="shared" si="32"/>
        <v>40</v>
      </c>
      <c r="CB25" s="274">
        <f t="shared" si="32"/>
        <v>40</v>
      </c>
      <c r="CC25" s="274">
        <f t="shared" si="32"/>
        <v>41</v>
      </c>
      <c r="CD25" s="274">
        <f t="shared" si="32"/>
        <v>42</v>
      </c>
      <c r="CE25" s="274">
        <f t="shared" si="32"/>
        <v>45</v>
      </c>
      <c r="CF25" s="274">
        <f t="shared" si="32"/>
        <v>47</v>
      </c>
      <c r="CG25" s="274">
        <f t="shared" si="32"/>
        <v>48</v>
      </c>
      <c r="CH25" s="274">
        <f t="shared" si="32"/>
        <v>50</v>
      </c>
      <c r="CI25" s="274">
        <f t="shared" si="32"/>
        <v>49</v>
      </c>
      <c r="CJ25" s="274">
        <f t="shared" si="32"/>
        <v>49</v>
      </c>
      <c r="CK25" s="274">
        <f t="shared" si="32"/>
        <v>50</v>
      </c>
    </row>
    <row r="26" spans="2:89" x14ac:dyDescent="0.3">
      <c r="F26" s="271"/>
      <c r="G26" s="271"/>
      <c r="H26" s="271"/>
      <c r="I26" s="271"/>
      <c r="J26" s="271"/>
      <c r="K26" s="271"/>
      <c r="L26" s="271"/>
      <c r="M26" s="271"/>
      <c r="N26" s="511"/>
      <c r="O26" s="504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1"/>
      <c r="CF26" s="271"/>
      <c r="CG26" s="271"/>
      <c r="CH26" s="271"/>
      <c r="CI26" s="271"/>
      <c r="CJ26" s="271"/>
      <c r="CK26" s="271"/>
    </row>
    <row r="27" spans="2:89" x14ac:dyDescent="0.3">
      <c r="F27" s="271"/>
      <c r="G27" s="271"/>
      <c r="H27" s="271"/>
      <c r="I27" s="271"/>
      <c r="J27" s="271"/>
      <c r="K27" s="271"/>
      <c r="L27" s="271"/>
      <c r="M27" s="271"/>
      <c r="N27" s="511"/>
      <c r="O27" s="504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1"/>
      <c r="CF27" s="271"/>
      <c r="CG27" s="271"/>
      <c r="CH27" s="271"/>
      <c r="CI27" s="271"/>
      <c r="CJ27" s="271"/>
      <c r="CK27" s="271"/>
    </row>
    <row r="28" spans="2:89" x14ac:dyDescent="0.3">
      <c r="C28" t="s">
        <v>240</v>
      </c>
      <c r="F28" s="278">
        <f t="shared" ref="F28:AK28" si="35">+F22/F$3</f>
        <v>6.0000000000000001E-3</v>
      </c>
      <c r="G28" s="278">
        <f t="shared" si="35"/>
        <v>5.0000000000000001E-3</v>
      </c>
      <c r="H28" s="278">
        <f t="shared" si="35"/>
        <v>8.5858585858585856E-3</v>
      </c>
      <c r="I28" s="278">
        <f t="shared" si="35"/>
        <v>8.3357850348141603E-3</v>
      </c>
      <c r="J28" s="278">
        <f t="shared" si="35"/>
        <v>8.0929951794312237E-3</v>
      </c>
      <c r="K28" s="278">
        <f t="shared" si="35"/>
        <v>1.5415228913202328E-2</v>
      </c>
      <c r="L28" s="278">
        <f t="shared" si="35"/>
        <v>1.3385773005861964E-2</v>
      </c>
      <c r="M28" s="278">
        <f t="shared" si="35"/>
        <v>0</v>
      </c>
      <c r="N28" s="512">
        <f t="shared" si="35"/>
        <v>0</v>
      </c>
      <c r="O28" s="505">
        <f t="shared" si="35"/>
        <v>4.9745922449857996E-2</v>
      </c>
      <c r="P28" s="278">
        <f t="shared" si="35"/>
        <v>4.9833130428107178E-2</v>
      </c>
      <c r="Q28" s="278">
        <f t="shared" si="35"/>
        <v>4.9994402694864805E-2</v>
      </c>
      <c r="R28" s="278">
        <f t="shared" si="35"/>
        <v>4.9712567665579632E-2</v>
      </c>
      <c r="S28" s="278">
        <f t="shared" si="35"/>
        <v>4.981932335849068E-2</v>
      </c>
      <c r="T28" s="278">
        <f t="shared" si="35"/>
        <v>4.9923163538651075E-2</v>
      </c>
      <c r="U28" s="278">
        <f t="shared" si="35"/>
        <v>4.9632348993765729E-2</v>
      </c>
      <c r="V28" s="278">
        <f t="shared" si="35"/>
        <v>4.9692582427010586E-2</v>
      </c>
      <c r="W28" s="278">
        <f t="shared" si="35"/>
        <v>4.9835995363307878E-2</v>
      </c>
      <c r="X28" s="278">
        <f t="shared" si="35"/>
        <v>4.9853068331914697E-2</v>
      </c>
      <c r="Y28" s="278">
        <f t="shared" si="35"/>
        <v>4.9727093029573108E-2</v>
      </c>
      <c r="Z28" s="278">
        <f t="shared" si="35"/>
        <v>4.9888022133228682E-2</v>
      </c>
      <c r="AA28" s="278">
        <f t="shared" si="35"/>
        <v>4.974172294808725E-2</v>
      </c>
      <c r="AB28" s="278">
        <f t="shared" si="35"/>
        <v>4.9915771361386821E-2</v>
      </c>
      <c r="AC28" s="278">
        <f t="shared" si="35"/>
        <v>4.9737227467912259E-2</v>
      </c>
      <c r="AD28" s="278">
        <f t="shared" si="35"/>
        <v>4.9836280945568044E-2</v>
      </c>
      <c r="AE28" s="278">
        <f t="shared" si="35"/>
        <v>4.9714340111332703E-2</v>
      </c>
      <c r="AF28" s="278">
        <f t="shared" si="35"/>
        <v>4.9900678086465707E-2</v>
      </c>
      <c r="AG28" s="278">
        <f t="shared" si="35"/>
        <v>4.9980401426163883E-2</v>
      </c>
      <c r="AH28" s="278">
        <f t="shared" si="35"/>
        <v>4.9715450819997432E-2</v>
      </c>
      <c r="AI28" s="278">
        <f t="shared" si="35"/>
        <v>4.9899739631135143E-2</v>
      </c>
      <c r="AJ28" s="278">
        <f t="shared" si="35"/>
        <v>4.9953743678354985E-2</v>
      </c>
      <c r="AK28" s="278">
        <f t="shared" si="35"/>
        <v>4.9809558115389382E-2</v>
      </c>
      <c r="AL28" s="278">
        <f t="shared" ref="AL28:BQ28" si="36">+AL22/AL$3</f>
        <v>4.9885914106368515E-2</v>
      </c>
      <c r="AM28" s="278">
        <f t="shared" si="36"/>
        <v>4.987563047121981E-2</v>
      </c>
      <c r="AN28" s="278">
        <f t="shared" si="36"/>
        <v>4.9860049205842985E-2</v>
      </c>
      <c r="AO28" s="278">
        <f t="shared" si="36"/>
        <v>4.9920558974296675E-2</v>
      </c>
      <c r="AP28" s="278">
        <f t="shared" si="36"/>
        <v>4.9935245811299996E-2</v>
      </c>
      <c r="AQ28" s="278">
        <f t="shared" si="36"/>
        <v>4.9945135937228165E-2</v>
      </c>
      <c r="AR28" s="278">
        <f t="shared" si="36"/>
        <v>4.9950130950323197E-2</v>
      </c>
      <c r="AS28" s="278">
        <f t="shared" si="36"/>
        <v>4.9950130950323197E-2</v>
      </c>
      <c r="AT28" s="278">
        <f t="shared" si="36"/>
        <v>4.9907756440138173E-2</v>
      </c>
      <c r="AU28" s="278">
        <f t="shared" si="36"/>
        <v>4.9997437943175259E-2</v>
      </c>
      <c r="AV28" s="278">
        <f t="shared" si="36"/>
        <v>4.9965408834947725E-2</v>
      </c>
      <c r="AW28" s="278">
        <f t="shared" si="36"/>
        <v>4.9961262672070371E-2</v>
      </c>
      <c r="AX28" s="278">
        <f t="shared" si="36"/>
        <v>4.9914970562274709E-2</v>
      </c>
      <c r="AY28" s="278">
        <f t="shared" si="36"/>
        <v>4.9809252964146726E-2</v>
      </c>
      <c r="AZ28" s="278">
        <f t="shared" si="36"/>
        <v>4.9901663452020829E-2</v>
      </c>
      <c r="BA28" s="278">
        <f t="shared" si="36"/>
        <v>4.9843844592293775E-2</v>
      </c>
      <c r="BB28" s="278">
        <f t="shared" si="36"/>
        <v>4.9940628756550656E-2</v>
      </c>
      <c r="BC28" s="278">
        <f t="shared" si="36"/>
        <v>4.9858508859605424E-2</v>
      </c>
      <c r="BD28" s="278">
        <f t="shared" si="36"/>
        <v>4.9967133061913929E-2</v>
      </c>
      <c r="BE28" s="278">
        <f t="shared" si="36"/>
        <v>4.9854002824734726E-2</v>
      </c>
      <c r="BF28" s="278">
        <f t="shared" si="36"/>
        <v>4.9891235089727058E-2</v>
      </c>
      <c r="BG28" s="278">
        <f t="shared" si="36"/>
        <v>4.9997612989705155E-2</v>
      </c>
      <c r="BH28" s="278">
        <f t="shared" si="36"/>
        <v>4.9980727608756256E-2</v>
      </c>
      <c r="BI28" s="278">
        <f t="shared" si="36"/>
        <v>4.9836464159872411E-2</v>
      </c>
      <c r="BJ28" s="278">
        <f t="shared" si="36"/>
        <v>4.9976525760730507E-2</v>
      </c>
      <c r="BK28" s="278">
        <f t="shared" si="36"/>
        <v>4.9999033364174189E-2</v>
      </c>
      <c r="BL28" s="278">
        <f t="shared" si="36"/>
        <v>4.9854504020271771E-2</v>
      </c>
      <c r="BM28" s="278">
        <f t="shared" si="36"/>
        <v>4.9979057507435407E-2</v>
      </c>
      <c r="BN28" s="278">
        <f t="shared" si="36"/>
        <v>4.9900991539076726E-2</v>
      </c>
      <c r="BO28" s="278">
        <f t="shared" si="36"/>
        <v>4.9941191879289158E-2</v>
      </c>
      <c r="BP28" s="278">
        <f t="shared" si="36"/>
        <v>4.9977112929207021E-2</v>
      </c>
      <c r="BQ28" s="278">
        <f t="shared" si="36"/>
        <v>4.9886135175088317E-2</v>
      </c>
      <c r="BR28" s="278">
        <f t="shared" ref="BR28:CK28" si="37">+BR22/BR$3</f>
        <v>4.9905272890356005E-2</v>
      </c>
      <c r="BS28" s="278">
        <f t="shared" si="37"/>
        <v>4.9912283042468711E-2</v>
      </c>
      <c r="BT28" s="278">
        <f t="shared" si="37"/>
        <v>4.9938988383850448E-2</v>
      </c>
      <c r="BU28" s="278">
        <f t="shared" si="37"/>
        <v>4.991046811635539E-2</v>
      </c>
      <c r="BV28" s="278">
        <f t="shared" si="37"/>
        <v>4.9967105893816893E-2</v>
      </c>
      <c r="BW28" s="278">
        <f t="shared" si="37"/>
        <v>4.9963291902068642E-2</v>
      </c>
      <c r="BX28" s="278">
        <f t="shared" si="37"/>
        <v>4.9954302695927988E-2</v>
      </c>
      <c r="BY28" s="278">
        <f t="shared" si="37"/>
        <v>4.9995446080482994E-2</v>
      </c>
      <c r="BZ28" s="278">
        <f t="shared" si="37"/>
        <v>4.9991814713796767E-2</v>
      </c>
      <c r="CA28" s="278">
        <f t="shared" si="37"/>
        <v>4.9885441346220263E-2</v>
      </c>
      <c r="CB28" s="278">
        <f t="shared" si="37"/>
        <v>4.9895321607924807E-2</v>
      </c>
      <c r="CC28" s="278">
        <f t="shared" si="37"/>
        <v>4.9880932877287121E-2</v>
      </c>
      <c r="CD28" s="278">
        <f t="shared" si="37"/>
        <v>4.9941467990002278E-2</v>
      </c>
      <c r="CE28" s="278">
        <f t="shared" si="37"/>
        <v>4.9891576413588684E-2</v>
      </c>
      <c r="CF28" s="278">
        <f t="shared" si="37"/>
        <v>4.9944371732544866E-2</v>
      </c>
      <c r="CG28" s="278">
        <f t="shared" si="37"/>
        <v>4.9924893847881423E-2</v>
      </c>
      <c r="CH28" s="278">
        <f t="shared" si="37"/>
        <v>4.996371027618364E-2</v>
      </c>
      <c r="CI28" s="278">
        <f t="shared" si="37"/>
        <v>4.9965720969180387E-2</v>
      </c>
      <c r="CJ28" s="278">
        <f t="shared" si="37"/>
        <v>4.9962674464639853E-2</v>
      </c>
      <c r="CK28" s="278">
        <f t="shared" si="37"/>
        <v>4.9986336635828417E-2</v>
      </c>
    </row>
    <row r="29" spans="2:89" x14ac:dyDescent="0.3">
      <c r="C29" t="s">
        <v>241</v>
      </c>
      <c r="F29" s="278">
        <f t="shared" ref="F29:AK29" si="38">+F23/F$3</f>
        <v>5.0000000000000001E-4</v>
      </c>
      <c r="G29" s="278">
        <f t="shared" si="38"/>
        <v>5.0000000000000001E-4</v>
      </c>
      <c r="H29" s="278">
        <f t="shared" si="38"/>
        <v>6.0606060606060606E-3</v>
      </c>
      <c r="I29" s="278">
        <f t="shared" si="38"/>
        <v>5.8840835539864661E-3</v>
      </c>
      <c r="J29" s="278">
        <f t="shared" si="38"/>
        <v>7.1408780994981378E-3</v>
      </c>
      <c r="K29" s="278">
        <f t="shared" si="38"/>
        <v>1.1334727142060536E-2</v>
      </c>
      <c r="L29" s="278">
        <f t="shared" si="38"/>
        <v>9.9313799720911356E-3</v>
      </c>
      <c r="M29" s="278">
        <f t="shared" si="38"/>
        <v>0</v>
      </c>
      <c r="N29" s="512">
        <f t="shared" si="38"/>
        <v>0</v>
      </c>
      <c r="O29" s="505">
        <f t="shared" si="38"/>
        <v>3.7001099342869583E-2</v>
      </c>
      <c r="P29" s="278">
        <f t="shared" si="38"/>
        <v>3.737484782108038E-2</v>
      </c>
      <c r="Q29" s="278">
        <f t="shared" si="38"/>
        <v>3.7495802021148605E-2</v>
      </c>
      <c r="R29" s="278">
        <f t="shared" si="38"/>
        <v>3.7186566364016259E-2</v>
      </c>
      <c r="S29" s="278">
        <f t="shared" si="38"/>
        <v>3.7166796791254952E-2</v>
      </c>
      <c r="T29" s="278">
        <f t="shared" si="38"/>
        <v>3.7142833672756399E-2</v>
      </c>
      <c r="U29" s="278">
        <f t="shared" si="38"/>
        <v>3.7224261745324297E-2</v>
      </c>
      <c r="V29" s="278">
        <f t="shared" si="38"/>
        <v>3.7269436820257941E-2</v>
      </c>
      <c r="W29" s="278">
        <f t="shared" si="38"/>
        <v>3.72873634372951E-2</v>
      </c>
      <c r="X29" s="278">
        <f t="shared" si="38"/>
        <v>3.7219071562867821E-2</v>
      </c>
      <c r="Y29" s="278">
        <f t="shared" si="38"/>
        <v>3.7129562795414586E-2</v>
      </c>
      <c r="Z29" s="278">
        <f t="shared" si="38"/>
        <v>3.7335552048093724E-2</v>
      </c>
      <c r="AA29" s="278">
        <f t="shared" si="38"/>
        <v>3.7062460235829715E-2</v>
      </c>
      <c r="AB29" s="278">
        <f t="shared" si="38"/>
        <v>3.7436828521040112E-2</v>
      </c>
      <c r="AC29" s="278">
        <f t="shared" si="38"/>
        <v>3.7302920600934195E-2</v>
      </c>
      <c r="AD29" s="278">
        <f t="shared" si="38"/>
        <v>3.7145054120920284E-2</v>
      </c>
      <c r="AE29" s="278">
        <f t="shared" si="38"/>
        <v>3.7207587882066614E-2</v>
      </c>
      <c r="AF29" s="278">
        <f t="shared" si="38"/>
        <v>3.7267595026600972E-2</v>
      </c>
      <c r="AG29" s="278">
        <f t="shared" si="38"/>
        <v>3.7408644012220819E-2</v>
      </c>
      <c r="AH29" s="278">
        <f t="shared" si="38"/>
        <v>3.7212163787423223E-2</v>
      </c>
      <c r="AI29" s="278">
        <f t="shared" si="38"/>
        <v>3.7424804723351357E-2</v>
      </c>
      <c r="AJ29" s="278">
        <f t="shared" si="38"/>
        <v>3.726279258169183E-2</v>
      </c>
      <c r="AK29" s="278">
        <f t="shared" si="38"/>
        <v>3.7226090802027857E-2</v>
      </c>
      <c r="AL29" s="278">
        <f t="shared" ref="AL29:BQ29" si="39">+AL23/AL$3</f>
        <v>3.7414435579776389E-2</v>
      </c>
      <c r="AM29" s="278">
        <f t="shared" si="39"/>
        <v>3.7278177414056042E-2</v>
      </c>
      <c r="AN29" s="278">
        <f t="shared" si="39"/>
        <v>3.7395036904382235E-2</v>
      </c>
      <c r="AO29" s="278">
        <f t="shared" si="39"/>
        <v>3.7314357213110647E-2</v>
      </c>
      <c r="AP29" s="278">
        <f t="shared" si="39"/>
        <v>3.7451434358474998E-2</v>
      </c>
      <c r="AQ29" s="278">
        <f t="shared" si="39"/>
        <v>3.7335225378819073E-2</v>
      </c>
      <c r="AR29" s="278">
        <f t="shared" si="39"/>
        <v>3.7462598212742393E-2</v>
      </c>
      <c r="AS29" s="278">
        <f t="shared" si="39"/>
        <v>3.7341360030824139E-2</v>
      </c>
      <c r="AT29" s="278">
        <f t="shared" si="39"/>
        <v>3.743081733010363E-2</v>
      </c>
      <c r="AU29" s="278">
        <f t="shared" si="39"/>
        <v>3.7442027517983263E-2</v>
      </c>
      <c r="AV29" s="278">
        <f t="shared" si="39"/>
        <v>3.7367292932119024E-2</v>
      </c>
      <c r="AW29" s="278">
        <f t="shared" si="39"/>
        <v>3.7315465896152145E-2</v>
      </c>
      <c r="AX29" s="278">
        <f t="shared" si="39"/>
        <v>3.7436227921706033E-2</v>
      </c>
      <c r="AY29" s="278">
        <f t="shared" si="39"/>
        <v>3.7204462418117756E-2</v>
      </c>
      <c r="AZ29" s="278">
        <f t="shared" si="39"/>
        <v>3.7374908429085564E-2</v>
      </c>
      <c r="BA29" s="278">
        <f t="shared" si="39"/>
        <v>3.728319575503574E-2</v>
      </c>
      <c r="BB29" s="278">
        <f t="shared" si="39"/>
        <v>3.7358687403156107E-2</v>
      </c>
      <c r="BC29" s="278">
        <f t="shared" si="39"/>
        <v>3.7345000753665238E-2</v>
      </c>
      <c r="BD29" s="278">
        <f t="shared" si="39"/>
        <v>3.7327225884196576E-2</v>
      </c>
      <c r="BE29" s="278">
        <f t="shared" si="39"/>
        <v>3.7390502118551043E-2</v>
      </c>
      <c r="BF29" s="278">
        <f t="shared" si="39"/>
        <v>3.7418426317295299E-2</v>
      </c>
      <c r="BG29" s="278">
        <f t="shared" si="39"/>
        <v>3.7409561492297121E-2</v>
      </c>
      <c r="BH29" s="278">
        <f t="shared" si="39"/>
        <v>3.7485545706567189E-2</v>
      </c>
      <c r="BI29" s="278">
        <f t="shared" si="39"/>
        <v>3.7377348119904306E-2</v>
      </c>
      <c r="BJ29" s="278">
        <f t="shared" si="39"/>
        <v>3.7402813865514875E-2</v>
      </c>
      <c r="BK29" s="278">
        <f t="shared" si="39"/>
        <v>3.7459082874124069E-2</v>
      </c>
      <c r="BL29" s="278">
        <f t="shared" si="39"/>
        <v>3.7350279884894158E-2</v>
      </c>
      <c r="BM29" s="278">
        <f t="shared" si="39"/>
        <v>3.7366046149092086E-2</v>
      </c>
      <c r="BN29" s="278">
        <f t="shared" si="39"/>
        <v>3.7349208391210802E-2</v>
      </c>
      <c r="BO29" s="278">
        <f t="shared" si="39"/>
        <v>3.7417239736185687E-2</v>
      </c>
      <c r="BP29" s="278">
        <f t="shared" si="39"/>
        <v>3.7482834696905269E-2</v>
      </c>
      <c r="BQ29" s="278">
        <f t="shared" si="39"/>
        <v>3.7300879188667861E-2</v>
      </c>
      <c r="BR29" s="278">
        <f t="shared" ref="BR29:CK29" si="40">+BR23/BR$3</f>
        <v>3.7392151369175293E-2</v>
      </c>
      <c r="BS29" s="278">
        <f t="shared" si="40"/>
        <v>3.743421228185153E-2</v>
      </c>
      <c r="BT29" s="278">
        <f t="shared" si="40"/>
        <v>3.7387477934433491E-2</v>
      </c>
      <c r="BU29" s="278">
        <f t="shared" si="40"/>
        <v>3.7335622902624287E-2</v>
      </c>
      <c r="BV29" s="278">
        <f t="shared" si="40"/>
        <v>3.7380933124593493E-2</v>
      </c>
      <c r="BW29" s="278">
        <f t="shared" si="40"/>
        <v>3.7377119132845242E-2</v>
      </c>
      <c r="BX29" s="278">
        <f t="shared" si="40"/>
        <v>3.7369414099010394E-2</v>
      </c>
      <c r="BY29" s="278">
        <f t="shared" si="40"/>
        <v>3.7403076868191769E-2</v>
      </c>
      <c r="BZ29" s="278">
        <f t="shared" si="40"/>
        <v>3.7403076868191769E-2</v>
      </c>
      <c r="CA29" s="278">
        <f t="shared" si="40"/>
        <v>3.7414081009665201E-2</v>
      </c>
      <c r="CB29" s="278">
        <f t="shared" si="40"/>
        <v>3.7421491205943604E-2</v>
      </c>
      <c r="CC29" s="278">
        <f t="shared" si="40"/>
        <v>3.7410699657965341E-2</v>
      </c>
      <c r="CD29" s="278">
        <f t="shared" si="40"/>
        <v>3.7368790733777926E-2</v>
      </c>
      <c r="CE29" s="278">
        <f t="shared" si="40"/>
        <v>3.7363247225287527E-2</v>
      </c>
      <c r="CF29" s="278">
        <f t="shared" si="40"/>
        <v>3.7379085820974378E-2</v>
      </c>
      <c r="CG29" s="278">
        <f t="shared" si="40"/>
        <v>3.7418041590301272E-2</v>
      </c>
      <c r="CH29" s="278">
        <f t="shared" si="40"/>
        <v>3.7423018055468223E-2</v>
      </c>
      <c r="CI29" s="278">
        <f t="shared" si="40"/>
        <v>3.7398889739507252E-2</v>
      </c>
      <c r="CJ29" s="278">
        <f t="shared" si="40"/>
        <v>3.7472005848479893E-2</v>
      </c>
      <c r="CK29" s="278">
        <f t="shared" si="40"/>
        <v>3.7465104381883232E-2</v>
      </c>
    </row>
    <row r="30" spans="2:89" x14ac:dyDescent="0.3">
      <c r="C30" t="s">
        <v>242</v>
      </c>
      <c r="F30" s="278">
        <f t="shared" ref="F30:AK30" si="41">+F24/F$3</f>
        <v>5.0000000000000001E-4</v>
      </c>
      <c r="G30" s="278">
        <f t="shared" si="41"/>
        <v>5.0000000000000001E-4</v>
      </c>
      <c r="H30" s="278">
        <f t="shared" si="41"/>
        <v>2.5252525252525255E-3</v>
      </c>
      <c r="I30" s="278">
        <f t="shared" si="41"/>
        <v>2.4517014808276942E-3</v>
      </c>
      <c r="J30" s="278">
        <f t="shared" si="41"/>
        <v>2.8563512397992551E-3</v>
      </c>
      <c r="K30" s="278">
        <f t="shared" si="41"/>
        <v>4.9872799425066359E-3</v>
      </c>
      <c r="L30" s="278">
        <f t="shared" si="41"/>
        <v>4.3179912922135365E-3</v>
      </c>
      <c r="M30" s="278">
        <f t="shared" si="41"/>
        <v>0</v>
      </c>
      <c r="N30" s="512">
        <f t="shared" si="41"/>
        <v>0</v>
      </c>
      <c r="O30" s="505">
        <f t="shared" si="41"/>
        <v>1.6033809715243486E-2</v>
      </c>
      <c r="P30" s="278">
        <f t="shared" si="41"/>
        <v>1.6195767389134832E-2</v>
      </c>
      <c r="Q30" s="278">
        <f t="shared" si="41"/>
        <v>1.6127226675762839E-2</v>
      </c>
      <c r="R30" s="278">
        <f t="shared" si="41"/>
        <v>1.6048939167628069E-2</v>
      </c>
      <c r="S30" s="278">
        <f t="shared" si="41"/>
        <v>1.6211049664270775E-2</v>
      </c>
      <c r="T30" s="278">
        <f t="shared" si="41"/>
        <v>1.6374797640677553E-2</v>
      </c>
      <c r="U30" s="278">
        <f t="shared" si="41"/>
        <v>1.6285614513579381E-2</v>
      </c>
      <c r="V30" s="278">
        <f t="shared" si="41"/>
        <v>1.6187735184556479E-2</v>
      </c>
      <c r="W30" s="278">
        <f t="shared" si="41"/>
        <v>1.6133955333444996E-2</v>
      </c>
      <c r="X30" s="278">
        <f t="shared" si="41"/>
        <v>1.6390049862547298E-2</v>
      </c>
      <c r="Y30" s="278">
        <f t="shared" si="41"/>
        <v>1.6244183722993882E-2</v>
      </c>
      <c r="Z30" s="278">
        <f t="shared" si="41"/>
        <v>1.641476857286879E-2</v>
      </c>
      <c r="AA30" s="278">
        <f t="shared" si="41"/>
        <v>1.6255465015714787E-2</v>
      </c>
      <c r="AB30" s="278">
        <f t="shared" si="41"/>
        <v>1.6419661632035138E-2</v>
      </c>
      <c r="AC30" s="278">
        <f t="shared" si="41"/>
        <v>1.6260247441432854E-2</v>
      </c>
      <c r="AD30" s="278">
        <f t="shared" si="41"/>
        <v>1.640573223673979E-2</v>
      </c>
      <c r="AE30" s="278">
        <f t="shared" si="41"/>
        <v>1.6258777898045914E-2</v>
      </c>
      <c r="AF30" s="278">
        <f t="shared" si="41"/>
        <v>1.6423007977824158E-2</v>
      </c>
      <c r="AG30" s="278">
        <f t="shared" si="41"/>
        <v>1.6251296169243472E-2</v>
      </c>
      <c r="AH30" s="278">
        <f t="shared" si="41"/>
        <v>1.6373352066466219E-2</v>
      </c>
      <c r="AI30" s="278">
        <f t="shared" si="41"/>
        <v>1.6444232378442263E-2</v>
      </c>
      <c r="AJ30" s="278">
        <f t="shared" si="41"/>
        <v>1.6471234402052184E-2</v>
      </c>
      <c r="AK30" s="278">
        <f t="shared" si="41"/>
        <v>1.625364527975864E-2</v>
      </c>
      <c r="AL30" s="278">
        <f t="shared" ref="AL30:BQ30" si="42">+AL24/AL$3</f>
        <v>1.6289278075548905E-2</v>
      </c>
      <c r="AM30" s="278">
        <f t="shared" si="42"/>
        <v>1.6453816237928187E-2</v>
      </c>
      <c r="AN30" s="278">
        <f t="shared" si="42"/>
        <v>1.6360328645667228E-2</v>
      </c>
      <c r="AO30" s="278">
        <f t="shared" si="42"/>
        <v>1.6388062289541837E-2</v>
      </c>
      <c r="AP30" s="278">
        <f t="shared" si="42"/>
        <v>1.6400301320377939E-2</v>
      </c>
      <c r="AQ30" s="278">
        <f t="shared" si="42"/>
        <v>1.6318707781470588E-2</v>
      </c>
      <c r="AR30" s="278">
        <f t="shared" si="42"/>
        <v>1.6483543213606653E-2</v>
      </c>
      <c r="AS30" s="278">
        <f t="shared" si="42"/>
        <v>1.6245916377046865E-2</v>
      </c>
      <c r="AT30" s="278">
        <f t="shared" si="42"/>
        <v>1.624356223759214E-2</v>
      </c>
      <c r="AU30" s="278">
        <f t="shared" si="42"/>
        <v>1.6366874304268135E-2</v>
      </c>
      <c r="AV30" s="278">
        <f t="shared" si="42"/>
        <v>1.6441608890132371E-2</v>
      </c>
      <c r="AW30" s="278">
        <f t="shared" si="42"/>
        <v>1.6377343365533443E-2</v>
      </c>
      <c r="AX30" s="278">
        <f t="shared" si="42"/>
        <v>1.6302873449775206E-2</v>
      </c>
      <c r="AY30" s="278">
        <f t="shared" si="42"/>
        <v>1.6264245865843827E-2</v>
      </c>
      <c r="AZ30" s="278">
        <f t="shared" si="42"/>
        <v>1.6428531177620026E-2</v>
      </c>
      <c r="BA30" s="278">
        <f t="shared" si="42"/>
        <v>1.6348781026272359E-2</v>
      </c>
      <c r="BB30" s="278">
        <f t="shared" si="42"/>
        <v>1.645330792366979E-2</v>
      </c>
      <c r="BC30" s="278">
        <f t="shared" si="42"/>
        <v>1.6423979389046491E-2</v>
      </c>
      <c r="BD30" s="278">
        <f t="shared" si="42"/>
        <v>1.63923796211022E-2</v>
      </c>
      <c r="BE30" s="278">
        <f t="shared" si="42"/>
        <v>1.6298424000394045E-2</v>
      </c>
      <c r="BF30" s="278">
        <f t="shared" si="42"/>
        <v>1.6382196596626795E-2</v>
      </c>
      <c r="BG30" s="278">
        <f t="shared" si="42"/>
        <v>1.6488574496604892E-2</v>
      </c>
      <c r="BH30" s="278">
        <f t="shared" si="42"/>
        <v>1.6378819520437016E-2</v>
      </c>
      <c r="BI30" s="278">
        <f t="shared" si="42"/>
        <v>1.6393573736800136E-2</v>
      </c>
      <c r="BJ30" s="278">
        <f t="shared" si="42"/>
        <v>1.6393573736800136E-2</v>
      </c>
      <c r="BK30" s="278">
        <f t="shared" si="42"/>
        <v>1.6398396794680924E-2</v>
      </c>
      <c r="BL30" s="278">
        <f t="shared" si="42"/>
        <v>1.6401644645105698E-2</v>
      </c>
      <c r="BM30" s="278">
        <f t="shared" si="42"/>
        <v>1.6396914765846315E-2</v>
      </c>
      <c r="BN30" s="278">
        <f t="shared" si="42"/>
        <v>1.6378546302703099E-2</v>
      </c>
      <c r="BO30" s="278">
        <f t="shared" si="42"/>
        <v>1.638936947122183E-2</v>
      </c>
      <c r="BP30" s="278">
        <f t="shared" si="42"/>
        <v>1.6398740179896055E-2</v>
      </c>
      <c r="BQ30" s="278">
        <f t="shared" si="42"/>
        <v>1.6375995741366379E-2</v>
      </c>
      <c r="BR30" s="278">
        <f t="shared" ref="BR30:CK30" si="43">+BR24/BR$3</f>
        <v>1.6340664574718337E-2</v>
      </c>
      <c r="BS30" s="278">
        <f t="shared" si="43"/>
        <v>1.6403755943732695E-2</v>
      </c>
      <c r="BT30" s="278">
        <f t="shared" si="43"/>
        <v>1.6423784949768996E-2</v>
      </c>
      <c r="BU30" s="278">
        <f t="shared" si="43"/>
        <v>1.6463972599421128E-2</v>
      </c>
      <c r="BV30" s="278">
        <f t="shared" si="43"/>
        <v>1.6487886327682652E-2</v>
      </c>
      <c r="BW30" s="278">
        <f t="shared" si="43"/>
        <v>1.6400164517472914E-2</v>
      </c>
      <c r="BX30" s="278">
        <f t="shared" si="43"/>
        <v>1.6437405514341343E-2</v>
      </c>
      <c r="BY30" s="278">
        <f t="shared" si="43"/>
        <v>1.6457353822004379E-2</v>
      </c>
      <c r="BZ30" s="278">
        <f t="shared" si="43"/>
        <v>1.6462195644252688E-2</v>
      </c>
      <c r="CA30" s="278">
        <f t="shared" si="43"/>
        <v>1.6383943971552736E-2</v>
      </c>
      <c r="CB30" s="278">
        <f t="shared" si="43"/>
        <v>1.6425935083797027E-2</v>
      </c>
      <c r="CC30" s="278">
        <f t="shared" si="43"/>
        <v>1.6427134144683501E-2</v>
      </c>
      <c r="CD30" s="278">
        <f t="shared" si="43"/>
        <v>1.6414328640070679E-2</v>
      </c>
      <c r="CE30" s="278">
        <f t="shared" si="43"/>
        <v>1.6408785131580277E-2</v>
      </c>
      <c r="CF30" s="278">
        <f t="shared" si="43"/>
        <v>1.6472139514327692E-2</v>
      </c>
      <c r="CG30" s="278">
        <f t="shared" si="43"/>
        <v>1.640242919026905E-2</v>
      </c>
      <c r="CH30" s="278">
        <f t="shared" si="43"/>
        <v>1.6422335050936855E-2</v>
      </c>
      <c r="CI30" s="278">
        <f t="shared" si="43"/>
        <v>1.6487682573331153E-2</v>
      </c>
      <c r="CJ30" s="278">
        <f t="shared" si="43"/>
        <v>1.6451124518844829E-2</v>
      </c>
      <c r="CK30" s="278">
        <f t="shared" si="43"/>
        <v>1.6464927452038158E-2</v>
      </c>
    </row>
    <row r="31" spans="2:89" x14ac:dyDescent="0.3">
      <c r="C31" t="s">
        <v>247</v>
      </c>
      <c r="F31" s="278">
        <f t="shared" ref="F31:AK31" si="44">+F25/F$3</f>
        <v>0</v>
      </c>
      <c r="G31" s="278">
        <f t="shared" si="44"/>
        <v>0</v>
      </c>
      <c r="H31" s="278">
        <f t="shared" si="44"/>
        <v>0</v>
      </c>
      <c r="I31" s="278">
        <f t="shared" si="44"/>
        <v>0</v>
      </c>
      <c r="J31" s="278">
        <f t="shared" si="44"/>
        <v>1.4281756198996276E-3</v>
      </c>
      <c r="K31" s="278">
        <f t="shared" si="44"/>
        <v>1.3601672570472643E-3</v>
      </c>
      <c r="L31" s="278">
        <f t="shared" si="44"/>
        <v>3.0225939045494758E-3</v>
      </c>
      <c r="M31" s="278">
        <f t="shared" si="44"/>
        <v>4.6114470111018359E-3</v>
      </c>
      <c r="N31" s="512">
        <f t="shared" si="44"/>
        <v>3.2560967421725231E-3</v>
      </c>
      <c r="O31" s="505">
        <f t="shared" si="44"/>
        <v>2.8778632822231897E-3</v>
      </c>
      <c r="P31" s="278">
        <f t="shared" si="44"/>
        <v>4.9833130428107173E-3</v>
      </c>
      <c r="Q31" s="278">
        <f t="shared" si="44"/>
        <v>4.8381680027288522E-3</v>
      </c>
      <c r="R31" s="278">
        <f t="shared" si="44"/>
        <v>4.6972504880862642E-3</v>
      </c>
      <c r="S31" s="278">
        <f t="shared" si="44"/>
        <v>4.744697462713398E-3</v>
      </c>
      <c r="T31" s="278">
        <f t="shared" si="44"/>
        <v>4.7926236997105033E-3</v>
      </c>
      <c r="U31" s="278">
        <f t="shared" si="44"/>
        <v>4.6530327181655371E-3</v>
      </c>
      <c r="V31" s="278">
        <f t="shared" si="44"/>
        <v>4.8939664511449821E-3</v>
      </c>
      <c r="W31" s="278">
        <f t="shared" si="44"/>
        <v>4.6609204296618875E-3</v>
      </c>
      <c r="X31" s="278">
        <f t="shared" si="44"/>
        <v>4.7804312099096287E-3</v>
      </c>
      <c r="Y31" s="278">
        <f t="shared" si="44"/>
        <v>4.9727093029573108E-3</v>
      </c>
      <c r="Z31" s="278">
        <f t="shared" si="44"/>
        <v>4.8278731096672916E-3</v>
      </c>
      <c r="AA31" s="278">
        <f t="shared" si="44"/>
        <v>4.8766395047144355E-3</v>
      </c>
      <c r="AB31" s="278">
        <f t="shared" si="44"/>
        <v>4.9258984896105411E-3</v>
      </c>
      <c r="AC31" s="278">
        <f t="shared" si="44"/>
        <v>4.7824257180684865E-3</v>
      </c>
      <c r="AD31" s="278">
        <f t="shared" si="44"/>
        <v>4.9526738827893714E-3</v>
      </c>
      <c r="AE31" s="278">
        <f t="shared" si="44"/>
        <v>4.6900320859747831E-3</v>
      </c>
      <c r="AF31" s="278">
        <f t="shared" si="44"/>
        <v>4.7374061474492763E-3</v>
      </c>
      <c r="AG31" s="278">
        <f t="shared" si="44"/>
        <v>4.9060516737338784E-3</v>
      </c>
      <c r="AH31" s="278">
        <f t="shared" si="44"/>
        <v>4.7631569647901733E-3</v>
      </c>
      <c r="AI31" s="278">
        <f t="shared" si="44"/>
        <v>4.8198612143710079E-3</v>
      </c>
      <c r="AJ31" s="278">
        <f t="shared" si="44"/>
        <v>4.8603642497858906E-3</v>
      </c>
      <c r="AK31" s="278">
        <f t="shared" si="44"/>
        <v>4.9809558115389381E-3</v>
      </c>
      <c r="AL31" s="278">
        <f t="shared" ref="AL31:BQ31" si="45">+AL25/AL$3</f>
        <v>4.8358794286785809E-3</v>
      </c>
      <c r="AM31" s="278">
        <f t="shared" si="45"/>
        <v>4.8847266956349297E-3</v>
      </c>
      <c r="AN31" s="278">
        <f t="shared" si="45"/>
        <v>4.9340673693282116E-3</v>
      </c>
      <c r="AO31" s="278">
        <f t="shared" si="45"/>
        <v>4.7903566692506913E-3</v>
      </c>
      <c r="AP31" s="278">
        <f t="shared" si="45"/>
        <v>4.8956123344411758E-3</v>
      </c>
      <c r="AQ31" s="278">
        <f t="shared" si="45"/>
        <v>4.9450629640819966E-3</v>
      </c>
      <c r="AR31" s="278">
        <f t="shared" si="45"/>
        <v>4.9950130950323192E-3</v>
      </c>
      <c r="AS31" s="278">
        <f t="shared" si="45"/>
        <v>4.849527276730407E-3</v>
      </c>
      <c r="AT31" s="278">
        <f t="shared" si="45"/>
        <v>4.9436928549193475E-3</v>
      </c>
      <c r="AU31" s="278">
        <f t="shared" si="45"/>
        <v>4.9324826670397118E-3</v>
      </c>
      <c r="AV31" s="278">
        <f t="shared" si="45"/>
        <v>4.9111299282213576E-3</v>
      </c>
      <c r="AW31" s="278">
        <f t="shared" si="45"/>
        <v>4.9753954528202861E-3</v>
      </c>
      <c r="AX31" s="278">
        <f t="shared" si="45"/>
        <v>4.8304810221556169E-3</v>
      </c>
      <c r="AY31" s="278">
        <f t="shared" si="45"/>
        <v>4.8792737597531484E-3</v>
      </c>
      <c r="AZ31" s="278">
        <f t="shared" si="45"/>
        <v>4.928559353286008E-3</v>
      </c>
      <c r="BA31" s="278">
        <f t="shared" si="45"/>
        <v>4.9843844592293773E-3</v>
      </c>
      <c r="BB31" s="278">
        <f t="shared" si="45"/>
        <v>4.8392082128440551E-3</v>
      </c>
      <c r="BC31" s="278">
        <f t="shared" si="45"/>
        <v>4.888089103882884E-3</v>
      </c>
      <c r="BD31" s="278">
        <f t="shared" si="45"/>
        <v>4.9374637412958429E-3</v>
      </c>
      <c r="BE31" s="278">
        <f t="shared" si="45"/>
        <v>4.9854002824734726E-3</v>
      </c>
      <c r="BF31" s="278">
        <f t="shared" si="45"/>
        <v>4.8401944490033717E-3</v>
      </c>
      <c r="BG31" s="278">
        <f t="shared" si="45"/>
        <v>4.9643019989778171E-3</v>
      </c>
      <c r="BH31" s="278">
        <f t="shared" si="45"/>
        <v>4.8967604751822009E-3</v>
      </c>
      <c r="BI31" s="278">
        <f t="shared" si="45"/>
        <v>4.9180721210400407E-3</v>
      </c>
      <c r="BJ31" s="278">
        <f t="shared" si="45"/>
        <v>4.9339882120466427E-3</v>
      </c>
      <c r="BK31" s="278">
        <f t="shared" si="45"/>
        <v>4.983826476814791E-3</v>
      </c>
      <c r="BL31" s="278">
        <f t="shared" si="45"/>
        <v>4.8717756371601077E-3</v>
      </c>
      <c r="BM31" s="278">
        <f t="shared" si="45"/>
        <v>4.8875419013580364E-3</v>
      </c>
      <c r="BN31" s="278">
        <f t="shared" si="45"/>
        <v>4.8982568381915805E-3</v>
      </c>
      <c r="BO31" s="278">
        <f t="shared" si="45"/>
        <v>4.9477341799914953E-3</v>
      </c>
      <c r="BP31" s="278">
        <f t="shared" si="45"/>
        <v>4.9977112929207026E-3</v>
      </c>
      <c r="BQ31" s="278">
        <f t="shared" si="45"/>
        <v>4.8521468863307786E-3</v>
      </c>
      <c r="BR31" s="278">
        <f t="shared" ref="BR31:CK31" si="46">+BR25/BR$3</f>
        <v>4.8580354141054514E-3</v>
      </c>
      <c r="BS31" s="278">
        <f t="shared" si="46"/>
        <v>4.907106478894396E-3</v>
      </c>
      <c r="BT31" s="278">
        <f t="shared" si="46"/>
        <v>4.9404881556215684E-3</v>
      </c>
      <c r="BU31" s="278">
        <f t="shared" si="46"/>
        <v>4.9262280218740385E-3</v>
      </c>
      <c r="BV31" s="278">
        <f t="shared" si="46"/>
        <v>4.9086073799971255E-3</v>
      </c>
      <c r="BW31" s="278">
        <f t="shared" si="46"/>
        <v>4.9581892727243691E-3</v>
      </c>
      <c r="BX31" s="278">
        <f t="shared" si="46"/>
        <v>4.8798547620700862E-3</v>
      </c>
      <c r="BY31" s="278">
        <f t="shared" si="46"/>
        <v>4.9870769157589027E-3</v>
      </c>
      <c r="BZ31" s="278">
        <f t="shared" si="46"/>
        <v>4.9628678045173548E-3</v>
      </c>
      <c r="CA31" s="278">
        <f t="shared" si="46"/>
        <v>4.8907295437470846E-3</v>
      </c>
      <c r="CB31" s="278">
        <f t="shared" si="46"/>
        <v>4.9401308522697826E-3</v>
      </c>
      <c r="CC31" s="278">
        <f t="shared" si="46"/>
        <v>4.9161496345403169E-3</v>
      </c>
      <c r="CD31" s="278">
        <f t="shared" si="46"/>
        <v>4.8893744885316918E-3</v>
      </c>
      <c r="CE31" s="278">
        <f t="shared" si="46"/>
        <v>4.9891576413588681E-3</v>
      </c>
      <c r="CF31" s="278">
        <f t="shared" si="46"/>
        <v>4.9627599818807796E-3</v>
      </c>
      <c r="CG31" s="278">
        <f t="shared" si="46"/>
        <v>4.920728757080715E-3</v>
      </c>
      <c r="CH31" s="278">
        <f t="shared" si="46"/>
        <v>4.9764651669505612E-3</v>
      </c>
      <c r="CI31" s="278">
        <f t="shared" si="46"/>
        <v>4.9261978420318689E-3</v>
      </c>
      <c r="CJ31" s="278">
        <f t="shared" si="46"/>
        <v>4.9759574161938065E-3</v>
      </c>
      <c r="CK31" s="278">
        <f t="shared" si="46"/>
        <v>4.9296189976162147E-3</v>
      </c>
    </row>
    <row r="32" spans="2:89" x14ac:dyDescent="0.3">
      <c r="F32" s="275"/>
      <c r="G32" s="275"/>
      <c r="H32" s="275"/>
      <c r="I32" s="275"/>
      <c r="J32" s="275"/>
      <c r="K32" s="275"/>
      <c r="L32" s="275"/>
      <c r="M32" s="275"/>
      <c r="N32" s="513"/>
      <c r="O32" s="506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275"/>
      <c r="AJ32" s="275"/>
      <c r="AK32" s="275"/>
      <c r="AL32" s="275"/>
      <c r="AM32" s="275"/>
      <c r="AN32" s="275"/>
      <c r="AO32" s="275"/>
      <c r="AP32" s="275"/>
      <c r="AQ32" s="275"/>
      <c r="AR32" s="275"/>
      <c r="AS32" s="275"/>
      <c r="AT32" s="275"/>
      <c r="AU32" s="275"/>
      <c r="AV32" s="275"/>
      <c r="AW32" s="275"/>
      <c r="AX32" s="275"/>
      <c r="AY32" s="275"/>
      <c r="AZ32" s="275"/>
      <c r="BA32" s="275"/>
      <c r="BB32" s="275"/>
      <c r="BC32" s="275"/>
      <c r="BD32" s="275"/>
      <c r="BE32" s="275"/>
      <c r="BF32" s="275"/>
      <c r="BG32" s="275"/>
      <c r="BH32" s="275"/>
      <c r="BI32" s="275"/>
      <c r="BJ32" s="275"/>
      <c r="BK32" s="275"/>
      <c r="BL32" s="275"/>
      <c r="BM32" s="275"/>
      <c r="BN32" s="275"/>
      <c r="BO32" s="275"/>
      <c r="BP32" s="275"/>
      <c r="BQ32" s="275"/>
      <c r="BR32" s="275"/>
      <c r="BS32" s="275"/>
      <c r="BT32" s="275"/>
      <c r="BU32" s="275"/>
      <c r="BV32" s="275"/>
      <c r="BW32" s="275"/>
      <c r="BX32" s="275"/>
      <c r="BY32" s="275"/>
      <c r="BZ32" s="275"/>
      <c r="CA32" s="275"/>
      <c r="CB32" s="275"/>
      <c r="CC32" s="275"/>
      <c r="CD32" s="275"/>
      <c r="CE32" s="275"/>
      <c r="CF32" s="275"/>
      <c r="CG32" s="275"/>
      <c r="CH32" s="275"/>
      <c r="CI32" s="275"/>
      <c r="CJ32" s="275"/>
      <c r="CK32" s="275"/>
    </row>
    <row r="33" spans="3:89" x14ac:dyDescent="0.3">
      <c r="C33" s="258" t="s">
        <v>274</v>
      </c>
      <c r="F33" s="273">
        <v>0</v>
      </c>
      <c r="G33" s="273">
        <v>0</v>
      </c>
      <c r="H33" s="438">
        <v>0</v>
      </c>
      <c r="I33" s="438">
        <v>0</v>
      </c>
      <c r="J33" s="438">
        <v>0</v>
      </c>
      <c r="K33" s="438">
        <v>1</v>
      </c>
      <c r="L33" s="438">
        <v>5</v>
      </c>
      <c r="M33" s="438">
        <f t="shared" ref="M33:BW33" si="47">+M25/2</f>
        <v>5.5</v>
      </c>
      <c r="N33" s="515">
        <v>5</v>
      </c>
      <c r="O33" s="508">
        <v>1</v>
      </c>
      <c r="P33" s="280">
        <f t="shared" si="47"/>
        <v>6</v>
      </c>
      <c r="Q33" s="280">
        <f t="shared" si="47"/>
        <v>6</v>
      </c>
      <c r="R33" s="280">
        <f t="shared" si="47"/>
        <v>6</v>
      </c>
      <c r="S33" s="280">
        <f t="shared" si="47"/>
        <v>6</v>
      </c>
      <c r="T33" s="280">
        <f t="shared" si="47"/>
        <v>6</v>
      </c>
      <c r="U33" s="280">
        <f t="shared" si="47"/>
        <v>6</v>
      </c>
      <c r="V33" s="280">
        <f t="shared" si="47"/>
        <v>6.5</v>
      </c>
      <c r="W33" s="280">
        <f t="shared" si="47"/>
        <v>6.5</v>
      </c>
      <c r="X33" s="280">
        <f t="shared" si="47"/>
        <v>7</v>
      </c>
      <c r="Y33" s="280">
        <f t="shared" si="47"/>
        <v>7.5</v>
      </c>
      <c r="Z33" s="280">
        <f t="shared" si="47"/>
        <v>7.5</v>
      </c>
      <c r="AA33" s="280">
        <f t="shared" si="47"/>
        <v>7.5</v>
      </c>
      <c r="AB33" s="280">
        <f t="shared" si="47"/>
        <v>7.5</v>
      </c>
      <c r="AC33" s="280">
        <f t="shared" si="47"/>
        <v>7.5</v>
      </c>
      <c r="AD33" s="280">
        <f t="shared" si="47"/>
        <v>8</v>
      </c>
      <c r="AE33" s="280">
        <f t="shared" si="47"/>
        <v>7.5</v>
      </c>
      <c r="AF33" s="280">
        <f t="shared" si="47"/>
        <v>7.5</v>
      </c>
      <c r="AG33" s="280">
        <f t="shared" si="47"/>
        <v>8</v>
      </c>
      <c r="AH33" s="280">
        <f t="shared" si="47"/>
        <v>8</v>
      </c>
      <c r="AI33" s="280">
        <f t="shared" si="47"/>
        <v>8.5</v>
      </c>
      <c r="AJ33" s="280">
        <f t="shared" si="47"/>
        <v>9</v>
      </c>
      <c r="AK33" s="280">
        <f t="shared" si="47"/>
        <v>9.5</v>
      </c>
      <c r="AL33" s="280">
        <f t="shared" si="47"/>
        <v>9.5</v>
      </c>
      <c r="AM33" s="280">
        <f t="shared" si="47"/>
        <v>9.5</v>
      </c>
      <c r="AN33" s="280">
        <f t="shared" si="47"/>
        <v>9.5</v>
      </c>
      <c r="AO33" s="280">
        <f t="shared" si="47"/>
        <v>9.5</v>
      </c>
      <c r="AP33" s="280">
        <f t="shared" si="47"/>
        <v>10</v>
      </c>
      <c r="AQ33" s="280">
        <f t="shared" si="47"/>
        <v>10</v>
      </c>
      <c r="AR33" s="280">
        <f t="shared" si="47"/>
        <v>10</v>
      </c>
      <c r="AS33" s="280">
        <f t="shared" si="47"/>
        <v>10</v>
      </c>
      <c r="AT33" s="280">
        <f t="shared" si="47"/>
        <v>10.5</v>
      </c>
      <c r="AU33" s="280">
        <f t="shared" si="47"/>
        <v>11</v>
      </c>
      <c r="AV33" s="280">
        <f t="shared" si="47"/>
        <v>11.5</v>
      </c>
      <c r="AW33" s="280">
        <f t="shared" si="47"/>
        <v>12</v>
      </c>
      <c r="AX33" s="280">
        <f t="shared" si="47"/>
        <v>12</v>
      </c>
      <c r="AY33" s="280">
        <f t="shared" si="47"/>
        <v>12</v>
      </c>
      <c r="AZ33" s="280">
        <f t="shared" si="47"/>
        <v>12</v>
      </c>
      <c r="BA33" s="280">
        <f t="shared" si="47"/>
        <v>12.5</v>
      </c>
      <c r="BB33" s="280">
        <f t="shared" si="47"/>
        <v>12.5</v>
      </c>
      <c r="BC33" s="280">
        <f t="shared" si="47"/>
        <v>12.5</v>
      </c>
      <c r="BD33" s="280">
        <f t="shared" si="47"/>
        <v>12.5</v>
      </c>
      <c r="BE33" s="280">
        <f t="shared" si="47"/>
        <v>13</v>
      </c>
      <c r="BF33" s="280">
        <f t="shared" si="47"/>
        <v>13</v>
      </c>
      <c r="BG33" s="280">
        <f t="shared" si="47"/>
        <v>14</v>
      </c>
      <c r="BH33" s="280">
        <f t="shared" si="47"/>
        <v>14.5</v>
      </c>
      <c r="BI33" s="280">
        <f t="shared" si="47"/>
        <v>15</v>
      </c>
      <c r="BJ33" s="280">
        <f t="shared" si="47"/>
        <v>15.5</v>
      </c>
      <c r="BK33" s="280">
        <f t="shared" si="47"/>
        <v>15.5</v>
      </c>
      <c r="BL33" s="280">
        <f t="shared" si="47"/>
        <v>15</v>
      </c>
      <c r="BM33" s="280">
        <f t="shared" si="47"/>
        <v>15.5</v>
      </c>
      <c r="BN33" s="280">
        <f t="shared" si="47"/>
        <v>16</v>
      </c>
      <c r="BO33" s="280">
        <f t="shared" si="47"/>
        <v>16</v>
      </c>
      <c r="BP33" s="280">
        <f t="shared" si="47"/>
        <v>16</v>
      </c>
      <c r="BQ33" s="280">
        <f t="shared" si="47"/>
        <v>16</v>
      </c>
      <c r="BR33" s="280">
        <f t="shared" si="47"/>
        <v>16.5</v>
      </c>
      <c r="BS33" s="280">
        <f t="shared" si="47"/>
        <v>17.5</v>
      </c>
      <c r="BT33" s="280">
        <f t="shared" si="47"/>
        <v>18.5</v>
      </c>
      <c r="BU33" s="280">
        <f t="shared" si="47"/>
        <v>19</v>
      </c>
      <c r="BV33" s="280">
        <f t="shared" si="47"/>
        <v>19.5</v>
      </c>
      <c r="BW33" s="280">
        <f t="shared" si="47"/>
        <v>19.5</v>
      </c>
      <c r="BX33" s="280">
        <f t="shared" ref="BX33:CK33" si="48">+BX25/2</f>
        <v>19</v>
      </c>
      <c r="BY33" s="280">
        <f t="shared" si="48"/>
        <v>20</v>
      </c>
      <c r="BZ33" s="280">
        <f t="shared" si="48"/>
        <v>20.5</v>
      </c>
      <c r="CA33" s="280">
        <f t="shared" si="48"/>
        <v>20</v>
      </c>
      <c r="CB33" s="280">
        <f t="shared" si="48"/>
        <v>20</v>
      </c>
      <c r="CC33" s="280">
        <f t="shared" si="48"/>
        <v>20.5</v>
      </c>
      <c r="CD33" s="280">
        <f t="shared" si="48"/>
        <v>21</v>
      </c>
      <c r="CE33" s="280">
        <f t="shared" si="48"/>
        <v>22.5</v>
      </c>
      <c r="CF33" s="280">
        <f t="shared" si="48"/>
        <v>23.5</v>
      </c>
      <c r="CG33" s="280">
        <f t="shared" si="48"/>
        <v>24</v>
      </c>
      <c r="CH33" s="280">
        <f t="shared" si="48"/>
        <v>25</v>
      </c>
      <c r="CI33" s="280">
        <f t="shared" si="48"/>
        <v>24.5</v>
      </c>
      <c r="CJ33" s="280">
        <f t="shared" si="48"/>
        <v>24.5</v>
      </c>
      <c r="CK33" s="280">
        <f t="shared" si="48"/>
        <v>25</v>
      </c>
    </row>
    <row r="34" spans="3:89" x14ac:dyDescent="0.3">
      <c r="C34" s="262" t="s">
        <v>273</v>
      </c>
      <c r="F34" s="273">
        <v>0</v>
      </c>
      <c r="G34" s="273">
        <v>0</v>
      </c>
      <c r="H34" s="438">
        <v>0</v>
      </c>
      <c r="I34" s="438">
        <v>0</v>
      </c>
      <c r="J34" s="438">
        <v>3</v>
      </c>
      <c r="K34" s="438">
        <v>2</v>
      </c>
      <c r="L34" s="438">
        <v>2</v>
      </c>
      <c r="M34" s="438">
        <f t="shared" ref="M34:BW34" si="49">+M25/2</f>
        <v>5.5</v>
      </c>
      <c r="N34" s="515">
        <v>3</v>
      </c>
      <c r="O34" s="508">
        <v>6</v>
      </c>
      <c r="P34" s="280">
        <f t="shared" si="49"/>
        <v>6</v>
      </c>
      <c r="Q34" s="280">
        <f t="shared" si="49"/>
        <v>6</v>
      </c>
      <c r="R34" s="280">
        <f t="shared" si="49"/>
        <v>6</v>
      </c>
      <c r="S34" s="280">
        <f t="shared" si="49"/>
        <v>6</v>
      </c>
      <c r="T34" s="280">
        <f t="shared" si="49"/>
        <v>6</v>
      </c>
      <c r="U34" s="280">
        <f t="shared" si="49"/>
        <v>6</v>
      </c>
      <c r="V34" s="280">
        <f t="shared" si="49"/>
        <v>6.5</v>
      </c>
      <c r="W34" s="280">
        <f t="shared" si="49"/>
        <v>6.5</v>
      </c>
      <c r="X34" s="280">
        <f t="shared" si="49"/>
        <v>7</v>
      </c>
      <c r="Y34" s="280">
        <f t="shared" si="49"/>
        <v>7.5</v>
      </c>
      <c r="Z34" s="280">
        <f t="shared" si="49"/>
        <v>7.5</v>
      </c>
      <c r="AA34" s="280">
        <f t="shared" si="49"/>
        <v>7.5</v>
      </c>
      <c r="AB34" s="280">
        <f t="shared" si="49"/>
        <v>7.5</v>
      </c>
      <c r="AC34" s="280">
        <f t="shared" si="49"/>
        <v>7.5</v>
      </c>
      <c r="AD34" s="280">
        <f t="shared" si="49"/>
        <v>8</v>
      </c>
      <c r="AE34" s="280">
        <f t="shared" si="49"/>
        <v>7.5</v>
      </c>
      <c r="AF34" s="280">
        <f t="shared" si="49"/>
        <v>7.5</v>
      </c>
      <c r="AG34" s="280">
        <f t="shared" si="49"/>
        <v>8</v>
      </c>
      <c r="AH34" s="280">
        <f t="shared" si="49"/>
        <v>8</v>
      </c>
      <c r="AI34" s="280">
        <f t="shared" si="49"/>
        <v>8.5</v>
      </c>
      <c r="AJ34" s="280">
        <f t="shared" si="49"/>
        <v>9</v>
      </c>
      <c r="AK34" s="280">
        <f t="shared" si="49"/>
        <v>9.5</v>
      </c>
      <c r="AL34" s="280">
        <f t="shared" si="49"/>
        <v>9.5</v>
      </c>
      <c r="AM34" s="280">
        <f t="shared" si="49"/>
        <v>9.5</v>
      </c>
      <c r="AN34" s="280">
        <f t="shared" si="49"/>
        <v>9.5</v>
      </c>
      <c r="AO34" s="280">
        <f t="shared" si="49"/>
        <v>9.5</v>
      </c>
      <c r="AP34" s="280">
        <f t="shared" si="49"/>
        <v>10</v>
      </c>
      <c r="AQ34" s="280">
        <f t="shared" si="49"/>
        <v>10</v>
      </c>
      <c r="AR34" s="280">
        <f t="shared" si="49"/>
        <v>10</v>
      </c>
      <c r="AS34" s="280">
        <f t="shared" si="49"/>
        <v>10</v>
      </c>
      <c r="AT34" s="280">
        <f t="shared" si="49"/>
        <v>10.5</v>
      </c>
      <c r="AU34" s="280">
        <f t="shared" si="49"/>
        <v>11</v>
      </c>
      <c r="AV34" s="280">
        <f t="shared" si="49"/>
        <v>11.5</v>
      </c>
      <c r="AW34" s="280">
        <f t="shared" si="49"/>
        <v>12</v>
      </c>
      <c r="AX34" s="280">
        <f t="shared" si="49"/>
        <v>12</v>
      </c>
      <c r="AY34" s="280">
        <f t="shared" si="49"/>
        <v>12</v>
      </c>
      <c r="AZ34" s="280">
        <f t="shared" si="49"/>
        <v>12</v>
      </c>
      <c r="BA34" s="280">
        <f t="shared" si="49"/>
        <v>12.5</v>
      </c>
      <c r="BB34" s="280">
        <f t="shared" si="49"/>
        <v>12.5</v>
      </c>
      <c r="BC34" s="280">
        <f t="shared" si="49"/>
        <v>12.5</v>
      </c>
      <c r="BD34" s="280">
        <f t="shared" si="49"/>
        <v>12.5</v>
      </c>
      <c r="BE34" s="280">
        <f t="shared" si="49"/>
        <v>13</v>
      </c>
      <c r="BF34" s="280">
        <f t="shared" si="49"/>
        <v>13</v>
      </c>
      <c r="BG34" s="280">
        <f t="shared" si="49"/>
        <v>14</v>
      </c>
      <c r="BH34" s="280">
        <f t="shared" si="49"/>
        <v>14.5</v>
      </c>
      <c r="BI34" s="280">
        <f t="shared" si="49"/>
        <v>15</v>
      </c>
      <c r="BJ34" s="280">
        <f t="shared" si="49"/>
        <v>15.5</v>
      </c>
      <c r="BK34" s="280">
        <f t="shared" si="49"/>
        <v>15.5</v>
      </c>
      <c r="BL34" s="280">
        <f t="shared" si="49"/>
        <v>15</v>
      </c>
      <c r="BM34" s="280">
        <f t="shared" si="49"/>
        <v>15.5</v>
      </c>
      <c r="BN34" s="280">
        <f t="shared" si="49"/>
        <v>16</v>
      </c>
      <c r="BO34" s="280">
        <f t="shared" si="49"/>
        <v>16</v>
      </c>
      <c r="BP34" s="280">
        <f t="shared" si="49"/>
        <v>16</v>
      </c>
      <c r="BQ34" s="280">
        <f t="shared" si="49"/>
        <v>16</v>
      </c>
      <c r="BR34" s="280">
        <f t="shared" si="49"/>
        <v>16.5</v>
      </c>
      <c r="BS34" s="280">
        <f t="shared" si="49"/>
        <v>17.5</v>
      </c>
      <c r="BT34" s="280">
        <f t="shared" si="49"/>
        <v>18.5</v>
      </c>
      <c r="BU34" s="280">
        <f t="shared" si="49"/>
        <v>19</v>
      </c>
      <c r="BV34" s="280">
        <f t="shared" si="49"/>
        <v>19.5</v>
      </c>
      <c r="BW34" s="280">
        <f t="shared" si="49"/>
        <v>19.5</v>
      </c>
      <c r="BX34" s="280">
        <f t="shared" ref="BX34:CK34" si="50">+BX25/2</f>
        <v>19</v>
      </c>
      <c r="BY34" s="280">
        <f t="shared" si="50"/>
        <v>20</v>
      </c>
      <c r="BZ34" s="280">
        <f t="shared" si="50"/>
        <v>20.5</v>
      </c>
      <c r="CA34" s="280">
        <f t="shared" si="50"/>
        <v>20</v>
      </c>
      <c r="CB34" s="280">
        <f t="shared" si="50"/>
        <v>20</v>
      </c>
      <c r="CC34" s="280">
        <f t="shared" si="50"/>
        <v>20.5</v>
      </c>
      <c r="CD34" s="280">
        <f t="shared" si="50"/>
        <v>21</v>
      </c>
      <c r="CE34" s="280">
        <f t="shared" si="50"/>
        <v>22.5</v>
      </c>
      <c r="CF34" s="280">
        <f t="shared" si="50"/>
        <v>23.5</v>
      </c>
      <c r="CG34" s="280">
        <f t="shared" si="50"/>
        <v>24</v>
      </c>
      <c r="CH34" s="280">
        <f t="shared" si="50"/>
        <v>25</v>
      </c>
      <c r="CI34" s="280">
        <f t="shared" si="50"/>
        <v>24.5</v>
      </c>
      <c r="CJ34" s="280">
        <f t="shared" si="50"/>
        <v>24.5</v>
      </c>
      <c r="CK34" s="280">
        <f t="shared" si="50"/>
        <v>25</v>
      </c>
    </row>
    <row r="35" spans="3:89" x14ac:dyDescent="0.3">
      <c r="D35" s="277" t="s">
        <v>349</v>
      </c>
      <c r="E35" s="3"/>
      <c r="F35" s="281">
        <f t="shared" ref="F35:AK35" si="51">SUM(F33:F34)</f>
        <v>0</v>
      </c>
      <c r="G35" s="281">
        <f t="shared" si="51"/>
        <v>0</v>
      </c>
      <c r="H35" s="281">
        <f t="shared" si="51"/>
        <v>0</v>
      </c>
      <c r="I35" s="281">
        <f t="shared" si="51"/>
        <v>0</v>
      </c>
      <c r="J35" s="281">
        <f t="shared" si="51"/>
        <v>3</v>
      </c>
      <c r="K35" s="281">
        <f t="shared" si="51"/>
        <v>3</v>
      </c>
      <c r="L35" s="281">
        <f t="shared" si="51"/>
        <v>7</v>
      </c>
      <c r="M35" s="281">
        <f t="shared" si="51"/>
        <v>11</v>
      </c>
      <c r="N35" s="514">
        <f t="shared" si="51"/>
        <v>8</v>
      </c>
      <c r="O35" s="507">
        <f t="shared" si="51"/>
        <v>7</v>
      </c>
      <c r="P35" s="281">
        <f t="shared" si="51"/>
        <v>12</v>
      </c>
      <c r="Q35" s="281">
        <f t="shared" si="51"/>
        <v>12</v>
      </c>
      <c r="R35" s="281">
        <f t="shared" si="51"/>
        <v>12</v>
      </c>
      <c r="S35" s="281">
        <f t="shared" si="51"/>
        <v>12</v>
      </c>
      <c r="T35" s="281">
        <f t="shared" si="51"/>
        <v>12</v>
      </c>
      <c r="U35" s="281">
        <f t="shared" si="51"/>
        <v>12</v>
      </c>
      <c r="V35" s="281">
        <f t="shared" si="51"/>
        <v>13</v>
      </c>
      <c r="W35" s="281">
        <f t="shared" si="51"/>
        <v>13</v>
      </c>
      <c r="X35" s="281">
        <f t="shared" si="51"/>
        <v>14</v>
      </c>
      <c r="Y35" s="281">
        <f t="shared" si="51"/>
        <v>15</v>
      </c>
      <c r="Z35" s="281">
        <f t="shared" si="51"/>
        <v>15</v>
      </c>
      <c r="AA35" s="281">
        <f t="shared" si="51"/>
        <v>15</v>
      </c>
      <c r="AB35" s="281">
        <f t="shared" si="51"/>
        <v>15</v>
      </c>
      <c r="AC35" s="281">
        <f t="shared" si="51"/>
        <v>15</v>
      </c>
      <c r="AD35" s="281">
        <f t="shared" si="51"/>
        <v>16</v>
      </c>
      <c r="AE35" s="281">
        <f t="shared" si="51"/>
        <v>15</v>
      </c>
      <c r="AF35" s="281">
        <f t="shared" si="51"/>
        <v>15</v>
      </c>
      <c r="AG35" s="281">
        <f t="shared" si="51"/>
        <v>16</v>
      </c>
      <c r="AH35" s="281">
        <f t="shared" si="51"/>
        <v>16</v>
      </c>
      <c r="AI35" s="281">
        <f t="shared" si="51"/>
        <v>17</v>
      </c>
      <c r="AJ35" s="281">
        <f t="shared" si="51"/>
        <v>18</v>
      </c>
      <c r="AK35" s="281">
        <f t="shared" si="51"/>
        <v>19</v>
      </c>
      <c r="AL35" s="281">
        <f t="shared" ref="AL35:BQ35" si="52">SUM(AL33:AL34)</f>
        <v>19</v>
      </c>
      <c r="AM35" s="281">
        <f t="shared" si="52"/>
        <v>19</v>
      </c>
      <c r="AN35" s="281">
        <f t="shared" si="52"/>
        <v>19</v>
      </c>
      <c r="AO35" s="281">
        <f t="shared" si="52"/>
        <v>19</v>
      </c>
      <c r="AP35" s="281">
        <f t="shared" si="52"/>
        <v>20</v>
      </c>
      <c r="AQ35" s="281">
        <f t="shared" si="52"/>
        <v>20</v>
      </c>
      <c r="AR35" s="281">
        <f t="shared" si="52"/>
        <v>20</v>
      </c>
      <c r="AS35" s="281">
        <f t="shared" si="52"/>
        <v>20</v>
      </c>
      <c r="AT35" s="281">
        <f t="shared" si="52"/>
        <v>21</v>
      </c>
      <c r="AU35" s="281">
        <f t="shared" si="52"/>
        <v>22</v>
      </c>
      <c r="AV35" s="281">
        <f t="shared" si="52"/>
        <v>23</v>
      </c>
      <c r="AW35" s="281">
        <f t="shared" si="52"/>
        <v>24</v>
      </c>
      <c r="AX35" s="281">
        <f t="shared" si="52"/>
        <v>24</v>
      </c>
      <c r="AY35" s="281">
        <f t="shared" si="52"/>
        <v>24</v>
      </c>
      <c r="AZ35" s="281">
        <f t="shared" si="52"/>
        <v>24</v>
      </c>
      <c r="BA35" s="281">
        <f t="shared" si="52"/>
        <v>25</v>
      </c>
      <c r="BB35" s="281">
        <f t="shared" si="52"/>
        <v>25</v>
      </c>
      <c r="BC35" s="281">
        <f t="shared" si="52"/>
        <v>25</v>
      </c>
      <c r="BD35" s="281">
        <f t="shared" si="52"/>
        <v>25</v>
      </c>
      <c r="BE35" s="281">
        <f t="shared" si="52"/>
        <v>26</v>
      </c>
      <c r="BF35" s="281">
        <f t="shared" si="52"/>
        <v>26</v>
      </c>
      <c r="BG35" s="281">
        <f t="shared" si="52"/>
        <v>28</v>
      </c>
      <c r="BH35" s="281">
        <f t="shared" si="52"/>
        <v>29</v>
      </c>
      <c r="BI35" s="281">
        <f t="shared" si="52"/>
        <v>30</v>
      </c>
      <c r="BJ35" s="281">
        <f t="shared" si="52"/>
        <v>31</v>
      </c>
      <c r="BK35" s="281">
        <f t="shared" si="52"/>
        <v>31</v>
      </c>
      <c r="BL35" s="281">
        <f t="shared" si="52"/>
        <v>30</v>
      </c>
      <c r="BM35" s="281">
        <f t="shared" si="52"/>
        <v>31</v>
      </c>
      <c r="BN35" s="281">
        <f t="shared" si="52"/>
        <v>32</v>
      </c>
      <c r="BO35" s="281">
        <f t="shared" si="52"/>
        <v>32</v>
      </c>
      <c r="BP35" s="281">
        <f t="shared" si="52"/>
        <v>32</v>
      </c>
      <c r="BQ35" s="281">
        <f t="shared" si="52"/>
        <v>32</v>
      </c>
      <c r="BR35" s="281">
        <f t="shared" ref="BR35:CK35" si="53">SUM(BR33:BR34)</f>
        <v>33</v>
      </c>
      <c r="BS35" s="281">
        <f t="shared" si="53"/>
        <v>35</v>
      </c>
      <c r="BT35" s="281">
        <f t="shared" si="53"/>
        <v>37</v>
      </c>
      <c r="BU35" s="281">
        <f t="shared" si="53"/>
        <v>38</v>
      </c>
      <c r="BV35" s="281">
        <f t="shared" si="53"/>
        <v>39</v>
      </c>
      <c r="BW35" s="281">
        <f t="shared" si="53"/>
        <v>39</v>
      </c>
      <c r="BX35" s="281">
        <f t="shared" si="53"/>
        <v>38</v>
      </c>
      <c r="BY35" s="281">
        <f t="shared" si="53"/>
        <v>40</v>
      </c>
      <c r="BZ35" s="281">
        <f t="shared" si="53"/>
        <v>41</v>
      </c>
      <c r="CA35" s="281">
        <f t="shared" si="53"/>
        <v>40</v>
      </c>
      <c r="CB35" s="281">
        <f t="shared" si="53"/>
        <v>40</v>
      </c>
      <c r="CC35" s="281">
        <f t="shared" si="53"/>
        <v>41</v>
      </c>
      <c r="CD35" s="281">
        <f t="shared" si="53"/>
        <v>42</v>
      </c>
      <c r="CE35" s="281">
        <f t="shared" si="53"/>
        <v>45</v>
      </c>
      <c r="CF35" s="281">
        <f t="shared" si="53"/>
        <v>47</v>
      </c>
      <c r="CG35" s="281">
        <f t="shared" si="53"/>
        <v>48</v>
      </c>
      <c r="CH35" s="281">
        <f t="shared" si="53"/>
        <v>50</v>
      </c>
      <c r="CI35" s="281">
        <f t="shared" si="53"/>
        <v>49</v>
      </c>
      <c r="CJ35" s="281">
        <f t="shared" si="53"/>
        <v>49</v>
      </c>
      <c r="CK35" s="281">
        <f t="shared" si="53"/>
        <v>50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8" bestFit="1" customWidth="1"/>
    <col min="2" max="2" width="7.44140625" style="38" bestFit="1" customWidth="1"/>
    <col min="3" max="3" width="8.44140625" style="38" bestFit="1" customWidth="1"/>
    <col min="4" max="4" width="12.88671875" style="38" bestFit="1" customWidth="1"/>
    <col min="5" max="5" width="7.33203125" style="38" bestFit="1" customWidth="1"/>
    <col min="6" max="6" width="31.5546875" style="38" bestFit="1" customWidth="1"/>
    <col min="7" max="7" width="21" style="38" bestFit="1" customWidth="1"/>
    <col min="8" max="8" width="43.33203125" style="38" bestFit="1" customWidth="1"/>
    <col min="9" max="9" width="7" style="38" bestFit="1" customWidth="1"/>
    <col min="10" max="10" width="106.109375" style="38" bestFit="1" customWidth="1"/>
    <col min="11" max="11" width="8.5546875" style="38" bestFit="1" customWidth="1"/>
    <col min="12" max="13" width="9.109375" style="38"/>
    <col min="14" max="14" width="39.109375" style="38" bestFit="1" customWidth="1"/>
    <col min="15" max="15" width="17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4" x14ac:dyDescent="0.3">
      <c r="A1" s="38" t="s">
        <v>55</v>
      </c>
      <c r="B1" s="38" t="s">
        <v>56</v>
      </c>
      <c r="C1" s="38" t="s">
        <v>57</v>
      </c>
      <c r="D1" s="38" t="s">
        <v>58</v>
      </c>
      <c r="E1" s="38" t="s">
        <v>59</v>
      </c>
      <c r="F1" s="38" t="s">
        <v>60</v>
      </c>
      <c r="G1" s="38" t="s">
        <v>61</v>
      </c>
      <c r="H1" s="38" t="s">
        <v>62</v>
      </c>
      <c r="I1" s="38" t="s">
        <v>63</v>
      </c>
      <c r="J1" s="39" t="s">
        <v>64</v>
      </c>
      <c r="K1" s="38" t="s">
        <v>65</v>
      </c>
    </row>
    <row r="2" spans="1:14" x14ac:dyDescent="0.3">
      <c r="A2" s="40" t="s">
        <v>66</v>
      </c>
      <c r="B2" s="41">
        <v>44836</v>
      </c>
      <c r="C2" s="40">
        <v>1</v>
      </c>
      <c r="D2" s="40">
        <v>50</v>
      </c>
      <c r="E2" s="40">
        <v>50</v>
      </c>
      <c r="F2" s="40" t="s">
        <v>67</v>
      </c>
      <c r="G2" s="40" t="s">
        <v>67</v>
      </c>
      <c r="H2" s="40" t="s">
        <v>68</v>
      </c>
      <c r="I2" s="40" t="s">
        <v>69</v>
      </c>
      <c r="J2" s="42" t="s">
        <v>69</v>
      </c>
      <c r="K2" s="40">
        <v>50</v>
      </c>
      <c r="N2" s="38" t="s">
        <v>70</v>
      </c>
    </row>
    <row r="3" spans="1:14" x14ac:dyDescent="0.3">
      <c r="A3" s="40" t="s">
        <v>66</v>
      </c>
      <c r="B3" s="41">
        <v>44846</v>
      </c>
      <c r="C3" s="40">
        <v>2</v>
      </c>
      <c r="D3" s="40">
        <v>50</v>
      </c>
      <c r="E3" s="40">
        <v>100</v>
      </c>
      <c r="F3" s="40" t="s">
        <v>67</v>
      </c>
      <c r="G3" s="40" t="s">
        <v>67</v>
      </c>
      <c r="H3" s="40" t="s">
        <v>71</v>
      </c>
      <c r="I3" s="40" t="s">
        <v>69</v>
      </c>
      <c r="J3" s="40" t="s">
        <v>72</v>
      </c>
      <c r="K3" s="40">
        <v>100</v>
      </c>
    </row>
    <row r="4" spans="1:14" x14ac:dyDescent="0.3">
      <c r="A4" s="40" t="s">
        <v>66</v>
      </c>
      <c r="B4" s="41">
        <v>44858</v>
      </c>
      <c r="C4" s="40">
        <v>1</v>
      </c>
      <c r="D4" s="40">
        <v>50</v>
      </c>
      <c r="E4" s="40">
        <v>50</v>
      </c>
      <c r="F4" s="40" t="s">
        <v>67</v>
      </c>
      <c r="G4" s="40" t="s">
        <v>67</v>
      </c>
      <c r="H4" s="40" t="s">
        <v>73</v>
      </c>
      <c r="I4" s="40" t="s">
        <v>69</v>
      </c>
      <c r="J4" s="40" t="s">
        <v>72</v>
      </c>
      <c r="K4" s="40">
        <v>50</v>
      </c>
    </row>
    <row r="5" spans="1:14" x14ac:dyDescent="0.3">
      <c r="A5" s="40" t="s">
        <v>66</v>
      </c>
      <c r="B5" s="41">
        <v>44859</v>
      </c>
      <c r="C5" s="40">
        <v>0.75</v>
      </c>
      <c r="D5" s="40">
        <v>50</v>
      </c>
      <c r="E5" s="40">
        <v>37.5</v>
      </c>
      <c r="F5" s="40" t="s">
        <v>67</v>
      </c>
      <c r="G5" s="40" t="s">
        <v>67</v>
      </c>
      <c r="H5" s="40" t="s">
        <v>74</v>
      </c>
      <c r="I5" s="40" t="s">
        <v>69</v>
      </c>
      <c r="J5" s="40" t="s">
        <v>72</v>
      </c>
      <c r="K5" s="40">
        <v>37.5</v>
      </c>
    </row>
    <row r="6" spans="1:14" x14ac:dyDescent="0.3">
      <c r="A6" s="40" t="s">
        <v>66</v>
      </c>
      <c r="B6" s="41">
        <v>44861</v>
      </c>
      <c r="C6" s="40">
        <v>1</v>
      </c>
      <c r="D6" s="40">
        <v>50</v>
      </c>
      <c r="E6" s="40">
        <v>50</v>
      </c>
      <c r="F6" s="40" t="s">
        <v>67</v>
      </c>
      <c r="G6" s="40" t="s">
        <v>67</v>
      </c>
      <c r="H6" s="40" t="s">
        <v>75</v>
      </c>
      <c r="I6" s="40" t="s">
        <v>69</v>
      </c>
      <c r="J6" s="40" t="s">
        <v>72</v>
      </c>
      <c r="K6" s="40">
        <v>50</v>
      </c>
    </row>
    <row r="7" spans="1:14" x14ac:dyDescent="0.3">
      <c r="A7" s="40" t="s">
        <v>76</v>
      </c>
      <c r="B7" s="41">
        <v>44849</v>
      </c>
      <c r="C7" s="40">
        <v>1</v>
      </c>
      <c r="D7" s="40">
        <v>60</v>
      </c>
      <c r="E7" s="40">
        <v>60</v>
      </c>
      <c r="F7" s="40" t="s">
        <v>67</v>
      </c>
      <c r="G7" s="40" t="s">
        <v>67</v>
      </c>
      <c r="H7" s="40" t="s">
        <v>77</v>
      </c>
      <c r="I7" s="40" t="s">
        <v>69</v>
      </c>
      <c r="J7" s="40" t="s">
        <v>72</v>
      </c>
      <c r="K7" s="40">
        <v>60</v>
      </c>
    </row>
    <row r="8" spans="1:14" x14ac:dyDescent="0.3">
      <c r="A8" s="40" t="s">
        <v>78</v>
      </c>
      <c r="B8" s="41">
        <v>44852</v>
      </c>
      <c r="C8" s="40">
        <v>3.5</v>
      </c>
      <c r="D8" s="40">
        <v>50</v>
      </c>
      <c r="E8" s="40">
        <v>175</v>
      </c>
      <c r="F8" s="40" t="s">
        <v>67</v>
      </c>
      <c r="G8" s="40" t="s">
        <v>67</v>
      </c>
      <c r="H8" s="40" t="s">
        <v>79</v>
      </c>
      <c r="I8" s="40" t="s">
        <v>67</v>
      </c>
      <c r="J8" s="40" t="s">
        <v>80</v>
      </c>
      <c r="K8" s="40">
        <v>200</v>
      </c>
    </row>
    <row r="9" spans="1:14" x14ac:dyDescent="0.3">
      <c r="A9" s="40" t="s">
        <v>78</v>
      </c>
      <c r="B9" s="41">
        <v>44857</v>
      </c>
      <c r="C9" s="40">
        <v>1</v>
      </c>
      <c r="D9" s="40">
        <v>50</v>
      </c>
      <c r="E9" s="40">
        <v>50</v>
      </c>
      <c r="F9" s="40" t="s">
        <v>67</v>
      </c>
      <c r="G9" s="40" t="s">
        <v>67</v>
      </c>
      <c r="H9" s="40" t="s">
        <v>81</v>
      </c>
      <c r="I9" s="40" t="s">
        <v>69</v>
      </c>
      <c r="J9" s="40" t="s">
        <v>82</v>
      </c>
      <c r="K9" s="40">
        <v>50</v>
      </c>
    </row>
    <row r="10" spans="1:14" x14ac:dyDescent="0.3">
      <c r="A10" s="40" t="s">
        <v>83</v>
      </c>
      <c r="B10" s="41">
        <v>44837</v>
      </c>
      <c r="C10" s="40">
        <v>1</v>
      </c>
      <c r="D10" s="40">
        <v>50</v>
      </c>
      <c r="E10" s="40">
        <v>50</v>
      </c>
      <c r="F10" s="40" t="s">
        <v>67</v>
      </c>
      <c r="G10" s="40" t="s">
        <v>67</v>
      </c>
      <c r="H10" s="40" t="s">
        <v>84</v>
      </c>
      <c r="I10" s="40" t="s">
        <v>69</v>
      </c>
      <c r="J10" s="40" t="s">
        <v>72</v>
      </c>
      <c r="K10" s="40">
        <v>50</v>
      </c>
    </row>
    <row r="11" spans="1:14" x14ac:dyDescent="0.3">
      <c r="A11" s="40" t="s">
        <v>85</v>
      </c>
      <c r="B11" s="41">
        <v>44842</v>
      </c>
      <c r="C11" s="40">
        <v>1</v>
      </c>
      <c r="D11" s="40">
        <v>60</v>
      </c>
      <c r="E11" s="40">
        <v>60</v>
      </c>
      <c r="F11" s="40" t="s">
        <v>67</v>
      </c>
      <c r="G11" s="40" t="s">
        <v>67</v>
      </c>
      <c r="H11" s="40" t="s">
        <v>86</v>
      </c>
      <c r="I11" s="40" t="s">
        <v>69</v>
      </c>
      <c r="J11" s="40" t="s">
        <v>72</v>
      </c>
      <c r="K11" s="40">
        <v>60</v>
      </c>
    </row>
    <row r="12" spans="1:14" x14ac:dyDescent="0.3">
      <c r="A12" s="40" t="s">
        <v>85</v>
      </c>
      <c r="B12" s="41">
        <v>44846</v>
      </c>
      <c r="C12" s="40">
        <v>1</v>
      </c>
      <c r="D12" s="40">
        <v>60</v>
      </c>
      <c r="E12" s="40">
        <v>60</v>
      </c>
      <c r="F12" s="40" t="s">
        <v>67</v>
      </c>
      <c r="G12" s="40" t="s">
        <v>67</v>
      </c>
      <c r="H12" s="40" t="s">
        <v>86</v>
      </c>
      <c r="I12" s="40" t="s">
        <v>69</v>
      </c>
      <c r="J12" s="40" t="s">
        <v>72</v>
      </c>
      <c r="K12" s="40">
        <v>60</v>
      </c>
    </row>
    <row r="13" spans="1:14" x14ac:dyDescent="0.3">
      <c r="A13" s="40" t="s">
        <v>85</v>
      </c>
      <c r="B13" s="41">
        <v>44853</v>
      </c>
      <c r="C13" s="40">
        <v>1.25</v>
      </c>
      <c r="D13" s="40">
        <v>60</v>
      </c>
      <c r="E13" s="40">
        <v>75</v>
      </c>
      <c r="F13" s="40" t="s">
        <v>67</v>
      </c>
      <c r="G13" s="40" t="s">
        <v>67</v>
      </c>
      <c r="H13" s="40" t="s">
        <v>87</v>
      </c>
      <c r="I13" s="40" t="s">
        <v>69</v>
      </c>
      <c r="J13" s="40" t="s">
        <v>72</v>
      </c>
      <c r="K13" s="40">
        <v>75</v>
      </c>
    </row>
    <row r="14" spans="1:14" x14ac:dyDescent="0.3">
      <c r="A14" s="40" t="s">
        <v>88</v>
      </c>
      <c r="B14" s="41">
        <v>44856</v>
      </c>
      <c r="C14" s="40">
        <v>1</v>
      </c>
      <c r="D14" s="40">
        <v>60</v>
      </c>
      <c r="E14" s="40">
        <v>60</v>
      </c>
      <c r="F14" s="40" t="s">
        <v>67</v>
      </c>
      <c r="G14" s="40" t="s">
        <v>67</v>
      </c>
      <c r="H14" s="40" t="s">
        <v>86</v>
      </c>
      <c r="I14" s="40" t="s">
        <v>69</v>
      </c>
      <c r="J14" s="40" t="s">
        <v>72</v>
      </c>
      <c r="K14" s="40">
        <v>60</v>
      </c>
      <c r="N14" s="38" t="s">
        <v>89</v>
      </c>
    </row>
    <row r="15" spans="1:14" x14ac:dyDescent="0.3">
      <c r="A15" s="40" t="s">
        <v>90</v>
      </c>
      <c r="B15" s="41">
        <v>44845</v>
      </c>
      <c r="C15" s="40">
        <v>1</v>
      </c>
      <c r="D15" s="40">
        <v>50</v>
      </c>
      <c r="E15" s="40">
        <v>50</v>
      </c>
      <c r="F15" s="40" t="s">
        <v>67</v>
      </c>
      <c r="G15" s="40" t="s">
        <v>67</v>
      </c>
      <c r="H15" s="40" t="s">
        <v>91</v>
      </c>
      <c r="I15" s="40" t="s">
        <v>69</v>
      </c>
      <c r="J15" s="40" t="s">
        <v>72</v>
      </c>
      <c r="K15" s="40">
        <v>50</v>
      </c>
    </row>
    <row r="16" spans="1:14" x14ac:dyDescent="0.3">
      <c r="A16" s="40" t="s">
        <v>90</v>
      </c>
      <c r="B16" s="41">
        <v>44851</v>
      </c>
      <c r="C16" s="40">
        <v>1.5</v>
      </c>
      <c r="D16" s="40">
        <v>50</v>
      </c>
      <c r="E16" s="40">
        <v>75</v>
      </c>
      <c r="F16" s="40" t="s">
        <v>67</v>
      </c>
      <c r="G16" s="40" t="s">
        <v>67</v>
      </c>
      <c r="H16" s="40" t="s">
        <v>92</v>
      </c>
      <c r="I16" s="40" t="s">
        <v>69</v>
      </c>
      <c r="J16" s="40" t="s">
        <v>72</v>
      </c>
      <c r="K16" s="40">
        <v>75</v>
      </c>
    </row>
    <row r="17" spans="1:17" x14ac:dyDescent="0.3">
      <c r="A17" s="40" t="s">
        <v>93</v>
      </c>
      <c r="B17" s="41">
        <v>44851</v>
      </c>
      <c r="C17" s="40">
        <v>1.5</v>
      </c>
      <c r="D17" s="40">
        <v>50</v>
      </c>
      <c r="E17" s="40">
        <v>75</v>
      </c>
      <c r="F17" s="40" t="s">
        <v>67</v>
      </c>
      <c r="G17" s="40" t="s">
        <v>67</v>
      </c>
      <c r="H17" s="40" t="s">
        <v>94</v>
      </c>
      <c r="I17" s="40" t="s">
        <v>69</v>
      </c>
      <c r="J17" s="40" t="s">
        <v>72</v>
      </c>
      <c r="K17" s="40">
        <v>75</v>
      </c>
    </row>
    <row r="18" spans="1:17" x14ac:dyDescent="0.3">
      <c r="A18" s="40" t="s">
        <v>93</v>
      </c>
      <c r="B18" s="41">
        <v>44857</v>
      </c>
      <c r="C18" s="40">
        <v>1.5</v>
      </c>
      <c r="D18" s="40">
        <v>50</v>
      </c>
      <c r="E18" s="40">
        <v>75</v>
      </c>
      <c r="F18" s="40" t="s">
        <v>67</v>
      </c>
      <c r="G18" s="40" t="s">
        <v>67</v>
      </c>
      <c r="H18" s="40" t="s">
        <v>94</v>
      </c>
      <c r="I18" s="40" t="s">
        <v>69</v>
      </c>
      <c r="J18" s="40" t="s">
        <v>72</v>
      </c>
      <c r="K18" s="40">
        <v>75</v>
      </c>
      <c r="O18" s="48" t="s">
        <v>136</v>
      </c>
      <c r="P18" t="s">
        <v>138</v>
      </c>
      <c r="Q18" t="s">
        <v>139</v>
      </c>
    </row>
    <row r="19" spans="1:17" x14ac:dyDescent="0.3">
      <c r="A19" s="40" t="s">
        <v>95</v>
      </c>
      <c r="B19" s="41">
        <v>44836</v>
      </c>
      <c r="C19" s="40">
        <v>1.5</v>
      </c>
      <c r="D19" s="40">
        <v>50</v>
      </c>
      <c r="E19" s="40">
        <v>75</v>
      </c>
      <c r="F19" s="40" t="s">
        <v>67</v>
      </c>
      <c r="G19" s="40" t="s">
        <v>67</v>
      </c>
      <c r="H19" s="40" t="s">
        <v>96</v>
      </c>
      <c r="I19" s="40" t="s">
        <v>69</v>
      </c>
      <c r="J19" s="42" t="s">
        <v>69</v>
      </c>
      <c r="K19" s="40">
        <v>75</v>
      </c>
      <c r="O19" s="49" t="s">
        <v>66</v>
      </c>
      <c r="P19">
        <v>5.75</v>
      </c>
      <c r="Q19">
        <v>287.5</v>
      </c>
    </row>
    <row r="20" spans="1:17" x14ac:dyDescent="0.3">
      <c r="A20" s="40" t="s">
        <v>97</v>
      </c>
      <c r="B20" s="41">
        <v>44836</v>
      </c>
      <c r="C20" s="40">
        <v>2</v>
      </c>
      <c r="D20" s="40">
        <v>50</v>
      </c>
      <c r="E20" s="40">
        <v>100</v>
      </c>
      <c r="F20" s="40" t="s">
        <v>67</v>
      </c>
      <c r="G20" s="40" t="s">
        <v>67</v>
      </c>
      <c r="H20" s="40" t="s">
        <v>98</v>
      </c>
      <c r="I20" s="40" t="s">
        <v>69</v>
      </c>
      <c r="J20" s="42" t="s">
        <v>69</v>
      </c>
      <c r="K20" s="40">
        <v>100</v>
      </c>
      <c r="O20" s="49" t="s">
        <v>76</v>
      </c>
      <c r="P20">
        <v>1</v>
      </c>
      <c r="Q20">
        <v>60</v>
      </c>
    </row>
    <row r="21" spans="1:17" ht="14.25" customHeight="1" x14ac:dyDescent="0.3">
      <c r="A21" s="40" t="s">
        <v>97</v>
      </c>
      <c r="B21" s="41">
        <v>44854</v>
      </c>
      <c r="C21" s="40">
        <v>1.5</v>
      </c>
      <c r="D21" s="40">
        <v>50</v>
      </c>
      <c r="E21" s="40">
        <v>75</v>
      </c>
      <c r="F21" s="40" t="s">
        <v>67</v>
      </c>
      <c r="G21" s="40" t="s">
        <v>67</v>
      </c>
      <c r="H21" s="40" t="s">
        <v>98</v>
      </c>
      <c r="I21" s="40" t="s">
        <v>69</v>
      </c>
      <c r="J21" s="40" t="s">
        <v>99</v>
      </c>
      <c r="K21" s="40">
        <v>75</v>
      </c>
      <c r="O21" s="49" t="s">
        <v>78</v>
      </c>
      <c r="P21">
        <v>4.5</v>
      </c>
      <c r="Q21">
        <v>225</v>
      </c>
    </row>
    <row r="22" spans="1:17" x14ac:dyDescent="0.3">
      <c r="A22" s="40" t="s">
        <v>100</v>
      </c>
      <c r="B22" s="41">
        <v>44847</v>
      </c>
      <c r="C22" s="40">
        <v>2</v>
      </c>
      <c r="D22" s="40">
        <v>50</v>
      </c>
      <c r="E22" s="40">
        <v>100</v>
      </c>
      <c r="F22" s="40" t="s">
        <v>67</v>
      </c>
      <c r="G22" s="40" t="s">
        <v>67</v>
      </c>
      <c r="H22" s="40" t="s">
        <v>101</v>
      </c>
      <c r="I22" s="40" t="s">
        <v>69</v>
      </c>
      <c r="J22" s="40" t="s">
        <v>72</v>
      </c>
      <c r="K22" s="40">
        <v>100</v>
      </c>
      <c r="O22" s="49" t="s">
        <v>83</v>
      </c>
      <c r="P22">
        <v>1</v>
      </c>
      <c r="Q22">
        <v>50</v>
      </c>
    </row>
    <row r="23" spans="1:17" x14ac:dyDescent="0.3">
      <c r="A23" s="40" t="s">
        <v>102</v>
      </c>
      <c r="B23" s="41">
        <v>44856</v>
      </c>
      <c r="C23" s="40">
        <v>0.5</v>
      </c>
      <c r="D23" s="40">
        <v>60</v>
      </c>
      <c r="E23" s="40">
        <v>30</v>
      </c>
      <c r="F23" s="40" t="s">
        <v>67</v>
      </c>
      <c r="G23" s="40" t="s">
        <v>67</v>
      </c>
      <c r="H23" s="40" t="s">
        <v>103</v>
      </c>
      <c r="I23" s="40" t="s">
        <v>69</v>
      </c>
      <c r="J23" s="40" t="s">
        <v>72</v>
      </c>
      <c r="K23" s="40">
        <v>30</v>
      </c>
      <c r="O23" s="49" t="s">
        <v>85</v>
      </c>
      <c r="P23">
        <v>3.25</v>
      </c>
      <c r="Q23">
        <v>195</v>
      </c>
    </row>
    <row r="24" spans="1:17" x14ac:dyDescent="0.3">
      <c r="A24" s="40" t="s">
        <v>104</v>
      </c>
      <c r="B24" s="41">
        <v>44857</v>
      </c>
      <c r="C24" s="40">
        <v>2</v>
      </c>
      <c r="D24" s="40">
        <v>50</v>
      </c>
      <c r="E24" s="40">
        <v>100</v>
      </c>
      <c r="F24" s="40" t="s">
        <v>67</v>
      </c>
      <c r="G24" s="40" t="s">
        <v>67</v>
      </c>
      <c r="H24" s="40" t="s">
        <v>105</v>
      </c>
      <c r="I24" s="40" t="s">
        <v>69</v>
      </c>
      <c r="J24" s="40" t="s">
        <v>72</v>
      </c>
      <c r="K24" s="40">
        <v>100</v>
      </c>
      <c r="O24" s="49" t="s">
        <v>88</v>
      </c>
      <c r="P24">
        <v>1</v>
      </c>
      <c r="Q24">
        <v>60</v>
      </c>
    </row>
    <row r="25" spans="1:17" x14ac:dyDescent="0.3">
      <c r="A25" s="40" t="s">
        <v>104</v>
      </c>
      <c r="B25" s="41">
        <v>44863</v>
      </c>
      <c r="C25" s="40">
        <v>1</v>
      </c>
      <c r="D25" s="40">
        <v>50</v>
      </c>
      <c r="E25" s="40">
        <v>50</v>
      </c>
      <c r="F25" s="40" t="s">
        <v>67</v>
      </c>
      <c r="G25" s="40" t="s">
        <v>67</v>
      </c>
      <c r="H25" s="40" t="s">
        <v>106</v>
      </c>
      <c r="I25" s="40" t="s">
        <v>69</v>
      </c>
      <c r="J25" s="40" t="s">
        <v>72</v>
      </c>
      <c r="K25" s="40">
        <v>50</v>
      </c>
      <c r="O25" s="49" t="s">
        <v>90</v>
      </c>
      <c r="P25">
        <v>2.5</v>
      </c>
      <c r="Q25">
        <v>125</v>
      </c>
    </row>
    <row r="26" spans="1:17" x14ac:dyDescent="0.3">
      <c r="A26" s="40" t="s">
        <v>104</v>
      </c>
      <c r="B26" s="41">
        <v>44865</v>
      </c>
      <c r="C26" s="40">
        <v>1</v>
      </c>
      <c r="D26" s="40">
        <v>50</v>
      </c>
      <c r="E26" s="40">
        <v>50</v>
      </c>
      <c r="F26" s="40" t="s">
        <v>67</v>
      </c>
      <c r="G26" s="40" t="s">
        <v>67</v>
      </c>
      <c r="H26" s="40" t="s">
        <v>106</v>
      </c>
      <c r="I26" s="40" t="s">
        <v>69</v>
      </c>
      <c r="J26" s="40" t="s">
        <v>72</v>
      </c>
      <c r="K26" s="40">
        <v>50</v>
      </c>
      <c r="O26" s="49" t="s">
        <v>93</v>
      </c>
      <c r="P26">
        <v>3</v>
      </c>
      <c r="Q26">
        <v>150</v>
      </c>
    </row>
    <row r="27" spans="1:17" x14ac:dyDescent="0.3">
      <c r="A27" s="40" t="s">
        <v>107</v>
      </c>
      <c r="B27" s="41">
        <v>44838</v>
      </c>
      <c r="C27" s="40">
        <v>1</v>
      </c>
      <c r="D27" s="40">
        <v>50</v>
      </c>
      <c r="E27" s="40">
        <v>50</v>
      </c>
      <c r="F27" s="40" t="s">
        <v>67</v>
      </c>
      <c r="G27" s="40" t="s">
        <v>67</v>
      </c>
      <c r="H27" s="40" t="s">
        <v>108</v>
      </c>
      <c r="I27" s="40" t="s">
        <v>69</v>
      </c>
      <c r="J27" s="40" t="s">
        <v>72</v>
      </c>
      <c r="K27" s="40">
        <v>50</v>
      </c>
      <c r="O27" s="49" t="s">
        <v>95</v>
      </c>
      <c r="P27">
        <v>1.5</v>
      </c>
      <c r="Q27">
        <v>75</v>
      </c>
    </row>
    <row r="28" spans="1:17" x14ac:dyDescent="0.3">
      <c r="A28" s="40" t="s">
        <v>107</v>
      </c>
      <c r="B28" s="41">
        <v>44840</v>
      </c>
      <c r="C28" s="40">
        <v>2</v>
      </c>
      <c r="D28" s="40">
        <v>50</v>
      </c>
      <c r="E28" s="40">
        <v>100</v>
      </c>
      <c r="F28" s="40" t="s">
        <v>67</v>
      </c>
      <c r="G28" s="40" t="s">
        <v>67</v>
      </c>
      <c r="H28" s="40" t="s">
        <v>108</v>
      </c>
      <c r="I28" s="40" t="s">
        <v>69</v>
      </c>
      <c r="J28" s="40" t="s">
        <v>72</v>
      </c>
      <c r="K28" s="40">
        <v>100</v>
      </c>
      <c r="O28" s="49" t="s">
        <v>97</v>
      </c>
      <c r="P28">
        <v>3.5</v>
      </c>
      <c r="Q28">
        <v>175</v>
      </c>
    </row>
    <row r="29" spans="1:17" x14ac:dyDescent="0.3">
      <c r="A29" s="40" t="s">
        <v>107</v>
      </c>
      <c r="B29" s="41">
        <v>44851</v>
      </c>
      <c r="C29" s="40">
        <v>1.5</v>
      </c>
      <c r="D29" s="40">
        <v>50</v>
      </c>
      <c r="E29" s="40">
        <v>75</v>
      </c>
      <c r="F29" s="40" t="s">
        <v>67</v>
      </c>
      <c r="G29" s="40" t="s">
        <v>67</v>
      </c>
      <c r="H29" s="40" t="s">
        <v>109</v>
      </c>
      <c r="I29" s="40" t="s">
        <v>69</v>
      </c>
      <c r="J29" s="40" t="s">
        <v>72</v>
      </c>
      <c r="K29" s="40">
        <v>75</v>
      </c>
      <c r="O29" s="49" t="s">
        <v>100</v>
      </c>
      <c r="P29">
        <v>2</v>
      </c>
      <c r="Q29">
        <v>100</v>
      </c>
    </row>
    <row r="30" spans="1:17" x14ac:dyDescent="0.3">
      <c r="A30" s="40" t="s">
        <v>107</v>
      </c>
      <c r="B30" s="41">
        <v>44857</v>
      </c>
      <c r="C30" s="40">
        <v>1</v>
      </c>
      <c r="D30" s="40">
        <v>50</v>
      </c>
      <c r="E30" s="40">
        <v>75</v>
      </c>
      <c r="F30" s="40" t="s">
        <v>67</v>
      </c>
      <c r="G30" s="40" t="s">
        <v>67</v>
      </c>
      <c r="H30" s="40" t="s">
        <v>108</v>
      </c>
      <c r="I30" s="40" t="s">
        <v>69</v>
      </c>
      <c r="J30" s="40" t="s">
        <v>72</v>
      </c>
      <c r="K30" s="40">
        <v>75</v>
      </c>
      <c r="O30" s="49" t="s">
        <v>102</v>
      </c>
      <c r="P30">
        <v>0.5</v>
      </c>
      <c r="Q30">
        <v>30</v>
      </c>
    </row>
    <row r="31" spans="1:17" x14ac:dyDescent="0.3">
      <c r="A31" s="40" t="s">
        <v>107</v>
      </c>
      <c r="B31" s="41">
        <v>44858</v>
      </c>
      <c r="C31" s="40">
        <v>1</v>
      </c>
      <c r="D31" s="40">
        <v>50</v>
      </c>
      <c r="E31" s="40">
        <v>50</v>
      </c>
      <c r="F31" s="40" t="s">
        <v>67</v>
      </c>
      <c r="G31" s="40" t="s">
        <v>67</v>
      </c>
      <c r="H31" s="40" t="s">
        <v>108</v>
      </c>
      <c r="I31" s="40" t="s">
        <v>69</v>
      </c>
      <c r="J31" s="40" t="s">
        <v>72</v>
      </c>
      <c r="K31" s="40">
        <v>50</v>
      </c>
      <c r="O31" s="49" t="s">
        <v>104</v>
      </c>
      <c r="P31">
        <v>4</v>
      </c>
      <c r="Q31">
        <v>200</v>
      </c>
    </row>
    <row r="32" spans="1:17" x14ac:dyDescent="0.3">
      <c r="A32" s="40" t="s">
        <v>107</v>
      </c>
      <c r="B32" s="41">
        <v>44859</v>
      </c>
      <c r="C32" s="40">
        <v>1</v>
      </c>
      <c r="D32" s="40">
        <v>50</v>
      </c>
      <c r="E32" s="40">
        <v>50</v>
      </c>
      <c r="F32" s="40" t="s">
        <v>67</v>
      </c>
      <c r="G32" s="40" t="s">
        <v>67</v>
      </c>
      <c r="H32" s="40" t="s">
        <v>108</v>
      </c>
      <c r="I32" s="40" t="s">
        <v>69</v>
      </c>
      <c r="J32" s="40" t="s">
        <v>72</v>
      </c>
      <c r="K32" s="40">
        <v>50</v>
      </c>
      <c r="O32" s="49" t="s">
        <v>107</v>
      </c>
      <c r="P32">
        <v>8.75</v>
      </c>
      <c r="Q32">
        <v>462.5</v>
      </c>
    </row>
    <row r="33" spans="1:17" x14ac:dyDescent="0.3">
      <c r="A33" s="40" t="s">
        <v>107</v>
      </c>
      <c r="B33" s="41">
        <v>44860</v>
      </c>
      <c r="C33" s="40">
        <v>1.25</v>
      </c>
      <c r="D33" s="40">
        <v>50</v>
      </c>
      <c r="E33" s="40">
        <v>62.5</v>
      </c>
      <c r="F33" s="40" t="s">
        <v>67</v>
      </c>
      <c r="G33" s="40" t="s">
        <v>67</v>
      </c>
      <c r="H33" s="40" t="s">
        <v>108</v>
      </c>
      <c r="I33" s="40" t="s">
        <v>69</v>
      </c>
      <c r="J33" s="40" t="s">
        <v>72</v>
      </c>
      <c r="K33" s="40">
        <v>62.5</v>
      </c>
      <c r="O33" s="49" t="s">
        <v>110</v>
      </c>
      <c r="P33">
        <v>1.5</v>
      </c>
      <c r="Q33">
        <v>75</v>
      </c>
    </row>
    <row r="34" spans="1:17" x14ac:dyDescent="0.3">
      <c r="A34" s="40" t="s">
        <v>110</v>
      </c>
      <c r="B34" s="41">
        <v>44846</v>
      </c>
      <c r="C34" s="40">
        <v>1.5</v>
      </c>
      <c r="D34" s="40">
        <v>50</v>
      </c>
      <c r="E34" s="40">
        <v>75</v>
      </c>
      <c r="F34" s="40" t="s">
        <v>67</v>
      </c>
      <c r="G34" s="40" t="s">
        <v>67</v>
      </c>
      <c r="H34" s="40" t="s">
        <v>111</v>
      </c>
      <c r="I34" s="40" t="s">
        <v>69</v>
      </c>
      <c r="J34" s="40" t="s">
        <v>72</v>
      </c>
      <c r="K34" s="40">
        <v>75</v>
      </c>
      <c r="O34" s="49" t="s">
        <v>112</v>
      </c>
      <c r="P34">
        <v>2</v>
      </c>
      <c r="Q34">
        <v>120</v>
      </c>
    </row>
    <row r="35" spans="1:17" x14ac:dyDescent="0.3">
      <c r="A35" s="40" t="s">
        <v>112</v>
      </c>
      <c r="B35" s="41">
        <v>44860</v>
      </c>
      <c r="C35" s="40">
        <v>1</v>
      </c>
      <c r="D35" s="40">
        <v>60</v>
      </c>
      <c r="E35" s="40">
        <v>60</v>
      </c>
      <c r="F35" s="40" t="s">
        <v>113</v>
      </c>
      <c r="G35" s="40" t="s">
        <v>67</v>
      </c>
      <c r="H35" s="40" t="s">
        <v>114</v>
      </c>
      <c r="I35" s="40" t="s">
        <v>69</v>
      </c>
      <c r="J35" s="40" t="s">
        <v>72</v>
      </c>
      <c r="K35" s="40">
        <v>60</v>
      </c>
      <c r="O35" s="49" t="s">
        <v>115</v>
      </c>
      <c r="P35">
        <v>11.5</v>
      </c>
      <c r="Q35">
        <v>450</v>
      </c>
    </row>
    <row r="36" spans="1:17" x14ac:dyDescent="0.3">
      <c r="A36" s="40" t="s">
        <v>112</v>
      </c>
      <c r="B36" s="41">
        <v>44861</v>
      </c>
      <c r="C36" s="40">
        <v>1</v>
      </c>
      <c r="D36" s="40">
        <v>60</v>
      </c>
      <c r="E36" s="40">
        <v>60</v>
      </c>
      <c r="F36" s="40" t="s">
        <v>67</v>
      </c>
      <c r="G36" s="40" t="s">
        <v>67</v>
      </c>
      <c r="H36" s="40" t="s">
        <v>114</v>
      </c>
      <c r="I36" s="40" t="s">
        <v>69</v>
      </c>
      <c r="J36" s="40" t="s">
        <v>72</v>
      </c>
      <c r="K36" s="40">
        <v>60</v>
      </c>
      <c r="O36" s="49" t="s">
        <v>137</v>
      </c>
      <c r="P36">
        <v>57.25</v>
      </c>
      <c r="Q36">
        <v>2840</v>
      </c>
    </row>
    <row r="37" spans="1:17" x14ac:dyDescent="0.3">
      <c r="A37" s="40" t="s">
        <v>115</v>
      </c>
      <c r="B37" s="41">
        <v>44840</v>
      </c>
      <c r="C37" s="40">
        <v>1.5</v>
      </c>
      <c r="D37" s="40">
        <v>50</v>
      </c>
      <c r="E37" s="40">
        <v>75</v>
      </c>
      <c r="F37" s="40" t="s">
        <v>67</v>
      </c>
      <c r="G37" s="40" t="s">
        <v>67</v>
      </c>
      <c r="H37" s="40" t="s">
        <v>116</v>
      </c>
      <c r="I37" s="40" t="s">
        <v>69</v>
      </c>
      <c r="J37" s="40" t="s">
        <v>72</v>
      </c>
      <c r="K37" s="40">
        <v>75</v>
      </c>
    </row>
    <row r="38" spans="1:17" x14ac:dyDescent="0.3">
      <c r="A38" s="40" t="s">
        <v>115</v>
      </c>
      <c r="B38" s="41">
        <v>44855</v>
      </c>
      <c r="C38" s="40">
        <v>2</v>
      </c>
      <c r="D38" s="40">
        <v>50</v>
      </c>
      <c r="E38" s="40">
        <v>100</v>
      </c>
      <c r="F38" s="40" t="s">
        <v>67</v>
      </c>
      <c r="G38" s="40" t="s">
        <v>67</v>
      </c>
      <c r="H38" s="40" t="s">
        <v>101</v>
      </c>
      <c r="I38" s="40" t="s">
        <v>69</v>
      </c>
      <c r="J38" s="40" t="s">
        <v>72</v>
      </c>
      <c r="K38" s="40">
        <v>100</v>
      </c>
    </row>
    <row r="39" spans="1:17" x14ac:dyDescent="0.3">
      <c r="A39" s="40" t="s">
        <v>115</v>
      </c>
      <c r="B39" s="41">
        <v>44857</v>
      </c>
      <c r="C39" s="40">
        <v>0.5</v>
      </c>
      <c r="D39" s="40">
        <v>50</v>
      </c>
      <c r="E39" s="40">
        <v>25</v>
      </c>
      <c r="F39" s="40" t="s">
        <v>69</v>
      </c>
      <c r="G39" s="40" t="s">
        <v>67</v>
      </c>
      <c r="H39" s="40" t="s">
        <v>101</v>
      </c>
      <c r="I39" s="40" t="s">
        <v>69</v>
      </c>
      <c r="J39" s="40" t="s">
        <v>72</v>
      </c>
      <c r="K39" s="40">
        <v>25</v>
      </c>
    </row>
    <row r="40" spans="1:17" x14ac:dyDescent="0.3">
      <c r="A40" s="40" t="s">
        <v>115</v>
      </c>
      <c r="B40" s="41">
        <v>44863</v>
      </c>
      <c r="C40" s="40">
        <v>5</v>
      </c>
      <c r="D40" s="40">
        <v>50</v>
      </c>
      <c r="E40" s="40">
        <v>125</v>
      </c>
      <c r="F40" s="40" t="s">
        <v>67</v>
      </c>
      <c r="G40" s="40" t="s">
        <v>67</v>
      </c>
      <c r="H40" s="40" t="s">
        <v>101</v>
      </c>
      <c r="I40" s="40" t="s">
        <v>69</v>
      </c>
      <c r="J40" s="40" t="s">
        <v>72</v>
      </c>
      <c r="K40" s="40">
        <v>250</v>
      </c>
    </row>
    <row r="41" spans="1:17" x14ac:dyDescent="0.3">
      <c r="A41" s="40" t="s">
        <v>115</v>
      </c>
      <c r="B41" s="41">
        <v>44864</v>
      </c>
      <c r="C41" s="40">
        <v>2.5</v>
      </c>
      <c r="D41" s="40">
        <v>50</v>
      </c>
      <c r="E41" s="40">
        <v>125</v>
      </c>
      <c r="F41" s="40" t="s">
        <v>67</v>
      </c>
      <c r="G41" s="40" t="s">
        <v>67</v>
      </c>
      <c r="H41" s="40" t="s">
        <v>101</v>
      </c>
      <c r="I41" s="40" t="s">
        <v>69</v>
      </c>
      <c r="J41" s="40" t="s">
        <v>117</v>
      </c>
      <c r="K41" s="40">
        <v>125</v>
      </c>
    </row>
    <row r="42" spans="1:17" x14ac:dyDescent="0.3">
      <c r="B42" s="43"/>
    </row>
    <row r="43" spans="1:17" x14ac:dyDescent="0.3">
      <c r="B43" s="43"/>
      <c r="K43" s="38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8" bestFit="1" customWidth="1"/>
    <col min="2" max="2" width="7" style="38" bestFit="1" customWidth="1"/>
    <col min="3" max="3" width="6.109375" style="38" bestFit="1" customWidth="1"/>
    <col min="4" max="4" width="10.5546875" style="38" bestFit="1" customWidth="1"/>
    <col min="5" max="5" width="5" style="38" bestFit="1" customWidth="1"/>
    <col min="6" max="6" width="7.109375" style="38" bestFit="1" customWidth="1"/>
    <col min="7" max="7" width="38.5546875" style="38" bestFit="1" customWidth="1"/>
    <col min="8" max="8" width="27.109375" style="38" bestFit="1" customWidth="1"/>
    <col min="9" max="9" width="4.6640625" style="38" bestFit="1" customWidth="1"/>
    <col min="10" max="10" width="6.33203125" style="38" bestFit="1" customWidth="1"/>
    <col min="11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55</v>
      </c>
      <c r="B1" s="38" t="s">
        <v>56</v>
      </c>
      <c r="C1" s="38" t="s">
        <v>57</v>
      </c>
      <c r="D1" s="38" t="s">
        <v>58</v>
      </c>
      <c r="E1" s="38" t="s">
        <v>59</v>
      </c>
      <c r="F1" s="38" t="s">
        <v>60</v>
      </c>
      <c r="G1" s="38" t="s">
        <v>61</v>
      </c>
      <c r="H1" s="38" t="s">
        <v>62</v>
      </c>
      <c r="I1" s="38" t="s">
        <v>63</v>
      </c>
      <c r="J1" s="38" t="s">
        <v>65</v>
      </c>
    </row>
    <row r="2" spans="1:17" x14ac:dyDescent="0.3">
      <c r="A2" s="44" t="s">
        <v>107</v>
      </c>
      <c r="B2" s="45">
        <v>44822</v>
      </c>
      <c r="C2" s="44">
        <v>1</v>
      </c>
      <c r="D2" s="44">
        <v>50</v>
      </c>
      <c r="E2" s="44">
        <v>50</v>
      </c>
      <c r="F2" s="44" t="s">
        <v>67</v>
      </c>
      <c r="G2" s="44" t="s">
        <v>67</v>
      </c>
      <c r="H2" s="44" t="s">
        <v>118</v>
      </c>
      <c r="I2" s="44" t="s">
        <v>69</v>
      </c>
      <c r="J2" s="44">
        <v>50</v>
      </c>
      <c r="M2" s="38" t="s">
        <v>70</v>
      </c>
    </row>
    <row r="3" spans="1:17" x14ac:dyDescent="0.3">
      <c r="A3" s="44" t="s">
        <v>97</v>
      </c>
      <c r="B3" s="45">
        <v>44822</v>
      </c>
      <c r="C3" s="44">
        <v>2</v>
      </c>
      <c r="D3" s="44">
        <v>50</v>
      </c>
      <c r="E3" s="44">
        <v>100</v>
      </c>
      <c r="F3" s="44" t="s">
        <v>67</v>
      </c>
      <c r="G3" s="44" t="s">
        <v>67</v>
      </c>
      <c r="H3" s="44" t="s">
        <v>101</v>
      </c>
      <c r="I3" s="44" t="s">
        <v>69</v>
      </c>
      <c r="J3" s="44">
        <v>100</v>
      </c>
    </row>
    <row r="4" spans="1:17" x14ac:dyDescent="0.3">
      <c r="A4" s="44" t="s">
        <v>78</v>
      </c>
      <c r="B4" s="45">
        <v>44822</v>
      </c>
      <c r="C4" s="44">
        <v>1.5</v>
      </c>
      <c r="D4" s="44">
        <v>50</v>
      </c>
      <c r="E4" s="44">
        <v>75</v>
      </c>
      <c r="F4" s="44" t="s">
        <v>67</v>
      </c>
      <c r="G4" s="44" t="s">
        <v>67</v>
      </c>
      <c r="H4" s="44" t="s">
        <v>119</v>
      </c>
      <c r="I4" s="44">
        <v>25</v>
      </c>
      <c r="J4" s="44">
        <v>100</v>
      </c>
    </row>
    <row r="5" spans="1:17" x14ac:dyDescent="0.3">
      <c r="A5" s="44" t="s">
        <v>93</v>
      </c>
      <c r="B5" s="45">
        <v>44822</v>
      </c>
      <c r="C5" s="44">
        <v>1.5</v>
      </c>
      <c r="D5" s="44">
        <v>50</v>
      </c>
      <c r="E5" s="44">
        <v>75</v>
      </c>
      <c r="F5" s="44" t="s">
        <v>67</v>
      </c>
      <c r="G5" s="44" t="s">
        <v>67</v>
      </c>
      <c r="H5" s="44" t="s">
        <v>120</v>
      </c>
      <c r="I5" s="44" t="s">
        <v>69</v>
      </c>
      <c r="J5" s="44">
        <v>75</v>
      </c>
    </row>
    <row r="6" spans="1:17" x14ac:dyDescent="0.3">
      <c r="A6" s="44" t="s">
        <v>95</v>
      </c>
      <c r="B6" s="45">
        <v>44822</v>
      </c>
      <c r="C6" s="44">
        <v>1.5</v>
      </c>
      <c r="D6" s="44">
        <v>50</v>
      </c>
      <c r="E6" s="44">
        <v>75</v>
      </c>
      <c r="F6" s="44" t="s">
        <v>67</v>
      </c>
      <c r="G6" s="44" t="s">
        <v>67</v>
      </c>
      <c r="H6" s="44" t="s">
        <v>101</v>
      </c>
      <c r="I6" s="44" t="s">
        <v>69</v>
      </c>
      <c r="J6" s="44">
        <v>75</v>
      </c>
    </row>
    <row r="7" spans="1:17" x14ac:dyDescent="0.3">
      <c r="A7" s="44" t="s">
        <v>66</v>
      </c>
      <c r="B7" s="45">
        <v>44823</v>
      </c>
      <c r="C7" s="44">
        <v>2</v>
      </c>
      <c r="D7" s="44">
        <v>50</v>
      </c>
      <c r="E7" s="44">
        <v>100</v>
      </c>
      <c r="F7" s="44" t="s">
        <v>67</v>
      </c>
      <c r="G7" s="44" t="s">
        <v>67</v>
      </c>
      <c r="H7" s="44" t="s">
        <v>121</v>
      </c>
      <c r="I7" s="44" t="s">
        <v>69</v>
      </c>
      <c r="J7" s="44">
        <v>100</v>
      </c>
    </row>
    <row r="8" spans="1:17" x14ac:dyDescent="0.3">
      <c r="A8" s="44" t="s">
        <v>93</v>
      </c>
      <c r="B8" s="45">
        <v>44823</v>
      </c>
      <c r="C8" s="44">
        <v>1</v>
      </c>
      <c r="D8" s="44">
        <v>50</v>
      </c>
      <c r="E8" s="44">
        <v>50</v>
      </c>
      <c r="F8" s="44" t="s">
        <v>67</v>
      </c>
      <c r="G8" s="44" t="s">
        <v>67</v>
      </c>
      <c r="H8" s="44" t="s">
        <v>120</v>
      </c>
      <c r="I8" s="44" t="s">
        <v>69</v>
      </c>
      <c r="J8" s="44">
        <v>50</v>
      </c>
    </row>
    <row r="9" spans="1:17" x14ac:dyDescent="0.3">
      <c r="A9" s="44" t="s">
        <v>97</v>
      </c>
      <c r="B9" s="45">
        <v>44826</v>
      </c>
      <c r="C9" s="44">
        <v>1</v>
      </c>
      <c r="D9" s="44">
        <v>50</v>
      </c>
      <c r="E9" s="44">
        <v>50</v>
      </c>
      <c r="F9" s="44" t="s">
        <v>67</v>
      </c>
      <c r="G9" s="44" t="s">
        <v>67</v>
      </c>
      <c r="H9" s="44" t="s">
        <v>122</v>
      </c>
      <c r="I9" s="44" t="s">
        <v>69</v>
      </c>
      <c r="J9" s="44">
        <v>50</v>
      </c>
    </row>
    <row r="10" spans="1:17" x14ac:dyDescent="0.3">
      <c r="A10" s="44" t="s">
        <v>123</v>
      </c>
      <c r="B10" s="45">
        <v>44827</v>
      </c>
      <c r="C10" s="44">
        <v>0.5</v>
      </c>
      <c r="D10" s="44">
        <v>50</v>
      </c>
      <c r="E10" s="44">
        <v>25</v>
      </c>
      <c r="F10" s="44" t="s">
        <v>69</v>
      </c>
      <c r="G10" s="44" t="s">
        <v>124</v>
      </c>
      <c r="H10" s="44" t="s">
        <v>125</v>
      </c>
      <c r="I10" s="44"/>
      <c r="J10" s="44"/>
      <c r="O10" s="48" t="s">
        <v>136</v>
      </c>
      <c r="P10" t="s">
        <v>138</v>
      </c>
      <c r="Q10" t="s">
        <v>139</v>
      </c>
    </row>
    <row r="11" spans="1:17" x14ac:dyDescent="0.3">
      <c r="A11" s="44" t="s">
        <v>97</v>
      </c>
      <c r="B11" s="45">
        <v>44827</v>
      </c>
      <c r="C11" s="44">
        <v>1</v>
      </c>
      <c r="D11" s="44">
        <v>50</v>
      </c>
      <c r="E11" s="44">
        <v>50</v>
      </c>
      <c r="F11" s="44" t="s">
        <v>67</v>
      </c>
      <c r="G11" s="44" t="s">
        <v>67</v>
      </c>
      <c r="H11" s="44" t="s">
        <v>126</v>
      </c>
      <c r="I11" s="44" t="s">
        <v>69</v>
      </c>
      <c r="J11" s="44">
        <v>50</v>
      </c>
      <c r="O11" s="49" t="s">
        <v>66</v>
      </c>
      <c r="P11">
        <v>2</v>
      </c>
      <c r="Q11">
        <v>100</v>
      </c>
    </row>
    <row r="12" spans="1:17" x14ac:dyDescent="0.3">
      <c r="A12" s="44" t="s">
        <v>83</v>
      </c>
      <c r="B12" s="45">
        <v>44829</v>
      </c>
      <c r="C12" s="44">
        <v>1</v>
      </c>
      <c r="D12" s="44">
        <v>50</v>
      </c>
      <c r="E12" s="44">
        <v>50</v>
      </c>
      <c r="F12" s="44" t="s">
        <v>67</v>
      </c>
      <c r="G12" s="44" t="s">
        <v>67</v>
      </c>
      <c r="H12" s="44" t="s">
        <v>127</v>
      </c>
      <c r="I12" s="44" t="s">
        <v>69</v>
      </c>
      <c r="J12" s="44">
        <v>50</v>
      </c>
      <c r="O12" s="49" t="s">
        <v>78</v>
      </c>
      <c r="P12">
        <v>1.5</v>
      </c>
      <c r="Q12">
        <v>75</v>
      </c>
    </row>
    <row r="13" spans="1:17" x14ac:dyDescent="0.3">
      <c r="A13" s="44" t="s">
        <v>97</v>
      </c>
      <c r="B13" s="45">
        <v>44829</v>
      </c>
      <c r="C13" s="44">
        <v>2</v>
      </c>
      <c r="D13" s="44">
        <v>100</v>
      </c>
      <c r="E13" s="44">
        <v>100</v>
      </c>
      <c r="F13" s="44" t="s">
        <v>67</v>
      </c>
      <c r="G13" s="44" t="s">
        <v>67</v>
      </c>
      <c r="H13" s="44" t="s">
        <v>116</v>
      </c>
      <c r="I13" s="44" t="s">
        <v>69</v>
      </c>
      <c r="J13" s="44">
        <v>100</v>
      </c>
      <c r="O13" s="49" t="s">
        <v>83</v>
      </c>
      <c r="P13">
        <v>2</v>
      </c>
      <c r="Q13">
        <v>100</v>
      </c>
    </row>
    <row r="14" spans="1:17" x14ac:dyDescent="0.3">
      <c r="A14" s="44" t="s">
        <v>128</v>
      </c>
      <c r="B14" s="45">
        <v>44829</v>
      </c>
      <c r="C14" s="44">
        <v>2</v>
      </c>
      <c r="D14" s="44">
        <v>100</v>
      </c>
      <c r="E14" s="44">
        <v>100</v>
      </c>
      <c r="F14" s="44" t="s">
        <v>67</v>
      </c>
      <c r="G14" s="44" t="s">
        <v>67</v>
      </c>
      <c r="H14" s="44" t="s">
        <v>116</v>
      </c>
      <c r="I14" s="44" t="s">
        <v>69</v>
      </c>
      <c r="J14" s="44">
        <v>100</v>
      </c>
      <c r="O14" s="49" t="s">
        <v>93</v>
      </c>
      <c r="P14">
        <v>2.5</v>
      </c>
      <c r="Q14">
        <v>125</v>
      </c>
    </row>
    <row r="15" spans="1:17" x14ac:dyDescent="0.3">
      <c r="A15" s="44" t="s">
        <v>83</v>
      </c>
      <c r="B15" s="45">
        <v>44830</v>
      </c>
      <c r="C15" s="44">
        <v>1</v>
      </c>
      <c r="D15" s="44">
        <v>50</v>
      </c>
      <c r="E15" s="44">
        <v>50</v>
      </c>
      <c r="F15" s="44" t="s">
        <v>67</v>
      </c>
      <c r="G15" s="44" t="s">
        <v>67</v>
      </c>
      <c r="H15" s="44" t="s">
        <v>127</v>
      </c>
      <c r="I15" s="44" t="s">
        <v>69</v>
      </c>
      <c r="J15" s="44">
        <v>50</v>
      </c>
      <c r="O15" s="49" t="s">
        <v>95</v>
      </c>
      <c r="P15">
        <v>1.5</v>
      </c>
      <c r="Q15">
        <v>75</v>
      </c>
    </row>
    <row r="16" spans="1:17" x14ac:dyDescent="0.3">
      <c r="A16" s="44" t="s">
        <v>97</v>
      </c>
      <c r="B16" s="45">
        <v>44832</v>
      </c>
      <c r="C16" s="44">
        <v>1.5</v>
      </c>
      <c r="D16" s="44">
        <v>50</v>
      </c>
      <c r="E16" s="44">
        <v>75</v>
      </c>
      <c r="F16" s="44" t="s">
        <v>67</v>
      </c>
      <c r="G16" s="44" t="s">
        <v>67</v>
      </c>
      <c r="H16" s="44" t="s">
        <v>116</v>
      </c>
      <c r="I16" s="44" t="s">
        <v>69</v>
      </c>
      <c r="J16" s="44">
        <v>75</v>
      </c>
      <c r="O16" s="49" t="s">
        <v>97</v>
      </c>
      <c r="P16">
        <v>7.5</v>
      </c>
      <c r="Q16">
        <v>375</v>
      </c>
    </row>
    <row r="17" spans="2:17" x14ac:dyDescent="0.3">
      <c r="B17" s="43"/>
      <c r="O17" s="49" t="s">
        <v>123</v>
      </c>
      <c r="P17">
        <v>0.5</v>
      </c>
      <c r="Q17">
        <v>25</v>
      </c>
    </row>
    <row r="18" spans="2:17" x14ac:dyDescent="0.3">
      <c r="J18" s="38">
        <f>SUM(J2:J16)</f>
        <v>1025</v>
      </c>
      <c r="O18" s="49" t="s">
        <v>107</v>
      </c>
      <c r="P18">
        <v>1</v>
      </c>
      <c r="Q18">
        <v>50</v>
      </c>
    </row>
    <row r="19" spans="2:17" x14ac:dyDescent="0.3">
      <c r="O19" s="49" t="s">
        <v>128</v>
      </c>
      <c r="P19">
        <v>2</v>
      </c>
      <c r="Q19">
        <v>100</v>
      </c>
    </row>
    <row r="20" spans="2:17" x14ac:dyDescent="0.3">
      <c r="O20" s="49" t="s">
        <v>137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8" bestFit="1" customWidth="1"/>
    <col min="2" max="2" width="9.6640625" style="38" bestFit="1" customWidth="1"/>
    <col min="3" max="3" width="6.109375" style="38" bestFit="1" customWidth="1"/>
    <col min="4" max="6" width="9.109375" style="38"/>
    <col min="7" max="7" width="18.6640625" style="38" bestFit="1" customWidth="1"/>
    <col min="8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55</v>
      </c>
      <c r="B1" s="38" t="s">
        <v>56</v>
      </c>
      <c r="C1" s="38" t="s">
        <v>57</v>
      </c>
      <c r="D1" s="38" t="s">
        <v>58</v>
      </c>
      <c r="E1" s="38" t="s">
        <v>59</v>
      </c>
      <c r="F1" s="38" t="s">
        <v>60</v>
      </c>
      <c r="G1" s="38" t="s">
        <v>61</v>
      </c>
      <c r="H1" s="38" t="s">
        <v>62</v>
      </c>
      <c r="I1" s="38" t="s">
        <v>63</v>
      </c>
      <c r="J1" s="38" t="s">
        <v>65</v>
      </c>
    </row>
    <row r="2" spans="1:17" x14ac:dyDescent="0.3">
      <c r="A2" s="46" t="s">
        <v>78</v>
      </c>
      <c r="B2" s="47">
        <v>44793</v>
      </c>
      <c r="C2" s="46">
        <v>0.5</v>
      </c>
      <c r="D2" s="46">
        <v>50</v>
      </c>
      <c r="E2" s="46">
        <f t="shared" ref="E2:E7" si="0">C2*D2</f>
        <v>25</v>
      </c>
      <c r="F2" s="46" t="s">
        <v>67</v>
      </c>
      <c r="G2" s="46" t="s">
        <v>67</v>
      </c>
      <c r="H2" s="46" t="s">
        <v>129</v>
      </c>
      <c r="I2" s="46">
        <v>10</v>
      </c>
      <c r="J2" s="46">
        <f t="shared" ref="J2:J7" si="1">E2+I2</f>
        <v>35</v>
      </c>
    </row>
    <row r="3" spans="1:17" x14ac:dyDescent="0.3">
      <c r="A3" s="46" t="s">
        <v>104</v>
      </c>
      <c r="B3" s="47">
        <v>44794</v>
      </c>
      <c r="C3" s="46">
        <v>1.5</v>
      </c>
      <c r="D3" s="46">
        <v>50</v>
      </c>
      <c r="E3" s="46">
        <f t="shared" si="0"/>
        <v>75</v>
      </c>
      <c r="F3" s="46" t="s">
        <v>69</v>
      </c>
      <c r="G3" s="46" t="s">
        <v>67</v>
      </c>
      <c r="H3" s="46" t="s">
        <v>130</v>
      </c>
      <c r="I3" s="46">
        <v>0</v>
      </c>
      <c r="J3" s="46">
        <f t="shared" si="1"/>
        <v>75</v>
      </c>
    </row>
    <row r="4" spans="1:17" x14ac:dyDescent="0.3">
      <c r="A4" s="46" t="s">
        <v>97</v>
      </c>
      <c r="B4" s="47">
        <v>44794</v>
      </c>
      <c r="C4" s="46">
        <v>1</v>
      </c>
      <c r="D4" s="46">
        <v>50</v>
      </c>
      <c r="E4" s="46">
        <f t="shared" si="0"/>
        <v>50</v>
      </c>
      <c r="F4" s="46" t="s">
        <v>69</v>
      </c>
      <c r="G4" s="46" t="s">
        <v>69</v>
      </c>
      <c r="H4" s="46" t="s">
        <v>131</v>
      </c>
      <c r="I4" s="46"/>
      <c r="J4" s="46">
        <f t="shared" si="1"/>
        <v>50</v>
      </c>
    </row>
    <row r="5" spans="1:17" x14ac:dyDescent="0.3">
      <c r="A5" s="46" t="s">
        <v>115</v>
      </c>
      <c r="B5" s="47">
        <v>44796</v>
      </c>
      <c r="C5" s="46">
        <v>2</v>
      </c>
      <c r="D5" s="46">
        <v>50</v>
      </c>
      <c r="E5" s="46">
        <f t="shared" si="0"/>
        <v>100</v>
      </c>
      <c r="F5" s="46" t="s">
        <v>67</v>
      </c>
      <c r="G5" s="46" t="s">
        <v>67</v>
      </c>
      <c r="H5" s="46" t="s">
        <v>132</v>
      </c>
      <c r="I5" s="46"/>
      <c r="J5" s="46">
        <f t="shared" si="1"/>
        <v>100</v>
      </c>
      <c r="O5" s="48" t="s">
        <v>136</v>
      </c>
      <c r="P5" t="s">
        <v>138</v>
      </c>
      <c r="Q5" t="s">
        <v>139</v>
      </c>
    </row>
    <row r="6" spans="1:17" x14ac:dyDescent="0.3">
      <c r="A6" s="46" t="s">
        <v>97</v>
      </c>
      <c r="B6" s="47">
        <v>44796</v>
      </c>
      <c r="C6" s="46">
        <v>2</v>
      </c>
      <c r="D6" s="46">
        <v>50</v>
      </c>
      <c r="E6" s="46">
        <f t="shared" si="0"/>
        <v>100</v>
      </c>
      <c r="F6" s="46" t="s">
        <v>69</v>
      </c>
      <c r="G6" s="46" t="s">
        <v>69</v>
      </c>
      <c r="H6" s="46" t="s">
        <v>133</v>
      </c>
      <c r="I6" s="46"/>
      <c r="J6" s="46">
        <f t="shared" si="1"/>
        <v>100</v>
      </c>
      <c r="O6" s="49" t="s">
        <v>78</v>
      </c>
      <c r="P6">
        <v>0.5</v>
      </c>
      <c r="Q6">
        <v>25</v>
      </c>
    </row>
    <row r="7" spans="1:17" x14ac:dyDescent="0.3">
      <c r="A7" s="46" t="s">
        <v>134</v>
      </c>
      <c r="B7" s="47">
        <v>44796</v>
      </c>
      <c r="C7" s="46">
        <v>0.5</v>
      </c>
      <c r="D7" s="46">
        <v>50</v>
      </c>
      <c r="E7" s="46">
        <f t="shared" si="0"/>
        <v>25</v>
      </c>
      <c r="F7" s="46" t="s">
        <v>67</v>
      </c>
      <c r="G7" s="46" t="s">
        <v>67</v>
      </c>
      <c r="H7" s="46" t="s">
        <v>135</v>
      </c>
      <c r="I7" s="46"/>
      <c r="J7" s="46">
        <f t="shared" si="1"/>
        <v>25</v>
      </c>
      <c r="O7" s="49" t="s">
        <v>97</v>
      </c>
      <c r="P7">
        <v>3</v>
      </c>
      <c r="Q7">
        <v>150</v>
      </c>
    </row>
    <row r="8" spans="1:17" x14ac:dyDescent="0.3">
      <c r="O8" s="49" t="s">
        <v>134</v>
      </c>
      <c r="P8">
        <v>0.5</v>
      </c>
      <c r="Q8">
        <v>25</v>
      </c>
    </row>
    <row r="9" spans="1:17" x14ac:dyDescent="0.3">
      <c r="O9" s="49" t="s">
        <v>104</v>
      </c>
      <c r="P9">
        <v>1.5</v>
      </c>
      <c r="Q9">
        <v>75</v>
      </c>
    </row>
    <row r="10" spans="1:17" x14ac:dyDescent="0.3">
      <c r="J10" s="38">
        <f>SUM(J2:J7)</f>
        <v>385</v>
      </c>
      <c r="O10" s="49" t="s">
        <v>115</v>
      </c>
      <c r="P10">
        <v>2</v>
      </c>
      <c r="Q10">
        <v>100</v>
      </c>
    </row>
    <row r="11" spans="1:17" x14ac:dyDescent="0.3">
      <c r="O11" s="49" t="s">
        <v>137</v>
      </c>
      <c r="P11">
        <v>7.5</v>
      </c>
      <c r="Q11">
        <v>375</v>
      </c>
    </row>
    <row r="12" spans="1:17" x14ac:dyDescent="0.3">
      <c r="J12" s="38" t="s">
        <v>70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45F3-77F4-41DA-8B21-A7A34544F8D7}">
  <sheetPr>
    <tabColor theme="6"/>
  </sheetPr>
  <dimension ref="B2:FB4"/>
  <sheetViews>
    <sheetView workbookViewId="0">
      <selection activeCell="K8" sqref="K8"/>
    </sheetView>
  </sheetViews>
  <sheetFormatPr defaultRowHeight="14.4" x14ac:dyDescent="0.3"/>
  <cols>
    <col min="3" max="3" width="14.5546875" bestFit="1" customWidth="1"/>
    <col min="4" max="4" width="10.5546875" bestFit="1" customWidth="1"/>
    <col min="8" max="11" width="9.5546875" bestFit="1" customWidth="1"/>
    <col min="12" max="14" width="10.5546875" bestFit="1" customWidth="1"/>
    <col min="15" max="23" width="9.5546875" bestFit="1" customWidth="1"/>
    <col min="24" max="26" width="10.5546875" bestFit="1" customWidth="1"/>
    <col min="27" max="35" width="9.5546875" bestFit="1" customWidth="1"/>
    <col min="36" max="38" width="10.5546875" bestFit="1" customWidth="1"/>
    <col min="39" max="47" width="9.5546875" bestFit="1" customWidth="1"/>
    <col min="48" max="50" width="10.5546875" bestFit="1" customWidth="1"/>
    <col min="51" max="59" width="9.5546875" bestFit="1" customWidth="1"/>
    <col min="60" max="62" width="10.5546875" bestFit="1" customWidth="1"/>
    <col min="63" max="71" width="9.5546875" bestFit="1" customWidth="1"/>
    <col min="72" max="74" width="10.5546875" bestFit="1" customWidth="1"/>
    <col min="75" max="83" width="9.5546875" bestFit="1" customWidth="1"/>
    <col min="84" max="86" width="10.5546875" bestFit="1" customWidth="1"/>
    <col min="87" max="95" width="9.5546875" bestFit="1" customWidth="1"/>
    <col min="96" max="98" width="10.5546875" bestFit="1" customWidth="1"/>
    <col min="99" max="107" width="9.5546875" bestFit="1" customWidth="1"/>
    <col min="108" max="110" width="10.5546875" bestFit="1" customWidth="1"/>
    <col min="111" max="119" width="9.5546875" bestFit="1" customWidth="1"/>
    <col min="120" max="122" width="10.5546875" bestFit="1" customWidth="1"/>
    <col min="123" max="131" width="9.5546875" bestFit="1" customWidth="1"/>
    <col min="132" max="134" width="10.5546875" bestFit="1" customWidth="1"/>
    <col min="135" max="143" width="9.5546875" bestFit="1" customWidth="1"/>
    <col min="144" max="146" width="10.5546875" bestFit="1" customWidth="1"/>
    <col min="147" max="155" width="9.5546875" bestFit="1" customWidth="1"/>
    <col min="156" max="158" width="10.5546875" bestFit="1" customWidth="1"/>
  </cols>
  <sheetData>
    <row r="2" spans="2:158" x14ac:dyDescent="0.3">
      <c r="H2" s="170">
        <v>45473</v>
      </c>
      <c r="I2" s="170">
        <v>45504</v>
      </c>
      <c r="J2" s="170">
        <v>45535</v>
      </c>
      <c r="K2" s="170">
        <v>45565</v>
      </c>
      <c r="L2" s="170">
        <v>45596</v>
      </c>
      <c r="M2" s="170">
        <v>45626</v>
      </c>
      <c r="N2" s="170">
        <v>45657</v>
      </c>
      <c r="O2" s="170">
        <v>45688</v>
      </c>
      <c r="P2" s="170">
        <v>45716</v>
      </c>
      <c r="Q2" s="170">
        <v>45747</v>
      </c>
      <c r="R2" s="170">
        <v>45777</v>
      </c>
      <c r="S2" s="170">
        <v>45808</v>
      </c>
      <c r="T2" s="170">
        <v>45838</v>
      </c>
      <c r="U2" s="170">
        <v>45869</v>
      </c>
      <c r="V2" s="170">
        <v>45900</v>
      </c>
      <c r="W2" s="170">
        <v>45930</v>
      </c>
      <c r="X2" s="170">
        <v>45961</v>
      </c>
      <c r="Y2" s="170">
        <v>45991</v>
      </c>
      <c r="Z2" s="170">
        <v>46022</v>
      </c>
      <c r="AA2" s="170">
        <v>46053</v>
      </c>
      <c r="AB2" s="170">
        <v>46081</v>
      </c>
      <c r="AC2" s="170">
        <v>46112</v>
      </c>
      <c r="AD2" s="170">
        <v>46142</v>
      </c>
      <c r="AE2" s="170">
        <v>46173</v>
      </c>
      <c r="AF2" s="170">
        <v>46203</v>
      </c>
      <c r="AG2" s="170">
        <v>46234</v>
      </c>
      <c r="AH2" s="170">
        <v>46265</v>
      </c>
      <c r="AI2" s="170">
        <v>46295</v>
      </c>
      <c r="AJ2" s="170">
        <v>46326</v>
      </c>
      <c r="AK2" s="170">
        <v>46356</v>
      </c>
      <c r="AL2" s="170">
        <v>46387</v>
      </c>
      <c r="AM2" s="170">
        <v>46418</v>
      </c>
      <c r="AN2" s="170">
        <v>46446</v>
      </c>
      <c r="AO2" s="170">
        <v>46477</v>
      </c>
      <c r="AP2" s="170">
        <v>46507</v>
      </c>
      <c r="AQ2" s="170">
        <v>46538</v>
      </c>
      <c r="AR2" s="170">
        <v>46568</v>
      </c>
      <c r="AS2" s="170">
        <v>46599</v>
      </c>
      <c r="AT2" s="170">
        <v>46630</v>
      </c>
      <c r="AU2" s="170">
        <v>46660</v>
      </c>
      <c r="AV2" s="170">
        <v>46691</v>
      </c>
      <c r="AW2" s="170">
        <v>46721</v>
      </c>
      <c r="AX2" s="170">
        <v>46752</v>
      </c>
      <c r="AY2" s="170">
        <v>46783</v>
      </c>
      <c r="AZ2" s="170">
        <v>46812</v>
      </c>
      <c r="BA2" s="170">
        <v>46843</v>
      </c>
      <c r="BB2" s="170">
        <v>46873</v>
      </c>
      <c r="BC2" s="170">
        <v>46904</v>
      </c>
      <c r="BD2" s="170">
        <v>46934</v>
      </c>
      <c r="BE2" s="170">
        <v>46965</v>
      </c>
      <c r="BF2" s="170">
        <v>46996</v>
      </c>
      <c r="BG2" s="170">
        <v>47026</v>
      </c>
      <c r="BH2" s="170">
        <v>47057</v>
      </c>
      <c r="BI2" s="170">
        <v>47087</v>
      </c>
      <c r="BJ2" s="170">
        <v>47118</v>
      </c>
      <c r="BK2" s="170">
        <v>47149</v>
      </c>
      <c r="BL2" s="170">
        <v>47177</v>
      </c>
      <c r="BM2" s="170">
        <v>47208</v>
      </c>
      <c r="BN2" s="170">
        <v>47238</v>
      </c>
      <c r="BO2" s="170">
        <v>47269</v>
      </c>
      <c r="BP2" s="170">
        <v>47299</v>
      </c>
      <c r="BQ2" s="170">
        <v>47330</v>
      </c>
      <c r="BR2" s="170">
        <v>47361</v>
      </c>
      <c r="BS2" s="170">
        <v>47391</v>
      </c>
      <c r="BT2" s="170">
        <v>47422</v>
      </c>
      <c r="BU2" s="170">
        <v>47452</v>
      </c>
      <c r="BV2" s="170">
        <v>47483</v>
      </c>
      <c r="BW2" s="170">
        <v>47514</v>
      </c>
      <c r="BX2" s="170">
        <v>47542</v>
      </c>
      <c r="BY2" s="170">
        <v>47573</v>
      </c>
      <c r="BZ2" s="170">
        <v>47603</v>
      </c>
      <c r="CA2" s="170">
        <v>47634</v>
      </c>
      <c r="CB2" s="170">
        <v>47664</v>
      </c>
      <c r="CC2" s="170">
        <v>47695</v>
      </c>
      <c r="CD2" s="170">
        <v>47726</v>
      </c>
      <c r="CE2" s="170">
        <v>47756</v>
      </c>
      <c r="CF2" s="170">
        <v>47787</v>
      </c>
      <c r="CG2" s="170">
        <v>47817</v>
      </c>
      <c r="CH2" s="170">
        <v>47848</v>
      </c>
      <c r="CI2" s="170">
        <v>47879</v>
      </c>
      <c r="CJ2" s="170">
        <v>47907</v>
      </c>
      <c r="CK2" s="170">
        <v>47938</v>
      </c>
      <c r="CL2" s="170">
        <v>47968</v>
      </c>
      <c r="CM2" s="170">
        <v>47999</v>
      </c>
      <c r="CN2" s="170">
        <v>48029</v>
      </c>
      <c r="CO2" s="170">
        <v>48060</v>
      </c>
      <c r="CP2" s="170">
        <v>48091</v>
      </c>
      <c r="CQ2" s="170">
        <v>48121</v>
      </c>
      <c r="CR2" s="170">
        <v>48152</v>
      </c>
      <c r="CS2" s="170">
        <v>48182</v>
      </c>
      <c r="CT2" s="170">
        <v>48213</v>
      </c>
      <c r="CU2" s="170">
        <v>48244</v>
      </c>
      <c r="CV2" s="170">
        <v>48273</v>
      </c>
      <c r="CW2" s="170">
        <v>48304</v>
      </c>
      <c r="CX2" s="170">
        <v>48334</v>
      </c>
      <c r="CY2" s="170">
        <v>48365</v>
      </c>
      <c r="CZ2" s="170">
        <v>48395</v>
      </c>
      <c r="DA2" s="170">
        <v>48426</v>
      </c>
      <c r="DB2" s="170">
        <v>48457</v>
      </c>
      <c r="DC2" s="170">
        <v>48487</v>
      </c>
      <c r="DD2" s="170">
        <v>48518</v>
      </c>
      <c r="DE2" s="170">
        <v>48548</v>
      </c>
      <c r="DF2" s="170">
        <v>48579</v>
      </c>
      <c r="DG2" s="170">
        <v>48610</v>
      </c>
      <c r="DH2" s="170">
        <v>48638</v>
      </c>
      <c r="DI2" s="170">
        <v>48669</v>
      </c>
      <c r="DJ2" s="170">
        <v>48699</v>
      </c>
      <c r="DK2" s="170">
        <v>48730</v>
      </c>
      <c r="DL2" s="170">
        <v>48760</v>
      </c>
      <c r="DM2" s="170">
        <v>48791</v>
      </c>
      <c r="DN2" s="170">
        <v>48822</v>
      </c>
      <c r="DO2" s="170">
        <v>48852</v>
      </c>
      <c r="DP2" s="170">
        <v>48883</v>
      </c>
      <c r="DQ2" s="170">
        <v>48913</v>
      </c>
      <c r="DR2" s="170">
        <v>48944</v>
      </c>
      <c r="DS2" s="170">
        <v>48975</v>
      </c>
      <c r="DT2" s="170">
        <v>49003</v>
      </c>
      <c r="DU2" s="170">
        <v>49034</v>
      </c>
      <c r="DV2" s="170">
        <v>49064</v>
      </c>
      <c r="DW2" s="170">
        <v>49095</v>
      </c>
      <c r="DX2" s="170">
        <v>49125</v>
      </c>
      <c r="DY2" s="170">
        <v>49156</v>
      </c>
      <c r="DZ2" s="170">
        <v>49187</v>
      </c>
      <c r="EA2" s="170">
        <v>49217</v>
      </c>
      <c r="EB2" s="170">
        <v>49248</v>
      </c>
      <c r="EC2" s="170">
        <v>49278</v>
      </c>
      <c r="ED2" s="170">
        <v>49309</v>
      </c>
      <c r="EE2" s="170">
        <v>49340</v>
      </c>
      <c r="EF2" s="170">
        <v>49368</v>
      </c>
      <c r="EG2" s="170">
        <v>49399</v>
      </c>
      <c r="EH2" s="170">
        <v>49429</v>
      </c>
      <c r="EI2" s="170">
        <v>49460</v>
      </c>
      <c r="EJ2" s="170">
        <v>49490</v>
      </c>
      <c r="EK2" s="170">
        <v>49521</v>
      </c>
      <c r="EL2" s="170">
        <v>49552</v>
      </c>
      <c r="EM2" s="170">
        <v>49582</v>
      </c>
      <c r="EN2" s="170">
        <v>49613</v>
      </c>
      <c r="EO2" s="170">
        <v>49643</v>
      </c>
      <c r="EP2" s="170">
        <v>49674</v>
      </c>
      <c r="EQ2" s="170">
        <v>49705</v>
      </c>
      <c r="ER2" s="170">
        <v>49734</v>
      </c>
      <c r="ES2" s="170">
        <v>49765</v>
      </c>
      <c r="ET2" s="170">
        <v>49795</v>
      </c>
      <c r="EU2" s="170">
        <v>49826</v>
      </c>
      <c r="EV2" s="170">
        <v>49856</v>
      </c>
      <c r="EW2" s="170">
        <v>49887</v>
      </c>
      <c r="EX2" s="170">
        <v>49918</v>
      </c>
      <c r="EY2" s="170">
        <v>49948</v>
      </c>
      <c r="EZ2" s="170">
        <v>49979</v>
      </c>
      <c r="FA2" s="170">
        <v>50009</v>
      </c>
      <c r="FB2" s="170">
        <v>50040</v>
      </c>
    </row>
    <row r="3" spans="2:158" x14ac:dyDescent="0.3">
      <c r="B3" t="s">
        <v>221</v>
      </c>
      <c r="C3" t="s">
        <v>222</v>
      </c>
      <c r="D3" t="s">
        <v>223</v>
      </c>
    </row>
    <row r="4" spans="2:158" x14ac:dyDescent="0.3">
      <c r="C4" t="s">
        <v>287</v>
      </c>
      <c r="D4">
        <v>30</v>
      </c>
      <c r="H4" s="238">
        <f>+IF(('Monthly Detail'!Y33-'Monthly Detail'!$B$31)&gt;0,('Monthly Detail'!Y33-'Monthly Detail'!$B$31)*'New Trainers Plan'!$D$4, 0)</f>
        <v>0</v>
      </c>
      <c r="I4" s="238">
        <f>+IF(('Monthly Detail'!Z33-'Monthly Detail'!$B$31)&gt;0,('Monthly Detail'!Z33-'Monthly Detail'!$B$31)*'New Trainers Plan'!$D$4, 0)</f>
        <v>0</v>
      </c>
      <c r="J4" s="238">
        <f>+IF(('Monthly Detail'!AA33-'Monthly Detail'!$B$31)&gt;0,('Monthly Detail'!AA33-'Monthly Detail'!$B$31)*'New Trainers Plan'!$D$4, 0)</f>
        <v>0</v>
      </c>
      <c r="K4" s="238">
        <f>+IF(('Monthly Detail'!AB33-'Monthly Detail'!$B$31)&gt;0,('Monthly Detail'!AB33-'Monthly Detail'!$B$31)*'New Trainers Plan'!$D$4, 0)</f>
        <v>0</v>
      </c>
      <c r="L4" s="238">
        <f>+IF(('Monthly Detail'!AC33-'Monthly Detail'!$B$31)&gt;0,('Monthly Detail'!AC33-'Monthly Detail'!$B$31)*'New Trainers Plan'!$D$4, 0)</f>
        <v>0</v>
      </c>
      <c r="M4" s="238">
        <f>+IF(('Monthly Detail'!AD33-'Monthly Detail'!$B$31)&gt;0,('Monthly Detail'!AD33-'Monthly Detail'!$B$31)*'New Trainers Plan'!$D$4, 0)</f>
        <v>0</v>
      </c>
      <c r="N4" s="238">
        <f>+IF(('Monthly Detail'!AE33-'Monthly Detail'!$B$31)&gt;0,('Monthly Detail'!AE33-'Monthly Detail'!$B$31)*'New Trainers Plan'!$D$4, 0)</f>
        <v>0</v>
      </c>
      <c r="O4" s="238">
        <f>+IF(('Monthly Detail'!AF33-'Monthly Detail'!$B$31)&gt;0,('Monthly Detail'!AF33-'Monthly Detail'!$B$31)*'New Trainers Plan'!$D$4, 0)</f>
        <v>117.11357142857153</v>
      </c>
      <c r="P4" s="238">
        <f>+IF(('Monthly Detail'!AG33-'Monthly Detail'!$B$31)&gt;0,('Monthly Detail'!AG33-'Monthly Detail'!$B$31)*'New Trainers Plan'!$D$4, 0)</f>
        <v>0</v>
      </c>
      <c r="Q4" s="238">
        <f>+IF(('Monthly Detail'!AH33-'Monthly Detail'!$B$31)&gt;0,('Monthly Detail'!AH33-'Monthly Detail'!$B$31)*'New Trainers Plan'!$D$4, 0)</f>
        <v>0</v>
      </c>
      <c r="R4" s="238">
        <f>+IF(('Monthly Detail'!AI33-'Monthly Detail'!$B$31)&gt;0,('Monthly Detail'!AI33-'Monthly Detail'!$B$31)*'New Trainers Plan'!$D$4, 0)</f>
        <v>108.0813257142858</v>
      </c>
      <c r="S4" s="238">
        <f>+IF(('Monthly Detail'!AJ33-'Monthly Detail'!$B$31)&gt;0,('Monthly Detail'!AJ33-'Monthly Detail'!$B$31)*'New Trainers Plan'!$D$4, 0)</f>
        <v>200.0887954285713</v>
      </c>
      <c r="T4" s="238">
        <f>+IF(('Monthly Detail'!AK33-'Monthly Detail'!$B$31)&gt;0,('Monthly Detail'!AK33-'Monthly Detail'!$B$31)*'New Trainers Plan'!$D$4, 0)</f>
        <v>3887.4672192000003</v>
      </c>
      <c r="U4" s="238">
        <f>+IF(('Monthly Detail'!AL33-'Monthly Detail'!$B$31)&gt;0,('Monthly Detail'!AL33-'Monthly Detail'!$B$31)*'New Trainers Plan'!$D$4, 0)</f>
        <v>4447.2079663542854</v>
      </c>
      <c r="V4" s="238">
        <f>+IF(('Monthly Detail'!AM33-'Monthly Detail'!$B$31)&gt;0,('Monthly Detail'!AM33-'Monthly Detail'!$B$31)*'New Trainers Plan'!$D$4, 0)</f>
        <v>1117.4675358719996</v>
      </c>
      <c r="W4" s="238">
        <f>+IF(('Monthly Detail'!AN33-'Monthly Detail'!$B$31)&gt;0,('Monthly Detail'!AN33-'Monthly Detail'!$B$31)*'New Trainers Plan'!$D$4, 0)</f>
        <v>485.56486788754285</v>
      </c>
      <c r="X4" s="238">
        <f>+IF(('Monthly Detail'!AO33-'Monthly Detail'!$B$31)&gt;0,('Monthly Detail'!AO33-'Monthly Detail'!$B$31)*'New Trainers Plan'!$D$4, 0)</f>
        <v>563.14068985673191</v>
      </c>
      <c r="Y4" s="238">
        <f>+IF(('Monthly Detail'!AP33-'Monthly Detail'!$B$31)&gt;0,('Monthly Detail'!AP33-'Monthly Detail'!$B$31)*'New Trainers Plan'!$D$4, 0)</f>
        <v>0</v>
      </c>
      <c r="Z4" s="238">
        <f>+IF(('Monthly Detail'!AQ33-'Monthly Detail'!$B$31)&gt;0,('Monthly Detail'!AQ33-'Monthly Detail'!$B$31)*'New Trainers Plan'!$D$4, 0)</f>
        <v>414.39437457899521</v>
      </c>
      <c r="AA4" s="238">
        <f>+IF(('Monthly Detail'!AR33-'Monthly Detail'!$B$31)&gt;0,('Monthly Detail'!AR33-'Monthly Detail'!$B$31)*'New Trainers Plan'!$D$4, 0)</f>
        <v>597.96360687822573</v>
      </c>
      <c r="AB4" s="238">
        <f>+IF(('Monthly Detail'!AS33-'Monthly Detail'!$B$31)&gt;0,('Monthly Detail'!AS33-'Monthly Detail'!$B$31)*'New Trainers Plan'!$D$4, 0)</f>
        <v>336.1437855699412</v>
      </c>
      <c r="AC4" s="238">
        <f>+IF(('Monthly Detail'!AT33-'Monthly Detail'!$B$31)&gt;0,('Monthly Detail'!AT33-'Monthly Detail'!$B$31)*'New Trainers Plan'!$D$4, 0)</f>
        <v>0</v>
      </c>
      <c r="AD4" s="238">
        <f>+IF(('Monthly Detail'!AU33-'Monthly Detail'!$B$31)&gt;0,('Monthly Detail'!AU33-'Monthly Detail'!$B$31)*'New Trainers Plan'!$D$4, 0)</f>
        <v>612.18893908569669</v>
      </c>
      <c r="AE4" s="238">
        <f>+IF(('Monthly Detail'!AV33-'Monthly Detail'!$B$31)&gt;0,('Monthly Detail'!AV33-'Monthly Detail'!$B$31)*'New Trainers Plan'!$D$4, 0)</f>
        <v>540.67821056726279</v>
      </c>
      <c r="AF4" s="238">
        <f>+IF(('Monthly Detail'!AW33-'Monthly Detail'!$B$31)&gt;0,('Monthly Detail'!AW33-'Monthly Detail'!$B$31)*'New Trainers Plan'!$D$4, 0)</f>
        <v>5688.72201807085</v>
      </c>
      <c r="AG4" s="238">
        <f>+IF(('Monthly Detail'!AX33-'Monthly Detail'!$B$31)&gt;0,('Monthly Detail'!AX33-'Monthly Detail'!$B$31)*'New Trainers Plan'!$D$4, 0)</f>
        <v>6404.0892658808061</v>
      </c>
      <c r="AH4" s="238">
        <f>+IF(('Monthly Detail'!AY33-'Monthly Detail'!$B$31)&gt;0,('Monthly Detail'!AY33-'Monthly Detail'!$B$31)*'New Trainers Plan'!$D$4, 0)</f>
        <v>1815.5119818740998</v>
      </c>
      <c r="AI4" s="238">
        <f>+IF(('Monthly Detail'!AZ33-'Monthly Detail'!$B$31)&gt;0,('Monthly Detail'!AZ33-'Monthly Detail'!$B$31)*'New Trainers Plan'!$D$4, 0)</f>
        <v>1017.1559559033038</v>
      </c>
      <c r="AJ4" s="238">
        <f>+IF(('Monthly Detail'!BA33-'Monthly Detail'!$B$31)&gt;0,('Monthly Detail'!BA33-'Monthly Detail'!$B$31)*'New Trainers Plan'!$D$4, 0)</f>
        <v>1005.5735735419826</v>
      </c>
      <c r="AK4" s="238">
        <f>+IF(('Monthly Detail'!BB33-'Monthly Detail'!$B$31)&gt;0,('Monthly Detail'!BB33-'Monthly Detail'!$B$31)*'New Trainers Plan'!$D$4, 0)</f>
        <v>3.2725880848052924</v>
      </c>
      <c r="AL4" s="238">
        <f>+IF(('Monthly Detail'!BC33-'Monthly Detail'!$B$31)&gt;0,('Monthly Detail'!BC33-'Monthly Detail'!$B$31)*'New Trainers Plan'!$D$4, 0)</f>
        <v>1158.7607813148916</v>
      </c>
      <c r="AM4" s="238">
        <f>+IF(('Monthly Detail'!BD33-'Monthly Detail'!$B$31)&gt;0,('Monthly Detail'!BD33-'Monthly Detail'!$B$31)*'New Trainers Plan'!$D$4, 0)</f>
        <v>1020.6085149812013</v>
      </c>
      <c r="AN4" s="238">
        <f>+IF(('Monthly Detail'!BE33-'Monthly Detail'!$B$31)&gt;0,('Monthly Detail'!BE33-'Monthly Detail'!$B$31)*'New Trainers Plan'!$D$4, 0)</f>
        <v>889.54772284640103</v>
      </c>
      <c r="AO4" s="238">
        <f>+IF(('Monthly Detail'!BF33-'Monthly Detail'!$B$31)&gt;0,('Monthly Detail'!BF33-'Monthly Detail'!$B$31)*'New Trainers Plan'!$D$4, 0)</f>
        <v>231.47816621729527</v>
      </c>
      <c r="AP4" s="238">
        <f>+IF(('Monthly Detail'!BG33-'Monthly Detail'!$B$31)&gt;0,('Monthly Detail'!BG33-'Monthly Detail'!$B$31)*'New Trainers Plan'!$D$4, 0)</f>
        <v>1165.5608982471754</v>
      </c>
      <c r="AQ4" s="238">
        <f>+IF(('Monthly Detail'!BH33-'Monthly Detail'!$B$31)&gt;0,('Monthly Detail'!BH33-'Monthly Detail'!$B$31)*'New Trainers Plan'!$D$4, 0)</f>
        <v>1137.3294235415638</v>
      </c>
      <c r="AR4" s="238">
        <f>+IF(('Monthly Detail'!BI33-'Monthly Detail'!$B$31)&gt;0,('Monthly Detail'!BI33-'Monthly Detail'!$B$31)*'New Trainers Plan'!$D$4, 0)</f>
        <v>7646.1099233689847</v>
      </c>
      <c r="AS4" s="238">
        <f>+IF(('Monthly Detail'!BJ33-'Monthly Detail'!$B$31)&gt;0,('Monthly Detail'!BJ33-'Monthly Detail'!$B$31)*'New Trainers Plan'!$D$4, 0)</f>
        <v>8086.2659540213899</v>
      </c>
      <c r="AT4" s="238">
        <f>+IF(('Monthly Detail'!BK33-'Monthly Detail'!$B$31)&gt;0,('Monthly Detail'!BK33-'Monthly Detail'!$B$31)*'New Trainers Plan'!$D$4, 0)</f>
        <v>2895.9276643700555</v>
      </c>
      <c r="AU4" s="238">
        <f>+IF(('Monthly Detail'!BL33-'Monthly Detail'!$B$31)&gt;0,('Monthly Detail'!BL33-'Monthly Detail'!$B$31)*'New Trainers Plan'!$D$4, 0)</f>
        <v>1685.7357434477008</v>
      </c>
      <c r="AV4" s="238">
        <f>+IF(('Monthly Detail'!BM33-'Monthly Detail'!$B$31)&gt;0,('Monthly Detail'!BM33-'Monthly Detail'!$B$31)*'New Trainers Plan'!$D$4, 0)</f>
        <v>1520.9277439745922</v>
      </c>
      <c r="AW4" s="238">
        <f>+IF(('Monthly Detail'!BN33-'Monthly Detail'!$B$31)&gt;0,('Monthly Detail'!BN33-'Monthly Detail'!$B$31)*'New Trainers Plan'!$D$4, 0)</f>
        <v>483.51597550393183</v>
      </c>
      <c r="AX4" s="238">
        <f>+IF(('Monthly Detail'!BO33-'Monthly Detail'!$B$31)&gt;0,('Monthly Detail'!BO33-'Monthly Detail'!$B$31)*'New Trainers Plan'!$D$4, 0)</f>
        <v>1927.8126533385537</v>
      </c>
      <c r="AY4" s="238">
        <f>+IF(('Monthly Detail'!BP33-'Monthly Detail'!$B$31)&gt;0,('Monthly Detail'!BP33-'Monthly Detail'!$B$31)*'New Trainers Plan'!$D$4, 0)</f>
        <v>1675.6451926985117</v>
      </c>
      <c r="AZ4" s="238">
        <f>+IF(('Monthly Detail'!BQ33-'Monthly Detail'!$B$31)&gt;0,('Monthly Detail'!BQ33-'Monthly Detail'!$B$31)*'New Trainers Plan'!$D$4, 0)</f>
        <v>1652.1571156191071</v>
      </c>
      <c r="BA4" s="238">
        <f>+IF(('Monthly Detail'!BR33-'Monthly Detail'!$B$31)&gt;0,('Monthly Detail'!BR33-'Monthly Detail'!$B$31)*'New Trainers Plan'!$D$4, 0)</f>
        <v>651.90742271736906</v>
      </c>
      <c r="BB4" s="238">
        <f>+IF(('Monthly Detail'!BS33-'Monthly Detail'!$B$31)&gt;0,('Monthly Detail'!BS33-'Monthly Detail'!$B$31)*'New Trainers Plan'!$D$4, 0)</f>
        <v>1602.4995824979796</v>
      </c>
      <c r="BC4" s="238">
        <f>+IF(('Monthly Detail'!BT33-'Monthly Detail'!$B$31)&gt;0,('Monthly Detail'!BT33-'Monthly Detail'!$B$31)*'New Trainers Plan'!$D$4, 0)</f>
        <v>2117.3247119236062</v>
      </c>
      <c r="BD4" s="238">
        <f>+IF(('Monthly Detail'!BU33-'Monthly Detail'!$B$31)&gt;0,('Monthly Detail'!BU33-'Monthly Detail'!$B$31)*'New Trainers Plan'!$D$4, 0)</f>
        <v>10076.069834669201</v>
      </c>
      <c r="BE4" s="238">
        <f>+IF(('Monthly Detail'!BV33-'Monthly Detail'!$B$31)&gt;0,('Monthly Detail'!BV33-'Monthly Detail'!$B$31)*'New Trainers Plan'!$D$4, 0)</f>
        <v>10069.130905310541</v>
      </c>
      <c r="BF4" s="238">
        <f>+IF(('Monthly Detail'!BW33-'Monthly Detail'!$B$31)&gt;0,('Monthly Detail'!BW33-'Monthly Detail'!$B$31)*'New Trainers Plan'!$D$4, 0)</f>
        <v>4275.8659451905023</v>
      </c>
      <c r="BG4" s="238">
        <f>+IF(('Monthly Detail'!BX33-'Monthly Detail'!$B$31)&gt;0,('Monthly Detail'!BX33-'Monthly Detail'!$B$31)*'New Trainers Plan'!$D$4, 0)</f>
        <v>2385.7971259117953</v>
      </c>
      <c r="BH4" s="238">
        <f>+IF(('Monthly Detail'!BY33-'Monthly Detail'!$B$31)&gt;0,('Monthly Detail'!BY33-'Monthly Detail'!$B$31)*'New Trainers Plan'!$D$4, 0)</f>
        <v>2557.5210505731279</v>
      </c>
      <c r="BI4" s="238">
        <f>+IF(('Monthly Detail'!BZ33-'Monthly Detail'!$B$31)&gt;0,('Monthly Detail'!BZ33-'Monthly Detail'!$B$31)*'New Trainers Plan'!$D$4, 0)</f>
        <v>1011.0605291976206</v>
      </c>
      <c r="BJ4" s="238">
        <f>+IF(('Monthly Detail'!CA33-'Monthly Detail'!$B$31)&gt;0,('Monthly Detail'!CA33-'Monthly Detail'!$B$31)*'New Trainers Plan'!$D$4, 0)</f>
        <v>2424.3287791969483</v>
      </c>
      <c r="BK4" s="238">
        <f>+IF(('Monthly Detail'!CB33-'Monthly Detail'!$B$31)&gt;0,('Monthly Detail'!CB33-'Monthly Detail'!$B$31)*'New Trainers Plan'!$D$4, 0)</f>
        <v>2920.109626329423</v>
      </c>
      <c r="BL4" s="238">
        <f>+IF(('Monthly Detail'!CC33-'Monthly Detail'!$B$31)&gt;0,('Monthly Detail'!CC33-'Monthly Detail'!$B$31)*'New Trainers Plan'!$D$4, 0)</f>
        <v>2325.9441528675247</v>
      </c>
      <c r="BM4" s="238">
        <f>+IF(('Monthly Detail'!CD33-'Monthly Detail'!$B$31)&gt;0,('Monthly Detail'!CD33-'Monthly Detail'!$B$31)*'New Trainers Plan'!$D$4, 0)</f>
        <v>1146.7960045840116</v>
      </c>
      <c r="BN4" s="238">
        <f>+IF(('Monthly Detail'!CE33-'Monthly Detail'!$B$31)&gt;0,('Monthly Detail'!CE33-'Monthly Detail'!$B$31)*'New Trainers Plan'!$D$4, 0)</f>
        <v>2569.2118897839246</v>
      </c>
      <c r="BO4" s="238">
        <f>+IF(('Monthly Detail'!CF33-'Monthly Detail'!$B$31)&gt;0,('Monthly Detail'!CF33-'Monthly Detail'!$B$31)*'New Trainers Plan'!$D$4, 0)</f>
        <v>3079.8335275722934</v>
      </c>
      <c r="BP4" s="238">
        <f>+IF(('Monthly Detail'!CG33-'Monthly Detail'!$B$31)&gt;0,('Monthly Detail'!CG33-'Monthly Detail'!$B$31)*'New Trainers Plan'!$D$4, 0)</f>
        <v>12427.387280322213</v>
      </c>
      <c r="BQ4" s="238">
        <f>+IF(('Monthly Detail'!CH33-'Monthly Detail'!$B$31)&gt;0,('Monthly Detail'!CH33-'Monthly Detail'!$B$31)*'New Trainers Plan'!$D$4, 0)</f>
        <v>13834.557719059676</v>
      </c>
      <c r="BR4" s="238">
        <f>+IF(('Monthly Detail'!CI33-'Monthly Detail'!$B$31)&gt;0,('Monthly Detail'!CI33-'Monthly Detail'!$B$31)*'New Trainers Plan'!$D$4, 0)</f>
        <v>5832.7337021035664</v>
      </c>
      <c r="BS4" s="238">
        <f>+IF(('Monthly Detail'!CJ33-'Monthly Detail'!$B$31)&gt;0,('Monthly Detail'!CJ33-'Monthly Detail'!$B$31)*'New Trainers Plan'!$D$4, 0)</f>
        <v>3167.8825262377127</v>
      </c>
      <c r="BT4" s="238">
        <f>+IF(('Monthly Detail'!CK33-'Monthly Detail'!$B$31)&gt;0,('Monthly Detail'!CK33-'Monthly Detail'!$B$31)*'New Trainers Plan'!$D$4, 0)</f>
        <v>3846.7289431040217</v>
      </c>
      <c r="BU4" s="238">
        <f>+IF(('Monthly Detail'!CL33-'Monthly Detail'!$B$31)&gt;0,('Monthly Detail'!CL33-'Monthly Detail'!$B$31)*'New Trainers Plan'!$D$4, 0)</f>
        <v>1672.002545756354</v>
      </c>
      <c r="BV4" s="238">
        <f>+IF(('Monthly Detail'!CM33-'Monthly Detail'!$B$31)&gt;0,('Monthly Detail'!CM33-'Monthly Detail'!$B$31)*'New Trainers Plan'!$D$4, 0)</f>
        <v>3512.7825569507131</v>
      </c>
      <c r="BW4" s="238">
        <f>+IF(('Monthly Detail'!CN33-'Monthly Detail'!$B$31)&gt;0,('Monthly Detail'!CN33-'Monthly Detail'!$B$31)*'New Trainers Plan'!$D$4, 0)</f>
        <v>4135.28425171047</v>
      </c>
      <c r="BX4" s="238">
        <f>+IF(('Monthly Detail'!CO33-'Monthly Detail'!$B$31)&gt;0,('Monthly Detail'!CO33-'Monthly Detail'!$B$31)*'New Trainers Plan'!$D$4, 0)</f>
        <v>3308.5483052402446</v>
      </c>
      <c r="BY4" s="238">
        <f>+IF(('Monthly Detail'!CP33-'Monthly Detail'!$B$31)&gt;0,('Monthly Detail'!CP33-'Monthly Detail'!$B$31)*'New Trainers Plan'!$D$4, 0)</f>
        <v>1633.6539912968401</v>
      </c>
      <c r="BZ4" s="238">
        <f>+IF(('Monthly Detail'!CQ33-'Monthly Detail'!$B$31)&gt;0,('Monthly Detail'!CQ33-'Monthly Detail'!$B$31)*'New Trainers Plan'!$D$4, 0)</f>
        <v>3923.2391288751378</v>
      </c>
      <c r="CA4" s="238">
        <f>+IF(('Monthly Detail'!CR33-'Monthly Detail'!$B$31)&gt;0,('Monthly Detail'!CR33-'Monthly Detail'!$B$31)*'New Trainers Plan'!$D$4, 0)</f>
        <v>4313.7449990216764</v>
      </c>
      <c r="CB4" s="238">
        <f>+IF(('Monthly Detail'!CS33-'Monthly Detail'!$B$31)&gt;0,('Monthly Detail'!CS33-'Monthly Detail'!$B$31)*'New Trainers Plan'!$D$4, 0)</f>
        <v>15314.958260359137</v>
      </c>
      <c r="CC4" s="238">
        <f>+IF(('Monthly Detail'!CT33-'Monthly Detail'!$B$31)&gt;0,('Monthly Detail'!CT33-'Monthly Detail'!$B$31)*'New Trainers Plan'!$D$4, 0)</f>
        <v>18796.321199647802</v>
      </c>
      <c r="CD4" s="238">
        <f>+IF(('Monthly Detail'!CU33-'Monthly Detail'!$B$31)&gt;0,('Monthly Detail'!CU33-'Monthly Detail'!$B$31)*'New Trainers Plan'!$D$4, 0)</f>
        <v>7366.4785674281566</v>
      </c>
      <c r="CE4" s="238">
        <f>+IF(('Monthly Detail'!CV33-'Monthly Detail'!$B$31)&gt;0,('Monthly Detail'!CV33-'Monthly Detail'!$B$31)*'New Trainers Plan'!$D$4, 0)</f>
        <v>4743.5425334494521</v>
      </c>
      <c r="CF4" s="238">
        <f>+IF(('Monthly Detail'!CW33-'Monthly Detail'!$B$31)&gt;0,('Monthly Detail'!CW33-'Monthly Detail'!$B$31)*'New Trainers Plan'!$D$4, 0)</f>
        <v>5246.2893791239267</v>
      </c>
      <c r="CG4" s="238">
        <f>+IF(('Monthly Detail'!CX33-'Monthly Detail'!$B$31)&gt;0,('Monthly Detail'!CX33-'Monthly Detail'!$B$31)*'New Trainers Plan'!$D$4, 0)</f>
        <v>2368.4372719024595</v>
      </c>
      <c r="CH4" s="238">
        <f>+IF(('Monthly Detail'!CY33-'Monthly Detail'!$B$31)&gt;0,('Monthly Detail'!CY33-'Monthly Detail'!$B$31)*'New Trainers Plan'!$D$4, 0)</f>
        <v>5109.1760818548473</v>
      </c>
      <c r="CI4" s="238">
        <f>+IF(('Monthly Detail'!CZ33-'Monthly Detail'!$B$31)&gt;0,('Monthly Detail'!CZ33-'Monthly Detail'!$B$31)*'New Trainers Plan'!$D$4, 0)</f>
        <v>0</v>
      </c>
      <c r="CJ4" s="238">
        <f>+IF(('Monthly Detail'!DA33-'Monthly Detail'!$B$31)&gt;0,('Monthly Detail'!DA33-'Monthly Detail'!$B$31)*'New Trainers Plan'!$D$4, 0)</f>
        <v>0</v>
      </c>
      <c r="CK4" s="238">
        <f>+IF(('Monthly Detail'!DB33-'Monthly Detail'!$B$31)&gt;0,('Monthly Detail'!DB33-'Monthly Detail'!$B$31)*'New Trainers Plan'!$D$4, 0)</f>
        <v>0</v>
      </c>
      <c r="CL4" s="238">
        <f>+IF(('Monthly Detail'!DC33-'Monthly Detail'!$B$31)&gt;0,('Monthly Detail'!DC33-'Monthly Detail'!$B$31)*'New Trainers Plan'!$D$4, 0)</f>
        <v>0</v>
      </c>
      <c r="CM4" s="238">
        <f>+IF(('Monthly Detail'!DD33-'Monthly Detail'!$B$31)&gt;0,('Monthly Detail'!DD33-'Monthly Detail'!$B$31)*'New Trainers Plan'!$D$4, 0)</f>
        <v>0</v>
      </c>
      <c r="CN4" s="238">
        <f>+IF(('Monthly Detail'!DE33-'Monthly Detail'!$B$31)&gt;0,('Monthly Detail'!DE33-'Monthly Detail'!$B$31)*'New Trainers Plan'!$D$4, 0)</f>
        <v>0</v>
      </c>
      <c r="CO4" s="238">
        <f>+IF(('Monthly Detail'!DF33-'Monthly Detail'!$B$31)&gt;0,('Monthly Detail'!DF33-'Monthly Detail'!$B$31)*'New Trainers Plan'!$D$4, 0)</f>
        <v>0</v>
      </c>
      <c r="CP4" s="238">
        <f>+IF(('Monthly Detail'!DG33-'Monthly Detail'!$B$31)&gt;0,('Monthly Detail'!DG33-'Monthly Detail'!$B$31)*'New Trainers Plan'!$D$4, 0)</f>
        <v>0</v>
      </c>
      <c r="CQ4" s="238">
        <f>+IF(('Monthly Detail'!DH33-'Monthly Detail'!$B$31)&gt;0,('Monthly Detail'!DH33-'Monthly Detail'!$B$31)*'New Trainers Plan'!$D$4, 0)</f>
        <v>0</v>
      </c>
      <c r="CR4" s="238">
        <f>+IF(('Monthly Detail'!DI33-'Monthly Detail'!$B$31)&gt;0,('Monthly Detail'!DI33-'Monthly Detail'!$B$31)*'New Trainers Plan'!$D$4, 0)</f>
        <v>0</v>
      </c>
      <c r="CS4" s="238">
        <f>+IF(('Monthly Detail'!DJ33-'Monthly Detail'!$B$31)&gt;0,('Monthly Detail'!DJ33-'Monthly Detail'!$B$31)*'New Trainers Plan'!$D$4, 0)</f>
        <v>0</v>
      </c>
      <c r="CT4" s="238">
        <f>+IF(('Monthly Detail'!DK33-'Monthly Detail'!$B$31)&gt;0,('Monthly Detail'!DK33-'Monthly Detail'!$B$31)*'New Trainers Plan'!$D$4, 0)</f>
        <v>0</v>
      </c>
      <c r="CU4" s="238">
        <f>+IF(('Monthly Detail'!DL33-'Monthly Detail'!$B$31)&gt;0,('Monthly Detail'!DL33-'Monthly Detail'!$B$31)*'New Trainers Plan'!$D$4, 0)</f>
        <v>0</v>
      </c>
      <c r="CV4" s="238">
        <f>+IF(('Monthly Detail'!DM33-'Monthly Detail'!$B$31)&gt;0,('Monthly Detail'!DM33-'Monthly Detail'!$B$31)*'New Trainers Plan'!$D$4, 0)</f>
        <v>0</v>
      </c>
      <c r="CW4" s="238">
        <f>+IF(('Monthly Detail'!DN33-'Monthly Detail'!$B$31)&gt;0,('Monthly Detail'!DN33-'Monthly Detail'!$B$31)*'New Trainers Plan'!$D$4, 0)</f>
        <v>0</v>
      </c>
      <c r="CX4" s="238">
        <f>+IF(('Monthly Detail'!DO33-'Monthly Detail'!$B$31)&gt;0,('Monthly Detail'!DO33-'Monthly Detail'!$B$31)*'New Trainers Plan'!$D$4, 0)</f>
        <v>0</v>
      </c>
      <c r="CY4" s="238">
        <f>+IF(('Monthly Detail'!DP33-'Monthly Detail'!$B$31)&gt;0,('Monthly Detail'!DP33-'Monthly Detail'!$B$31)*'New Trainers Plan'!$D$4, 0)</f>
        <v>0</v>
      </c>
      <c r="CZ4" s="238">
        <f>+IF(('Monthly Detail'!DQ33-'Monthly Detail'!$B$31)&gt;0,('Monthly Detail'!DQ33-'Monthly Detail'!$B$31)*'New Trainers Plan'!$D$4, 0)</f>
        <v>0</v>
      </c>
      <c r="DA4" s="238">
        <f>+IF(('Monthly Detail'!DR33-'Monthly Detail'!$B$31)&gt;0,('Monthly Detail'!DR33-'Monthly Detail'!$B$31)*'New Trainers Plan'!$D$4, 0)</f>
        <v>0</v>
      </c>
      <c r="DB4" s="238">
        <f>+IF(('Monthly Detail'!DS33-'Monthly Detail'!$B$31)&gt;0,('Monthly Detail'!DS33-'Monthly Detail'!$B$31)*'New Trainers Plan'!$D$4, 0)</f>
        <v>0</v>
      </c>
      <c r="DC4" s="238">
        <f>+IF(('Monthly Detail'!DT33-'Monthly Detail'!$B$31)&gt;0,('Monthly Detail'!DT33-'Monthly Detail'!$B$31)*'New Trainers Plan'!$D$4, 0)</f>
        <v>0</v>
      </c>
      <c r="DD4" s="238">
        <f>+IF(('Monthly Detail'!DU33-'Monthly Detail'!$B$31)&gt;0,('Monthly Detail'!DU33-'Monthly Detail'!$B$31)*'New Trainers Plan'!$D$4, 0)</f>
        <v>0</v>
      </c>
      <c r="DE4" s="238">
        <f>+IF(('Monthly Detail'!DV33-'Monthly Detail'!$B$31)&gt;0,('Monthly Detail'!DV33-'Monthly Detail'!$B$31)*'New Trainers Plan'!$D$4, 0)</f>
        <v>0</v>
      </c>
      <c r="DF4" s="238">
        <f>+IF(('Monthly Detail'!DW33-'Monthly Detail'!$B$31)&gt;0,('Monthly Detail'!DW33-'Monthly Detail'!$B$31)*'New Trainers Plan'!$D$4, 0)</f>
        <v>0</v>
      </c>
      <c r="DG4" s="238">
        <f>+IF(('Monthly Detail'!DX33-'Monthly Detail'!$B$31)&gt;0,('Monthly Detail'!DX33-'Monthly Detail'!$B$31)*'New Trainers Plan'!$D$4, 0)</f>
        <v>0</v>
      </c>
      <c r="DH4" s="238">
        <f>+IF(('Monthly Detail'!DY33-'Monthly Detail'!$B$31)&gt;0,('Monthly Detail'!DY33-'Monthly Detail'!$B$31)*'New Trainers Plan'!$D$4, 0)</f>
        <v>0</v>
      </c>
      <c r="DI4" s="238">
        <f>+IF(('Monthly Detail'!DZ33-'Monthly Detail'!$B$31)&gt;0,('Monthly Detail'!DZ33-'Monthly Detail'!$B$31)*'New Trainers Plan'!$D$4, 0)</f>
        <v>0</v>
      </c>
      <c r="DJ4" s="238">
        <f>+IF(('Monthly Detail'!EA33-'Monthly Detail'!$B$31)&gt;0,('Monthly Detail'!EA33-'Monthly Detail'!$B$31)*'New Trainers Plan'!$D$4, 0)</f>
        <v>0</v>
      </c>
      <c r="DK4" s="238">
        <f>+IF(('Monthly Detail'!EB33-'Monthly Detail'!$B$31)&gt;0,('Monthly Detail'!EB33-'Monthly Detail'!$B$31)*'New Trainers Plan'!$D$4, 0)</f>
        <v>0</v>
      </c>
      <c r="DL4" s="238">
        <f>+IF(('Monthly Detail'!EC33-'Monthly Detail'!$B$31)&gt;0,('Monthly Detail'!EC33-'Monthly Detail'!$B$31)*'New Trainers Plan'!$D$4, 0)</f>
        <v>0</v>
      </c>
      <c r="DM4" s="238">
        <f>+IF(('Monthly Detail'!ED33-'Monthly Detail'!$B$31)&gt;0,('Monthly Detail'!ED33-'Monthly Detail'!$B$31)*'New Trainers Plan'!$D$4, 0)</f>
        <v>0</v>
      </c>
      <c r="DN4" s="238">
        <f>+IF(('Monthly Detail'!EE33-'Monthly Detail'!$B$31)&gt;0,('Monthly Detail'!EE33-'Monthly Detail'!$B$31)*'New Trainers Plan'!$D$4, 0)</f>
        <v>0</v>
      </c>
      <c r="DO4" s="238">
        <f>+IF(('Monthly Detail'!EF33-'Monthly Detail'!$B$31)&gt;0,('Monthly Detail'!EF33-'Monthly Detail'!$B$31)*'New Trainers Plan'!$D$4, 0)</f>
        <v>0</v>
      </c>
      <c r="DP4" s="238">
        <f>+IF(('Monthly Detail'!EG33-'Monthly Detail'!$B$31)&gt;0,('Monthly Detail'!EG33-'Monthly Detail'!$B$31)*'New Trainers Plan'!$D$4, 0)</f>
        <v>0</v>
      </c>
      <c r="DQ4" s="238">
        <f>+IF(('Monthly Detail'!EH33-'Monthly Detail'!$B$31)&gt;0,('Monthly Detail'!EH33-'Monthly Detail'!$B$31)*'New Trainers Plan'!$D$4, 0)</f>
        <v>0</v>
      </c>
      <c r="DR4" s="238">
        <f>+IF(('Monthly Detail'!EI33-'Monthly Detail'!$B$31)&gt;0,('Monthly Detail'!EI33-'Monthly Detail'!$B$31)*'New Trainers Plan'!$D$4, 0)</f>
        <v>0</v>
      </c>
      <c r="DS4" s="238">
        <f>+IF(('Monthly Detail'!EJ33-'Monthly Detail'!$B$31)&gt;0,('Monthly Detail'!EJ33-'Monthly Detail'!$B$31)*'New Trainers Plan'!$D$4, 0)</f>
        <v>0</v>
      </c>
      <c r="DT4" s="238">
        <f>+IF(('Monthly Detail'!EK33-'Monthly Detail'!$B$31)&gt;0,('Monthly Detail'!EK33-'Monthly Detail'!$B$31)*'New Trainers Plan'!$D$4, 0)</f>
        <v>0</v>
      </c>
      <c r="DU4" s="238">
        <f>+IF(('Monthly Detail'!EL33-'Monthly Detail'!$B$31)&gt;0,('Monthly Detail'!EL33-'Monthly Detail'!$B$31)*'New Trainers Plan'!$D$4, 0)</f>
        <v>0</v>
      </c>
      <c r="DV4" s="238">
        <f>+IF(('Monthly Detail'!EM33-'Monthly Detail'!$B$31)&gt;0,('Monthly Detail'!EM33-'Monthly Detail'!$B$31)*'New Trainers Plan'!$D$4, 0)</f>
        <v>0</v>
      </c>
      <c r="DW4" s="238">
        <f>+IF(('Monthly Detail'!EN33-'Monthly Detail'!$B$31)&gt;0,('Monthly Detail'!EN33-'Monthly Detail'!$B$31)*'New Trainers Plan'!$D$4, 0)</f>
        <v>0</v>
      </c>
      <c r="DX4" s="238">
        <f>+IF(('Monthly Detail'!EO33-'Monthly Detail'!$B$31)&gt;0,('Monthly Detail'!EO33-'Monthly Detail'!$B$31)*'New Trainers Plan'!$D$4, 0)</f>
        <v>0</v>
      </c>
      <c r="DY4" s="238">
        <f>+IF(('Monthly Detail'!EP33-'Monthly Detail'!$B$31)&gt;0,('Monthly Detail'!EP33-'Monthly Detail'!$B$31)*'New Trainers Plan'!$D$4, 0)</f>
        <v>0</v>
      </c>
      <c r="DZ4" s="238">
        <f>+IF(('Monthly Detail'!EQ33-'Monthly Detail'!$B$31)&gt;0,('Monthly Detail'!EQ33-'Monthly Detail'!$B$31)*'New Trainers Plan'!$D$4, 0)</f>
        <v>0</v>
      </c>
      <c r="EA4" s="238">
        <f>+IF(('Monthly Detail'!ER33-'Monthly Detail'!$B$31)&gt;0,('Monthly Detail'!ER33-'Monthly Detail'!$B$31)*'New Trainers Plan'!$D$4, 0)</f>
        <v>0</v>
      </c>
      <c r="EB4" s="238">
        <f>+IF(('Monthly Detail'!ES33-'Monthly Detail'!$B$31)&gt;0,('Monthly Detail'!ES33-'Monthly Detail'!$B$31)*'New Trainers Plan'!$D$4, 0)</f>
        <v>0</v>
      </c>
      <c r="EC4" s="238">
        <f>+IF(('Monthly Detail'!ET33-'Monthly Detail'!$B$31)&gt;0,('Monthly Detail'!ET33-'Monthly Detail'!$B$31)*'New Trainers Plan'!$D$4, 0)</f>
        <v>0</v>
      </c>
      <c r="ED4" s="238">
        <f>+IF(('Monthly Detail'!EU33-'Monthly Detail'!$B$31)&gt;0,('Monthly Detail'!EU33-'Monthly Detail'!$B$31)*'New Trainers Plan'!$D$4, 0)</f>
        <v>0</v>
      </c>
      <c r="EE4" s="238">
        <f>+IF(('Monthly Detail'!EV33-'Monthly Detail'!$B$31)&gt;0,('Monthly Detail'!EV33-'Monthly Detail'!$B$31)*'New Trainers Plan'!$D$4, 0)</f>
        <v>0</v>
      </c>
      <c r="EF4" s="238">
        <f>+IF(('Monthly Detail'!EW33-'Monthly Detail'!$B$31)&gt;0,('Monthly Detail'!EW33-'Monthly Detail'!$B$31)*'New Trainers Plan'!$D$4, 0)</f>
        <v>0</v>
      </c>
      <c r="EG4" s="238">
        <f>+IF(('Monthly Detail'!EX33-'Monthly Detail'!$B$31)&gt;0,('Monthly Detail'!EX33-'Monthly Detail'!$B$31)*'New Trainers Plan'!$D$4, 0)</f>
        <v>0</v>
      </c>
      <c r="EH4" s="238">
        <f>+IF(('Monthly Detail'!EY33-'Monthly Detail'!$B$31)&gt;0,('Monthly Detail'!EY33-'Monthly Detail'!$B$31)*'New Trainers Plan'!$D$4, 0)</f>
        <v>0</v>
      </c>
      <c r="EI4" s="238">
        <f>+IF(('Monthly Detail'!EZ33-'Monthly Detail'!$B$31)&gt;0,('Monthly Detail'!EZ33-'Monthly Detail'!$B$31)*'New Trainers Plan'!$D$4, 0)</f>
        <v>0</v>
      </c>
      <c r="EJ4" s="238">
        <f>+IF(('Monthly Detail'!FA33-'Monthly Detail'!$B$31)&gt;0,('Monthly Detail'!FA33-'Monthly Detail'!$B$31)*'New Trainers Plan'!$D$4, 0)</f>
        <v>0</v>
      </c>
      <c r="EK4" s="238">
        <f>+IF(('Monthly Detail'!FB33-'Monthly Detail'!$B$31)&gt;0,('Monthly Detail'!FB33-'Monthly Detail'!$B$31)*'New Trainers Plan'!$D$4, 0)</f>
        <v>0</v>
      </c>
      <c r="EL4" s="238">
        <f>+IF(('Monthly Detail'!FC33-'Monthly Detail'!$B$31)&gt;0,('Monthly Detail'!FC33-'Monthly Detail'!$B$31)*'New Trainers Plan'!$D$4, 0)</f>
        <v>0</v>
      </c>
      <c r="EM4" s="238">
        <f>+IF(('Monthly Detail'!FD33-'Monthly Detail'!$B$31)&gt;0,('Monthly Detail'!FD33-'Monthly Detail'!$B$31)*'New Trainers Plan'!$D$4, 0)</f>
        <v>0</v>
      </c>
      <c r="EN4" s="238">
        <f>+IF(('Monthly Detail'!FE33-'Monthly Detail'!$B$31)&gt;0,('Monthly Detail'!FE33-'Monthly Detail'!$B$31)*'New Trainers Plan'!$D$4, 0)</f>
        <v>0</v>
      </c>
      <c r="EO4" s="238">
        <f>+IF(('Monthly Detail'!FF33-'Monthly Detail'!$B$31)&gt;0,('Monthly Detail'!FF33-'Monthly Detail'!$B$31)*'New Trainers Plan'!$D$4, 0)</f>
        <v>0</v>
      </c>
      <c r="EP4" s="238">
        <f>+IF(('Monthly Detail'!FG33-'Monthly Detail'!$B$31)&gt;0,('Monthly Detail'!FG33-'Monthly Detail'!$B$31)*'New Trainers Plan'!$D$4, 0)</f>
        <v>0</v>
      </c>
      <c r="EQ4" s="238">
        <f>+IF(('Monthly Detail'!FH33-'Monthly Detail'!$B$31)&gt;0,('Monthly Detail'!FH33-'Monthly Detail'!$B$31)*'New Trainers Plan'!$D$4, 0)</f>
        <v>0</v>
      </c>
      <c r="ER4" s="238">
        <f>+IF(('Monthly Detail'!FI33-'Monthly Detail'!$B$31)&gt;0,('Monthly Detail'!FI33-'Monthly Detail'!$B$31)*'New Trainers Plan'!$D$4, 0)</f>
        <v>0</v>
      </c>
      <c r="ES4" s="238">
        <f>+IF(('Monthly Detail'!FJ33-'Monthly Detail'!$B$31)&gt;0,('Monthly Detail'!FJ33-'Monthly Detail'!$B$31)*'New Trainers Plan'!$D$4, 0)</f>
        <v>0</v>
      </c>
      <c r="ET4" s="238">
        <f>+IF(('Monthly Detail'!FK33-'Monthly Detail'!$B$31)&gt;0,('Monthly Detail'!FK33-'Monthly Detail'!$B$31)*'New Trainers Plan'!$D$4, 0)</f>
        <v>0</v>
      </c>
      <c r="EU4" s="238">
        <f>+IF(('Monthly Detail'!FL33-'Monthly Detail'!$B$31)&gt;0,('Monthly Detail'!FL33-'Monthly Detail'!$B$31)*'New Trainers Plan'!$D$4, 0)</f>
        <v>0</v>
      </c>
      <c r="EV4" s="238">
        <f>+IF(('Monthly Detail'!FM33-'Monthly Detail'!$B$31)&gt;0,('Monthly Detail'!FM33-'Monthly Detail'!$B$31)*'New Trainers Plan'!$D$4, 0)</f>
        <v>0</v>
      </c>
      <c r="EW4" s="238">
        <f>+IF(('Monthly Detail'!FN33-'Monthly Detail'!$B$31)&gt;0,('Monthly Detail'!FN33-'Monthly Detail'!$B$31)*'New Trainers Plan'!$D$4, 0)</f>
        <v>0</v>
      </c>
      <c r="EX4" s="238">
        <f>+IF(('Monthly Detail'!FO33-'Monthly Detail'!$B$31)&gt;0,('Monthly Detail'!FO33-'Monthly Detail'!$B$31)*'New Trainers Plan'!$D$4, 0)</f>
        <v>0</v>
      </c>
      <c r="EY4" s="238">
        <f>+IF(('Monthly Detail'!FP33-'Monthly Detail'!$B$31)&gt;0,('Monthly Detail'!FP33-'Monthly Detail'!$B$31)*'New Trainers Plan'!$D$4, 0)</f>
        <v>0</v>
      </c>
      <c r="EZ4" s="238">
        <f>+IF(('Monthly Detail'!FQ33-'Monthly Detail'!$B$31)&gt;0,('Monthly Detail'!FQ33-'Monthly Detail'!$B$31)*'New Trainers Plan'!$D$4, 0)</f>
        <v>0</v>
      </c>
      <c r="FA4" s="238">
        <f>+IF(('Monthly Detail'!FR33-'Monthly Detail'!$B$31)&gt;0,('Monthly Detail'!FR33-'Monthly Detail'!$B$31)*'New Trainers Plan'!$D$4, 0)</f>
        <v>0</v>
      </c>
      <c r="FB4" s="238">
        <f>+IF(('Monthly Detail'!FS33-'Monthly Detail'!$B$31)&gt;0,('Monthly Detail'!FS33-'Monthly Detail'!$B$31)*'New Trainers Plan'!$D$4, 0)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5D13-8668-4E68-87FD-A3ECA724D35D}">
  <dimension ref="A1"/>
  <sheetViews>
    <sheetView workbookViewId="0">
      <selection activeCell="P36" sqref="P36"/>
    </sheetView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2:V37"/>
  <sheetViews>
    <sheetView showGridLines="0" zoomScale="66" workbookViewId="0">
      <selection activeCell="A3" sqref="A2:W38"/>
    </sheetView>
  </sheetViews>
  <sheetFormatPr defaultRowHeight="14.4" outlineLevelCol="1" x14ac:dyDescent="0.3"/>
  <cols>
    <col min="3" max="3" width="50.33203125" bestFit="1" customWidth="1"/>
    <col min="4" max="4" width="13.5546875" bestFit="1" customWidth="1"/>
    <col min="5" max="6" width="15.109375" bestFit="1" customWidth="1"/>
    <col min="7" max="7" width="15.5546875" customWidth="1"/>
    <col min="8" max="9" width="15.5546875" hidden="1" customWidth="1" outlineLevel="1"/>
    <col min="10" max="10" width="8.88671875" collapsed="1"/>
  </cols>
  <sheetData>
    <row r="2" spans="2:22" ht="15" thickBot="1" x14ac:dyDescent="0.35"/>
    <row r="3" spans="2:22" x14ac:dyDescent="0.3">
      <c r="B3" s="92"/>
      <c r="C3" s="93"/>
      <c r="D3" s="94"/>
      <c r="E3" s="94"/>
      <c r="F3" s="94"/>
      <c r="G3" s="94"/>
      <c r="H3" s="94"/>
      <c r="I3" s="94"/>
      <c r="J3" s="95"/>
      <c r="K3" s="92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2:22" x14ac:dyDescent="0.3">
      <c r="B4" s="96"/>
      <c r="C4" s="7"/>
      <c r="J4" s="97"/>
      <c r="K4" s="96"/>
      <c r="V4" s="97"/>
    </row>
    <row r="5" spans="2:22" x14ac:dyDescent="0.3">
      <c r="B5" s="96"/>
      <c r="C5" s="7"/>
      <c r="J5" s="97"/>
      <c r="K5" s="96"/>
      <c r="V5" s="97"/>
    </row>
    <row r="6" spans="2:22" x14ac:dyDescent="0.3">
      <c r="B6" s="96"/>
      <c r="C6" s="7"/>
      <c r="J6" s="97"/>
      <c r="K6" s="96"/>
      <c r="V6" s="97"/>
    </row>
    <row r="7" spans="2:22" x14ac:dyDescent="0.3">
      <c r="B7" s="96"/>
      <c r="C7" s="7"/>
      <c r="J7" s="97"/>
      <c r="K7" s="96"/>
      <c r="V7" s="97"/>
    </row>
    <row r="8" spans="2:22" x14ac:dyDescent="0.3">
      <c r="B8" s="96"/>
      <c r="C8" s="7"/>
      <c r="J8" s="97"/>
      <c r="K8" s="96"/>
      <c r="V8" s="97"/>
    </row>
    <row r="9" spans="2:22" x14ac:dyDescent="0.3">
      <c r="B9" s="96"/>
      <c r="C9" s="7"/>
      <c r="J9" s="97"/>
      <c r="K9" s="96"/>
      <c r="V9" s="97"/>
    </row>
    <row r="10" spans="2:22" ht="15" thickBot="1" x14ac:dyDescent="0.35">
      <c r="B10" s="96"/>
      <c r="C10" s="7"/>
      <c r="J10" s="97"/>
      <c r="K10" s="96"/>
      <c r="V10" s="97"/>
    </row>
    <row r="11" spans="2:22" ht="15.6" x14ac:dyDescent="0.3">
      <c r="B11" s="98"/>
      <c r="C11" s="456"/>
      <c r="D11" s="457">
        <v>2024</v>
      </c>
      <c r="E11" s="457">
        <f t="shared" ref="E11:I11" si="0">+D11+1</f>
        <v>2025</v>
      </c>
      <c r="F11" s="457">
        <f t="shared" si="0"/>
        <v>2026</v>
      </c>
      <c r="G11" s="458">
        <f t="shared" si="0"/>
        <v>2027</v>
      </c>
      <c r="H11" s="457">
        <f t="shared" si="0"/>
        <v>2028</v>
      </c>
      <c r="I11" s="458">
        <f t="shared" si="0"/>
        <v>2029</v>
      </c>
      <c r="J11" s="99"/>
      <c r="K11" s="98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99"/>
    </row>
    <row r="12" spans="2:22" ht="15.6" x14ac:dyDescent="0.3">
      <c r="B12" s="96"/>
      <c r="C12" s="459" t="s">
        <v>1</v>
      </c>
      <c r="D12" s="460"/>
      <c r="E12" s="460"/>
      <c r="F12" s="460"/>
      <c r="G12" s="461"/>
      <c r="H12" s="460"/>
      <c r="I12" s="461"/>
      <c r="J12" s="97"/>
      <c r="K12" s="96"/>
      <c r="V12" s="97"/>
    </row>
    <row r="13" spans="2:22" x14ac:dyDescent="0.3">
      <c r="B13" s="96"/>
      <c r="C13" s="307" t="s">
        <v>339</v>
      </c>
      <c r="D13" s="101">
        <f>SUMIF('Monthly Detail'!$1:$1,'Annual Summary'!D$11, 'Monthly Detail'!10:10)</f>
        <v>21992.940000000002</v>
      </c>
      <c r="E13" s="101">
        <f>SUMIF('Monthly Detail'!$1:$1,'Annual Summary'!E$11, 'Monthly Detail'!10:10)</f>
        <v>121142.64063552511</v>
      </c>
      <c r="F13" s="101">
        <f>SUMIF('Monthly Detail'!$1:$1,'Annual Summary'!F$11, 'Monthly Detail'!10:10)</f>
        <v>156582.00457359146</v>
      </c>
      <c r="G13" s="462">
        <f>SUMIF('Monthly Detail'!$1:$1,'Annual Summary'!G$11, 'Monthly Detail'!10:10)</f>
        <v>198705.5550951121</v>
      </c>
      <c r="H13" s="101">
        <f>SUMIF('Monthly Detail'!$1:$1,'Annual Summary'!H$11, 'Monthly Detail'!10:10)</f>
        <v>250509.70521584759</v>
      </c>
      <c r="I13" s="462">
        <f>SUMIF('Monthly Detail'!$1:$1,'Annual Summary'!I$11, 'Monthly Detail'!10:10)</f>
        <v>315818.65555615578</v>
      </c>
      <c r="J13" s="97"/>
      <c r="K13" s="96"/>
      <c r="V13" s="97"/>
    </row>
    <row r="14" spans="2:22" x14ac:dyDescent="0.3">
      <c r="B14" s="96"/>
      <c r="C14" s="307" t="s">
        <v>162</v>
      </c>
      <c r="D14" s="101">
        <f>SUMIF('Monthly Detail'!$1:$1,'Annual Summary'!D$11, 'Monthly Detail'!11:11)</f>
        <v>0</v>
      </c>
      <c r="E14" s="101">
        <f>SUMIF('Monthly Detail'!$1:$1,'Annual Summary'!E$11, 'Monthly Detail'!11:11)</f>
        <v>0</v>
      </c>
      <c r="F14" s="101">
        <f>SUMIF('Monthly Detail'!$1:$1,'Annual Summary'!F$11, 'Monthly Detail'!11:11)</f>
        <v>0</v>
      </c>
      <c r="G14" s="462">
        <f>SUMIF('Monthly Detail'!$1:$1,'Annual Summary'!G$11, 'Monthly Detail'!11:11)</f>
        <v>0</v>
      </c>
      <c r="H14" s="101">
        <f>SUMIF('Monthly Detail'!$1:$1,'Annual Summary'!H$11, 'Monthly Detail'!11:11)</f>
        <v>0</v>
      </c>
      <c r="I14" s="462">
        <f>SUMIF('Monthly Detail'!$1:$1,'Annual Summary'!I$11, 'Monthly Detail'!11:11)</f>
        <v>0</v>
      </c>
      <c r="J14" s="97"/>
      <c r="K14" s="96"/>
      <c r="V14" s="97"/>
    </row>
    <row r="15" spans="2:22" x14ac:dyDescent="0.3">
      <c r="B15" s="96"/>
      <c r="C15" s="309" t="s">
        <v>2</v>
      </c>
      <c r="D15" s="102">
        <f t="shared" ref="D15:I15" si="1">SUM(D13:D14)</f>
        <v>21992.940000000002</v>
      </c>
      <c r="E15" s="102">
        <f t="shared" si="1"/>
        <v>121142.64063552511</v>
      </c>
      <c r="F15" s="102">
        <f t="shared" si="1"/>
        <v>156582.00457359146</v>
      </c>
      <c r="G15" s="463">
        <f t="shared" si="1"/>
        <v>198705.5550951121</v>
      </c>
      <c r="H15" s="558">
        <f t="shared" si="1"/>
        <v>250509.70521584759</v>
      </c>
      <c r="I15" s="463">
        <f t="shared" si="1"/>
        <v>315818.65555615578</v>
      </c>
      <c r="J15" s="97"/>
      <c r="K15" s="96"/>
      <c r="V15" s="97"/>
    </row>
    <row r="16" spans="2:22" x14ac:dyDescent="0.3">
      <c r="B16" s="96"/>
      <c r="C16" s="423" t="s">
        <v>306</v>
      </c>
      <c r="D16" s="450">
        <f>+SUMIF('Monthly Detail'!$4:$4,EOMONTH(DATE('Annual Summary'!D11,12,31),0),'Monthly Detail'!15:15)</f>
        <v>19.114285714285714</v>
      </c>
      <c r="E16" s="450">
        <f>+SUMIF('Monthly Detail'!$4:$4,EOMONTH(DATE('Annual Summary'!E11,12,31),0),'Monthly Detail'!15:15)</f>
        <v>37.12327376942811</v>
      </c>
      <c r="F16" s="450">
        <f>+SUMIF('Monthly Detail'!$4:$4,EOMONTH(DATE('Annual Summary'!F11,12,31),0),'Monthly Detail'!15:15)</f>
        <v>47.096589679555777</v>
      </c>
      <c r="G16" s="464">
        <f>+SUMIF('Monthly Detail'!$4:$4,EOMONTH(DATE('Annual Summary'!G11,12,31),0),'Monthly Detail'!15:15)</f>
        <v>60.570665507700298</v>
      </c>
      <c r="H16" s="559">
        <f>+SUMIF('Monthly Detail'!$4:$4,EOMONTH(DATE('Annual Summary'!H11,12,31),0),'Monthly Detail'!15:15)</f>
        <v>76.095598018756917</v>
      </c>
      <c r="I16" s="464">
        <f>+SUMIF('Monthly Detail'!$4:$4,EOMONTH(DATE('Annual Summary'!I11,12,31),0),'Monthly Detail'!15:15)</f>
        <v>96.957862566734576</v>
      </c>
      <c r="J16" s="97"/>
      <c r="K16" s="96"/>
      <c r="V16" s="97"/>
    </row>
    <row r="17" spans="2:22" x14ac:dyDescent="0.3">
      <c r="B17" s="96"/>
      <c r="C17" s="534" t="s">
        <v>314</v>
      </c>
      <c r="D17" s="556">
        <f>+SUMIF('Monthly Detail'!$4:$4,EOMONTH(DATE('Annual Summary'!D11,12,31),0),'Monthly Detail'!42:42)</f>
        <v>2201.6645489199486</v>
      </c>
      <c r="E17" s="556">
        <f>+SUMIF('Monthly Detail'!$4:$4,EOMONTH(DATE('Annual Summary'!E11,12,31),0),'Monthly Detail'!42:42)</f>
        <v>5333.5687462355399</v>
      </c>
      <c r="F17" s="556">
        <f>+SUMIF('Monthly Detail'!$4:$4,EOMONTH(DATE('Annual Summary'!F11,12,31),0),'Monthly Detail'!42:42)</f>
        <v>6723.5263435743936</v>
      </c>
      <c r="G17" s="557">
        <f>+SUMIF('Monthly Detail'!$4:$4,EOMONTH(DATE('Annual Summary'!G11,12,31),0),'Monthly Detail'!42:42)</f>
        <v>8540.7961962026984</v>
      </c>
      <c r="H17" s="560">
        <f>+SUMIF('Monthly Detail'!$4:$4,EOMONTH(DATE('Annual Summary'!H11,12,31),0),'Monthly Detail'!42:42)</f>
        <v>10728.371648713584</v>
      </c>
      <c r="I17" s="557">
        <f>+SUMIF('Monthly Detail'!$4:$4,EOMONTH(DATE('Annual Summary'!I11,12,31),0),'Monthly Detail'!42:42)</f>
        <v>13565.627157070903</v>
      </c>
      <c r="J17" s="97"/>
      <c r="K17" s="96"/>
      <c r="V17" s="97"/>
    </row>
    <row r="18" spans="2:22" x14ac:dyDescent="0.3">
      <c r="B18" s="96"/>
      <c r="C18" s="465" t="s">
        <v>205</v>
      </c>
      <c r="D18" s="130">
        <v>0</v>
      </c>
      <c r="E18" s="130">
        <f>(E15/D15)-1</f>
        <v>4.5082513131725497</v>
      </c>
      <c r="F18" s="130">
        <f>(F15/E15)-1</f>
        <v>0.29254244213390335</v>
      </c>
      <c r="G18" s="466">
        <f>(G15/F15)-1</f>
        <v>0.26901910367179593</v>
      </c>
      <c r="H18" s="130">
        <f>(H15/G15)-1</f>
        <v>0.26070811204014399</v>
      </c>
      <c r="I18" s="466">
        <f>(I15/H15)-1</f>
        <v>0.26070427205219771</v>
      </c>
      <c r="J18" s="97"/>
      <c r="K18" s="96"/>
      <c r="V18" s="97"/>
    </row>
    <row r="19" spans="2:22" ht="5.4" customHeight="1" x14ac:dyDescent="0.3">
      <c r="B19" s="96"/>
      <c r="C19" s="306"/>
      <c r="G19" s="97"/>
      <c r="I19" s="97"/>
      <c r="J19" s="97"/>
      <c r="K19" s="96"/>
      <c r="V19" s="97"/>
    </row>
    <row r="20" spans="2:22" x14ac:dyDescent="0.3">
      <c r="B20" s="96"/>
      <c r="C20" s="306" t="s">
        <v>324</v>
      </c>
      <c r="D20" s="76">
        <f>SUMIF('Monthly Detail'!$1:$1,'Annual Summary'!D$11, 'Monthly Detail'!$58:$58)</f>
        <v>0</v>
      </c>
      <c r="E20" s="76">
        <f>SUMIF('Monthly Detail'!$1:$1,'Annual Summary'!E$11, 'Monthly Detail'!$58:$58)</f>
        <v>11340.526346320983</v>
      </c>
      <c r="F20" s="76">
        <f>SUMIF('Monthly Detail'!$1:$1,'Annual Summary'!F$11, 'Monthly Detail'!$58:$58)</f>
        <v>19180.060706771867</v>
      </c>
      <c r="G20" s="311">
        <f>SUMIF('Monthly Detail'!$1:$1,'Annual Summary'!G$11, 'Monthly Detail'!$58:$58)</f>
        <v>28690.820383858845</v>
      </c>
      <c r="H20" s="76">
        <f>SUMIF('Monthly Detail'!$1:$1,'Annual Summary'!H$11, 'Monthly Detail'!$58:$58)</f>
        <v>40499.308195506317</v>
      </c>
      <c r="I20" s="311">
        <f>SUMIF('Monthly Detail'!$1:$1,'Annual Summary'!I$11, 'Monthly Detail'!$58:$58)</f>
        <v>56335.970474671427</v>
      </c>
      <c r="J20" s="97"/>
      <c r="K20" s="96"/>
      <c r="V20" s="97"/>
    </row>
    <row r="21" spans="2:22" ht="15.6" x14ac:dyDescent="0.3">
      <c r="B21" s="104"/>
      <c r="C21" s="312" t="s">
        <v>151</v>
      </c>
      <c r="D21" s="88">
        <f>D15-D20</f>
        <v>21992.940000000002</v>
      </c>
      <c r="E21" s="88">
        <f t="shared" ref="E21:I21" si="2">E15-E20</f>
        <v>109802.11428920412</v>
      </c>
      <c r="F21" s="88">
        <f t="shared" si="2"/>
        <v>137401.94386681961</v>
      </c>
      <c r="G21" s="314">
        <f t="shared" si="2"/>
        <v>170014.73471125326</v>
      </c>
      <c r="H21" s="88">
        <f t="shared" si="2"/>
        <v>210010.39702034128</v>
      </c>
      <c r="I21" s="314">
        <f t="shared" si="2"/>
        <v>259482.68508148435</v>
      </c>
      <c r="J21" s="105"/>
      <c r="K21" s="104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5"/>
    </row>
    <row r="22" spans="2:22" ht="15" customHeight="1" x14ac:dyDescent="0.3">
      <c r="B22" s="96"/>
      <c r="C22" s="315" t="s">
        <v>152</v>
      </c>
      <c r="D22" s="90">
        <f>+D21/D15</f>
        <v>1</v>
      </c>
      <c r="E22" s="90">
        <f t="shared" ref="E22:I22" si="3">+E21/E15</f>
        <v>0.90638699728825811</v>
      </c>
      <c r="F22" s="90">
        <f t="shared" si="3"/>
        <v>0.87750788630530352</v>
      </c>
      <c r="G22" s="316">
        <f t="shared" si="3"/>
        <v>0.8556113825296644</v>
      </c>
      <c r="H22" s="90">
        <f t="shared" si="3"/>
        <v>0.83833237853754705</v>
      </c>
      <c r="I22" s="316">
        <f t="shared" si="3"/>
        <v>0.82161924419738941</v>
      </c>
      <c r="J22" s="97"/>
      <c r="K22" s="96"/>
      <c r="V22" s="97"/>
    </row>
    <row r="23" spans="2:22" ht="6" customHeight="1" x14ac:dyDescent="0.3">
      <c r="B23" s="96"/>
      <c r="C23" s="306"/>
      <c r="G23" s="97"/>
      <c r="I23" s="97"/>
      <c r="J23" s="97"/>
      <c r="K23" s="96"/>
      <c r="V23" s="97"/>
    </row>
    <row r="24" spans="2:22" x14ac:dyDescent="0.3">
      <c r="B24" s="96"/>
      <c r="C24" s="306" t="s">
        <v>315</v>
      </c>
      <c r="D24" s="76">
        <f>SUMIF('Monthly Detail'!$1:$1,'Annual Summary'!D$11, 'Monthly Detail'!$64:$64)</f>
        <v>539</v>
      </c>
      <c r="E24" s="76">
        <f>SUMIF('Monthly Detail'!$1:$1,'Annual Summary'!E$11, 'Monthly Detail'!$64:$64)</f>
        <v>7200</v>
      </c>
      <c r="F24" s="76">
        <f>SUMIF('Monthly Detail'!$1:$1,'Annual Summary'!F$11, 'Monthly Detail'!$64:$64)</f>
        <v>8640</v>
      </c>
      <c r="G24" s="311">
        <f>SUMIF('Monthly Detail'!$1:$1,'Annual Summary'!G$11, 'Monthly Detail'!$64:$64)</f>
        <v>10368</v>
      </c>
      <c r="H24" s="76">
        <f>SUMIF('Monthly Detail'!$1:$1,'Annual Summary'!H$11, 'Monthly Detail'!$64:$64)</f>
        <v>12441.599999999997</v>
      </c>
      <c r="I24" s="311">
        <f>SUMIF('Monthly Detail'!$1:$1,'Annual Summary'!I$11, 'Monthly Detail'!$64:$64)</f>
        <v>14929.919999999998</v>
      </c>
      <c r="J24" s="97"/>
      <c r="K24" s="96"/>
      <c r="V24" s="97"/>
    </row>
    <row r="25" spans="2:22" x14ac:dyDescent="0.3">
      <c r="B25" s="96"/>
      <c r="C25" s="306" t="s">
        <v>190</v>
      </c>
      <c r="D25" s="76">
        <f>SUMIF('Monthly Detail'!$1:$1,'Annual Summary'!D$11, 'Monthly Detail'!$80:$80)</f>
        <v>14306.407503067501</v>
      </c>
      <c r="E25" s="76">
        <f>SUMIF('Monthly Detail'!$1:$1,'Annual Summary'!E$11, 'Monthly Detail'!$80:$80)</f>
        <v>18762.472834786731</v>
      </c>
      <c r="F25" s="76">
        <f>SUMIF('Monthly Detail'!$1:$1,'Annual Summary'!F$11, 'Monthly Detail'!$80:$80)</f>
        <v>48189.013001781816</v>
      </c>
      <c r="G25" s="311">
        <f>SUMIF('Monthly Detail'!$1:$1,'Annual Summary'!G$11, 'Monthly Detail'!$80:$80)</f>
        <v>60384.611627660401</v>
      </c>
      <c r="H25" s="76">
        <f>SUMIF('Monthly Detail'!$1:$1,'Annual Summary'!H$11, 'Monthly Detail'!$80:$80)</f>
        <v>69969.883279076632</v>
      </c>
      <c r="I25" s="311">
        <f>SUMIF('Monthly Detail'!$1:$1,'Annual Summary'!I$11, 'Monthly Detail'!$80:$80)</f>
        <v>72598.763444295022</v>
      </c>
      <c r="J25" s="97"/>
      <c r="K25" s="96"/>
      <c r="V25" s="97"/>
    </row>
    <row r="26" spans="2:22" hidden="1" x14ac:dyDescent="0.3">
      <c r="B26" s="96"/>
      <c r="C26" s="306" t="s">
        <v>189</v>
      </c>
      <c r="D26" s="76">
        <f>SUMIF('Monthly Detail'!$1:$1,'Annual Summary'!D$11, 'Monthly Detail'!81:81)</f>
        <v>0</v>
      </c>
      <c r="E26" s="76">
        <f>SUMIF('Monthly Detail'!$1:$1,'Annual Summary'!E$11, 'Monthly Detail'!81:81)</f>
        <v>0</v>
      </c>
      <c r="F26" s="76">
        <f>SUMIF('Monthly Detail'!$1:$1,'Annual Summary'!F$11, 'Monthly Detail'!81:81)</f>
        <v>0</v>
      </c>
      <c r="G26" s="311">
        <f>SUMIF('Monthly Detail'!$1:$1,'Annual Summary'!G$11, 'Monthly Detail'!81:81)</f>
        <v>0</v>
      </c>
      <c r="H26" s="76">
        <f>SUMIF('Monthly Detail'!$1:$1,'Annual Summary'!H$11, 'Monthly Detail'!81:81)</f>
        <v>0</v>
      </c>
      <c r="I26" s="311">
        <f>SUMIF('Monthly Detail'!$1:$1,'Annual Summary'!I$11, 'Monthly Detail'!81:81)</f>
        <v>0</v>
      </c>
      <c r="J26" s="97"/>
      <c r="K26" s="96"/>
      <c r="V26" s="97"/>
    </row>
    <row r="27" spans="2:22" x14ac:dyDescent="0.3">
      <c r="B27" s="96"/>
      <c r="C27" s="467" t="s">
        <v>161</v>
      </c>
      <c r="D27" s="103">
        <f>SUM(D24:D26)</f>
        <v>14845.407503067501</v>
      </c>
      <c r="E27" s="103">
        <f t="shared" ref="E27:I27" si="4">SUM(E24:E26)</f>
        <v>25962.472834786731</v>
      </c>
      <c r="F27" s="103">
        <f t="shared" si="4"/>
        <v>56829.013001781816</v>
      </c>
      <c r="G27" s="468">
        <f t="shared" si="4"/>
        <v>70752.611627660401</v>
      </c>
      <c r="H27" s="103">
        <f t="shared" si="4"/>
        <v>82411.483279076623</v>
      </c>
      <c r="I27" s="468">
        <f t="shared" si="4"/>
        <v>87528.68344429502</v>
      </c>
      <c r="J27" s="97"/>
      <c r="K27" s="96"/>
      <c r="V27" s="97"/>
    </row>
    <row r="28" spans="2:22" ht="5.4" customHeight="1" x14ac:dyDescent="0.3">
      <c r="B28" s="96"/>
      <c r="C28" s="306"/>
      <c r="G28" s="97"/>
      <c r="I28" s="97"/>
      <c r="J28" s="97"/>
      <c r="K28" s="96"/>
      <c r="V28" s="97"/>
    </row>
    <row r="29" spans="2:22" ht="15.6" x14ac:dyDescent="0.3">
      <c r="B29" s="104"/>
      <c r="C29" s="312" t="s">
        <v>154</v>
      </c>
      <c r="D29" s="88">
        <f t="shared" ref="D29:I29" si="5">D21-D27</f>
        <v>7147.5324969325011</v>
      </c>
      <c r="E29" s="88">
        <f>E21-E27</f>
        <v>83839.641454417389</v>
      </c>
      <c r="F29" s="88">
        <f t="shared" si="5"/>
        <v>80572.930865037793</v>
      </c>
      <c r="G29" s="314">
        <f t="shared" si="5"/>
        <v>99262.123083592858</v>
      </c>
      <c r="H29" s="88">
        <f t="shared" si="5"/>
        <v>127598.91374126465</v>
      </c>
      <c r="I29" s="314">
        <f t="shared" si="5"/>
        <v>171954.00163718933</v>
      </c>
      <c r="J29" s="105"/>
      <c r="K29" s="104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5"/>
    </row>
    <row r="30" spans="2:22" x14ac:dyDescent="0.3">
      <c r="B30" s="96"/>
      <c r="C30" s="315" t="s">
        <v>155</v>
      </c>
      <c r="D30" s="90">
        <f t="shared" ref="D30:I30" si="6">D29/D15</f>
        <v>0.32499213369983732</v>
      </c>
      <c r="E30" s="90">
        <f t="shared" si="6"/>
        <v>0.69207374888467965</v>
      </c>
      <c r="F30" s="90">
        <f t="shared" si="6"/>
        <v>0.51457337696280159</v>
      </c>
      <c r="G30" s="316">
        <f t="shared" si="6"/>
        <v>0.49954377488883089</v>
      </c>
      <c r="H30" s="90">
        <f t="shared" si="6"/>
        <v>0.50935716694617139</v>
      </c>
      <c r="I30" s="316">
        <f t="shared" si="6"/>
        <v>0.54447069105014967</v>
      </c>
      <c r="J30" s="97"/>
      <c r="K30" s="96"/>
      <c r="V30" s="97"/>
    </row>
    <row r="31" spans="2:22" ht="3.6" customHeight="1" x14ac:dyDescent="0.3">
      <c r="B31" s="96"/>
      <c r="C31" s="320"/>
      <c r="D31" s="82"/>
      <c r="E31" s="82"/>
      <c r="F31" s="82"/>
      <c r="G31" s="321"/>
      <c r="H31" s="82"/>
      <c r="I31" s="321"/>
      <c r="J31" s="97"/>
      <c r="K31" s="96"/>
      <c r="V31" s="97"/>
    </row>
    <row r="32" spans="2:22" x14ac:dyDescent="0.3">
      <c r="B32" s="96"/>
      <c r="C32" s="306" t="s">
        <v>156</v>
      </c>
      <c r="D32" s="76">
        <f>SUMIF('Monthly Detail'!$1:$1,'Annual Summary'!D$11, 'Monthly Detail'!89:89)</f>
        <v>0</v>
      </c>
      <c r="E32" s="76">
        <f>SUMIF('Monthly Detail'!$1:$1,'Annual Summary'!E$11, 'Monthly Detail'!89:89)</f>
        <v>0</v>
      </c>
      <c r="F32" s="76">
        <f>SUMIF('Monthly Detail'!$1:$1,'Annual Summary'!F$11, 'Monthly Detail'!89:89)</f>
        <v>0</v>
      </c>
      <c r="G32" s="311">
        <f>SUMIF('Monthly Detail'!$1:$1,'Annual Summary'!G$11, 'Monthly Detail'!89:89)</f>
        <v>0</v>
      </c>
      <c r="H32" s="76">
        <f>SUMIF('Monthly Detail'!$1:$1,'Annual Summary'!H$11, 'Monthly Detail'!89:89)</f>
        <v>0</v>
      </c>
      <c r="I32" s="311">
        <f>SUMIF('Monthly Detail'!$1:$1,'Annual Summary'!I$11, 'Monthly Detail'!89:89)</f>
        <v>0</v>
      </c>
      <c r="J32" s="97"/>
      <c r="K32" s="96"/>
      <c r="V32" s="97"/>
    </row>
    <row r="33" spans="2:22" ht="15.6" x14ac:dyDescent="0.3">
      <c r="B33" s="104"/>
      <c r="C33" s="312" t="s">
        <v>11</v>
      </c>
      <c r="D33" s="88">
        <f t="shared" ref="D33:I33" si="7">D29+D32</f>
        <v>7147.5324969325011</v>
      </c>
      <c r="E33" s="88">
        <f t="shared" si="7"/>
        <v>83839.641454417389</v>
      </c>
      <c r="F33" s="88">
        <f t="shared" si="7"/>
        <v>80572.930865037793</v>
      </c>
      <c r="G33" s="314">
        <f t="shared" si="7"/>
        <v>99262.123083592858</v>
      </c>
      <c r="H33" s="88">
        <f t="shared" si="7"/>
        <v>127598.91374126465</v>
      </c>
      <c r="I33" s="314">
        <f t="shared" si="7"/>
        <v>171954.00163718933</v>
      </c>
      <c r="J33" s="105"/>
      <c r="K33" s="104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5"/>
    </row>
    <row r="34" spans="2:22" ht="15" thickBot="1" x14ac:dyDescent="0.35">
      <c r="B34" s="96"/>
      <c r="C34" s="469" t="s">
        <v>157</v>
      </c>
      <c r="D34" s="470">
        <f t="shared" ref="D34:I34" si="8">D33/D15</f>
        <v>0.32499213369983732</v>
      </c>
      <c r="E34" s="470">
        <f t="shared" si="8"/>
        <v>0.69207374888467965</v>
      </c>
      <c r="F34" s="470">
        <f t="shared" si="8"/>
        <v>0.51457337696280159</v>
      </c>
      <c r="G34" s="471">
        <f t="shared" si="8"/>
        <v>0.49954377488883089</v>
      </c>
      <c r="H34" s="470">
        <f t="shared" si="8"/>
        <v>0.50935716694617139</v>
      </c>
      <c r="I34" s="471">
        <f t="shared" si="8"/>
        <v>0.54447069105014967</v>
      </c>
      <c r="J34" s="97"/>
      <c r="K34" s="96"/>
      <c r="V34" s="97"/>
    </row>
    <row r="35" spans="2:22" x14ac:dyDescent="0.3">
      <c r="B35" s="96"/>
      <c r="C35" s="7"/>
      <c r="J35" s="97"/>
      <c r="K35" s="96"/>
      <c r="V35" s="97"/>
    </row>
    <row r="36" spans="2:22" x14ac:dyDescent="0.3">
      <c r="B36" s="96"/>
      <c r="C36" s="7"/>
      <c r="J36" s="97"/>
      <c r="K36" s="96"/>
      <c r="V36" s="97"/>
    </row>
    <row r="37" spans="2:22" ht="15" thickBot="1" x14ac:dyDescent="0.35">
      <c r="B37" s="107"/>
      <c r="C37" s="108"/>
      <c r="D37" s="109"/>
      <c r="E37" s="109"/>
      <c r="F37" s="109"/>
      <c r="G37" s="109"/>
      <c r="H37" s="109"/>
      <c r="I37" s="109"/>
      <c r="J37" s="110"/>
      <c r="K37" s="107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10"/>
    </row>
  </sheetData>
  <printOptions horizontalCentered="1" verticalCentered="1"/>
  <pageMargins left="0.7" right="0.7" top="0.75" bottom="0.75" header="0.3" footer="0.3"/>
  <pageSetup scale="53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49F8-A9A6-4785-B089-A14F637AAFCD}">
  <sheetPr>
    <tabColor theme="0" tint="-0.34998626667073579"/>
  </sheetPr>
  <dimension ref="B2:FB4"/>
  <sheetViews>
    <sheetView topLeftCell="G1" workbookViewId="0">
      <selection activeCell="G4" sqref="G4"/>
    </sheetView>
  </sheetViews>
  <sheetFormatPr defaultRowHeight="14.4" x14ac:dyDescent="0.3"/>
  <cols>
    <col min="3" max="3" width="14.5546875" bestFit="1" customWidth="1"/>
    <col min="8" max="9" width="9.5546875" bestFit="1" customWidth="1"/>
  </cols>
  <sheetData>
    <row r="2" spans="2:158" x14ac:dyDescent="0.3">
      <c r="H2" s="170">
        <v>45473</v>
      </c>
      <c r="I2" s="170">
        <v>45504</v>
      </c>
      <c r="J2" s="170">
        <v>45535</v>
      </c>
      <c r="K2" s="170">
        <v>45565</v>
      </c>
      <c r="L2" s="170">
        <v>45596</v>
      </c>
      <c r="M2" s="170">
        <v>45626</v>
      </c>
      <c r="N2" s="170">
        <v>45657</v>
      </c>
      <c r="O2" s="170">
        <v>45688</v>
      </c>
      <c r="P2" s="170">
        <v>45716</v>
      </c>
      <c r="Q2" s="170">
        <v>45747</v>
      </c>
      <c r="R2" s="170">
        <v>45777</v>
      </c>
      <c r="S2" s="170">
        <v>45808</v>
      </c>
      <c r="T2" s="170">
        <v>45838</v>
      </c>
      <c r="U2" s="170">
        <v>45869</v>
      </c>
      <c r="V2" s="170">
        <v>45900</v>
      </c>
      <c r="W2" s="170">
        <v>45930</v>
      </c>
      <c r="X2" s="170">
        <v>45961</v>
      </c>
      <c r="Y2" s="170">
        <v>45991</v>
      </c>
      <c r="Z2" s="170">
        <v>46022</v>
      </c>
      <c r="AA2" s="170">
        <v>46053</v>
      </c>
      <c r="AB2" s="170">
        <v>46081</v>
      </c>
      <c r="AC2" s="170">
        <v>46112</v>
      </c>
      <c r="AD2" s="170">
        <v>46142</v>
      </c>
      <c r="AE2" s="170">
        <v>46173</v>
      </c>
      <c r="AF2" s="170">
        <v>46203</v>
      </c>
      <c r="AG2" s="170">
        <v>46234</v>
      </c>
      <c r="AH2" s="170">
        <v>46265</v>
      </c>
      <c r="AI2" s="170">
        <v>46295</v>
      </c>
      <c r="AJ2" s="170">
        <v>46326</v>
      </c>
      <c r="AK2" s="170">
        <v>46356</v>
      </c>
      <c r="AL2" s="170">
        <v>46387</v>
      </c>
      <c r="AM2" s="170">
        <v>46418</v>
      </c>
      <c r="AN2" s="170">
        <v>46446</v>
      </c>
      <c r="AO2" s="170">
        <v>46477</v>
      </c>
      <c r="AP2" s="170">
        <v>46507</v>
      </c>
      <c r="AQ2" s="170">
        <v>46538</v>
      </c>
      <c r="AR2" s="170">
        <v>46568</v>
      </c>
      <c r="AS2" s="170">
        <v>46599</v>
      </c>
      <c r="AT2" s="170">
        <v>46630</v>
      </c>
      <c r="AU2" s="170">
        <v>46660</v>
      </c>
      <c r="AV2" s="170">
        <v>46691</v>
      </c>
      <c r="AW2" s="170">
        <v>46721</v>
      </c>
      <c r="AX2" s="170">
        <v>46752</v>
      </c>
      <c r="AY2" s="170">
        <v>46783</v>
      </c>
      <c r="AZ2" s="170">
        <v>46812</v>
      </c>
      <c r="BA2" s="170">
        <v>46843</v>
      </c>
      <c r="BB2" s="170">
        <v>46873</v>
      </c>
      <c r="BC2" s="170">
        <v>46904</v>
      </c>
      <c r="BD2" s="170">
        <v>46934</v>
      </c>
      <c r="BE2" s="170">
        <v>46965</v>
      </c>
      <c r="BF2" s="170">
        <v>46996</v>
      </c>
      <c r="BG2" s="170">
        <v>47026</v>
      </c>
      <c r="BH2" s="170">
        <v>47057</v>
      </c>
      <c r="BI2" s="170">
        <v>47087</v>
      </c>
      <c r="BJ2" s="170">
        <v>47118</v>
      </c>
      <c r="BK2" s="170">
        <v>47149</v>
      </c>
      <c r="BL2" s="170">
        <v>47177</v>
      </c>
      <c r="BM2" s="170">
        <v>47208</v>
      </c>
      <c r="BN2" s="170">
        <v>47238</v>
      </c>
      <c r="BO2" s="170">
        <v>47269</v>
      </c>
      <c r="BP2" s="170">
        <v>47299</v>
      </c>
      <c r="BQ2" s="170">
        <v>47330</v>
      </c>
      <c r="BR2" s="170">
        <v>47361</v>
      </c>
      <c r="BS2" s="170">
        <v>47391</v>
      </c>
      <c r="BT2" s="170">
        <v>47422</v>
      </c>
      <c r="BU2" s="170">
        <v>47452</v>
      </c>
      <c r="BV2" s="170">
        <v>47483</v>
      </c>
      <c r="BW2" s="170">
        <v>47514</v>
      </c>
      <c r="BX2" s="170">
        <v>47542</v>
      </c>
      <c r="BY2" s="170">
        <v>47573</v>
      </c>
      <c r="BZ2" s="170">
        <v>47603</v>
      </c>
      <c r="CA2" s="170">
        <v>47634</v>
      </c>
      <c r="CB2" s="170">
        <v>47664</v>
      </c>
      <c r="CC2" s="170">
        <v>47695</v>
      </c>
      <c r="CD2" s="170">
        <v>47726</v>
      </c>
      <c r="CE2" s="170">
        <v>47756</v>
      </c>
      <c r="CF2" s="170">
        <v>47787</v>
      </c>
      <c r="CG2" s="170">
        <v>47817</v>
      </c>
      <c r="CH2" s="170">
        <v>47848</v>
      </c>
      <c r="CI2" s="170">
        <v>47879</v>
      </c>
      <c r="CJ2" s="170">
        <v>47907</v>
      </c>
      <c r="CK2" s="170">
        <v>47938</v>
      </c>
      <c r="CL2" s="170">
        <v>47968</v>
      </c>
      <c r="CM2" s="170">
        <v>47999</v>
      </c>
      <c r="CN2" s="170">
        <v>48029</v>
      </c>
      <c r="CO2" s="170">
        <v>48060</v>
      </c>
      <c r="CP2" s="170">
        <v>48091</v>
      </c>
      <c r="CQ2" s="170">
        <v>48121</v>
      </c>
      <c r="CR2" s="170">
        <v>48152</v>
      </c>
      <c r="CS2" s="170">
        <v>48182</v>
      </c>
      <c r="CT2" s="170">
        <v>48213</v>
      </c>
      <c r="CU2" s="170">
        <v>48244</v>
      </c>
      <c r="CV2" s="170">
        <v>48273</v>
      </c>
      <c r="CW2" s="170">
        <v>48304</v>
      </c>
      <c r="CX2" s="170">
        <v>48334</v>
      </c>
      <c r="CY2" s="170">
        <v>48365</v>
      </c>
      <c r="CZ2" s="170">
        <v>48395</v>
      </c>
      <c r="DA2" s="170">
        <v>48426</v>
      </c>
      <c r="DB2" s="170">
        <v>48457</v>
      </c>
      <c r="DC2" s="170">
        <v>48487</v>
      </c>
      <c r="DD2" s="170">
        <v>48518</v>
      </c>
      <c r="DE2" s="170">
        <v>48548</v>
      </c>
      <c r="DF2" s="170">
        <v>48579</v>
      </c>
      <c r="DG2" s="170">
        <v>48610</v>
      </c>
      <c r="DH2" s="170">
        <v>48638</v>
      </c>
      <c r="DI2" s="170">
        <v>48669</v>
      </c>
      <c r="DJ2" s="170">
        <v>48699</v>
      </c>
      <c r="DK2" s="170">
        <v>48730</v>
      </c>
      <c r="DL2" s="170">
        <v>48760</v>
      </c>
      <c r="DM2" s="170">
        <v>48791</v>
      </c>
      <c r="DN2" s="170">
        <v>48822</v>
      </c>
      <c r="DO2" s="170">
        <v>48852</v>
      </c>
      <c r="DP2" s="170">
        <v>48883</v>
      </c>
      <c r="DQ2" s="170">
        <v>48913</v>
      </c>
      <c r="DR2" s="170">
        <v>48944</v>
      </c>
      <c r="DS2" s="170">
        <v>48975</v>
      </c>
      <c r="DT2" s="170">
        <v>49003</v>
      </c>
      <c r="DU2" s="170">
        <v>49034</v>
      </c>
      <c r="DV2" s="170">
        <v>49064</v>
      </c>
      <c r="DW2" s="170">
        <v>49095</v>
      </c>
      <c r="DX2" s="170">
        <v>49125</v>
      </c>
      <c r="DY2" s="170">
        <v>49156</v>
      </c>
      <c r="DZ2" s="170">
        <v>49187</v>
      </c>
      <c r="EA2" s="170">
        <v>49217</v>
      </c>
      <c r="EB2" s="170">
        <v>49248</v>
      </c>
      <c r="EC2" s="170">
        <v>49278</v>
      </c>
      <c r="ED2" s="170">
        <v>49309</v>
      </c>
      <c r="EE2" s="170">
        <v>49340</v>
      </c>
      <c r="EF2" s="170">
        <v>49368</v>
      </c>
      <c r="EG2" s="170">
        <v>49399</v>
      </c>
      <c r="EH2" s="170">
        <v>49429</v>
      </c>
      <c r="EI2" s="170">
        <v>49460</v>
      </c>
      <c r="EJ2" s="170">
        <v>49490</v>
      </c>
      <c r="EK2" s="170">
        <v>49521</v>
      </c>
      <c r="EL2" s="170">
        <v>49552</v>
      </c>
      <c r="EM2" s="170">
        <v>49582</v>
      </c>
      <c r="EN2" s="170">
        <v>49613</v>
      </c>
      <c r="EO2" s="170">
        <v>49643</v>
      </c>
      <c r="EP2" s="170">
        <v>49674</v>
      </c>
      <c r="EQ2" s="170">
        <v>49705</v>
      </c>
      <c r="ER2" s="170">
        <v>49734</v>
      </c>
      <c r="ES2" s="170">
        <v>49765</v>
      </c>
      <c r="ET2" s="170">
        <v>49795</v>
      </c>
      <c r="EU2" s="170">
        <v>49826</v>
      </c>
      <c r="EV2" s="170">
        <v>49856</v>
      </c>
      <c r="EW2" s="170">
        <v>49887</v>
      </c>
      <c r="EX2" s="170">
        <v>49918</v>
      </c>
      <c r="EY2" s="170">
        <v>49948</v>
      </c>
      <c r="EZ2" s="170">
        <v>49979</v>
      </c>
      <c r="FA2" s="170">
        <v>50009</v>
      </c>
      <c r="FB2" s="170">
        <v>50040</v>
      </c>
    </row>
    <row r="3" spans="2:158" x14ac:dyDescent="0.3">
      <c r="B3" t="s">
        <v>221</v>
      </c>
      <c r="C3" t="s">
        <v>222</v>
      </c>
      <c r="D3" t="s">
        <v>223</v>
      </c>
    </row>
    <row r="4" spans="2:158" x14ac:dyDescent="0.3">
      <c r="B4" t="s">
        <v>224</v>
      </c>
      <c r="C4" t="s">
        <v>226</v>
      </c>
      <c r="D4">
        <v>40</v>
      </c>
      <c r="H4" s="238">
        <f>+IF(('Monthly Detail'!Y33-'Monthly Detail'!$B$31)&gt;0,('Monthly Detail'!Y33-'Monthly Detail'!$B$31)*'People Plan'!$D$4, 0)</f>
        <v>0</v>
      </c>
      <c r="I4" s="238">
        <f>+IF(('Monthly Detail'!Z33-'Monthly Detail'!$B$31)&gt;0,('Monthly Detail'!Z33-'Monthly Detail'!$B$31)*'People Plan'!$D$4, 0)</f>
        <v>0</v>
      </c>
      <c r="J4" s="238">
        <f>+IF(('Monthly Detail'!AA33-'Monthly Detail'!$B$31)&gt;0,('Monthly Detail'!AA33-'Monthly Detail'!$B$31)*'People Plan'!$D$4, 0)</f>
        <v>0</v>
      </c>
      <c r="K4" s="238">
        <f>+IF(('Monthly Detail'!AB33-'Monthly Detail'!$B$31)&gt;0,('Monthly Detail'!AB33-'Monthly Detail'!$B$31)*'People Plan'!$D$4, 0)</f>
        <v>0</v>
      </c>
      <c r="L4" s="238">
        <f>+IF(('Monthly Detail'!AC33-'Monthly Detail'!$B$31)&gt;0,('Monthly Detail'!AC33-'Monthly Detail'!$B$31)*'People Plan'!$D$4, 0)</f>
        <v>0</v>
      </c>
      <c r="M4" s="238">
        <f>+IF(('Monthly Detail'!AD33-'Monthly Detail'!$B$31)&gt;0,('Monthly Detail'!AD33-'Monthly Detail'!$B$31)*'People Plan'!$D$4, 0)</f>
        <v>0</v>
      </c>
      <c r="N4" s="238">
        <f>+IF(('Monthly Detail'!AE33-'Monthly Detail'!$B$31)&gt;0,('Monthly Detail'!AE33-'Monthly Detail'!$B$31)*'People Plan'!$D$4, 0)</f>
        <v>0</v>
      </c>
      <c r="O4" s="238">
        <f>+IF(('Monthly Detail'!AF33-'Monthly Detail'!$B$31)&gt;0,('Monthly Detail'!AF33-'Monthly Detail'!$B$31)*'People Plan'!$D$4, 0)</f>
        <v>156.15142857142871</v>
      </c>
      <c r="P4" s="238">
        <f>+IF(('Monthly Detail'!AG33-'Monthly Detail'!$B$31)&gt;0,('Monthly Detail'!AG33-'Monthly Detail'!$B$31)*'People Plan'!$D$4, 0)</f>
        <v>0</v>
      </c>
      <c r="Q4" s="238">
        <f>+IF(('Monthly Detail'!AH33-'Monthly Detail'!$B$31)&gt;0,('Monthly Detail'!AH33-'Monthly Detail'!$B$31)*'People Plan'!$D$4, 0)</f>
        <v>0</v>
      </c>
      <c r="R4" s="238">
        <f>+IF(('Monthly Detail'!AI33-'Monthly Detail'!$B$31)&gt;0,('Monthly Detail'!AI33-'Monthly Detail'!$B$31)*'People Plan'!$D$4, 0)</f>
        <v>144.1084342857144</v>
      </c>
      <c r="S4" s="238">
        <f>+IF(('Monthly Detail'!AJ33-'Monthly Detail'!$B$31)&gt;0,('Monthly Detail'!AJ33-'Monthly Detail'!$B$31)*'People Plan'!$D$4, 0)</f>
        <v>266.7850605714284</v>
      </c>
      <c r="T4" s="238">
        <f>+IF(('Monthly Detail'!AK33-'Monthly Detail'!$B$31)&gt;0,('Monthly Detail'!AK33-'Monthly Detail'!$B$31)*'People Plan'!$D$4, 0)</f>
        <v>5183.2896256000004</v>
      </c>
      <c r="U4" s="238">
        <f>+IF(('Monthly Detail'!AL33-'Monthly Detail'!$B$31)&gt;0,('Monthly Detail'!AL33-'Monthly Detail'!$B$31)*'People Plan'!$D$4, 0)</f>
        <v>5929.6106218057139</v>
      </c>
      <c r="V4" s="238">
        <f>+IF(('Monthly Detail'!AM33-'Monthly Detail'!$B$31)&gt;0,('Monthly Detail'!AM33-'Monthly Detail'!$B$31)*'People Plan'!$D$4, 0)</f>
        <v>1489.9567144959997</v>
      </c>
      <c r="W4" s="238">
        <f>+IF(('Monthly Detail'!AN33-'Monthly Detail'!$B$31)&gt;0,('Monthly Detail'!AN33-'Monthly Detail'!$B$31)*'People Plan'!$D$4, 0)</f>
        <v>647.41982385005713</v>
      </c>
      <c r="X4" s="238">
        <f>+IF(('Monthly Detail'!AO33-'Monthly Detail'!$B$31)&gt;0,('Monthly Detail'!AO33-'Monthly Detail'!$B$31)*'People Plan'!$D$4, 0)</f>
        <v>750.85425314230918</v>
      </c>
      <c r="Y4" s="238">
        <f>+IF(('Monthly Detail'!AP33-'Monthly Detail'!$B$31)&gt;0,('Monthly Detail'!AP33-'Monthly Detail'!$B$31)*'People Plan'!$D$4, 0)</f>
        <v>0</v>
      </c>
      <c r="Z4" s="238">
        <f>+IF(('Monthly Detail'!AQ33-'Monthly Detail'!$B$31)&gt;0,('Monthly Detail'!AQ33-'Monthly Detail'!$B$31)*'People Plan'!$D$4, 0)</f>
        <v>552.52583277199369</v>
      </c>
      <c r="AA4" s="238">
        <f>+IF(('Monthly Detail'!AR33-'Monthly Detail'!$B$31)&gt;0,('Monthly Detail'!AR33-'Monthly Detail'!$B$31)*'People Plan'!$D$4, 0)</f>
        <v>797.28480917096761</v>
      </c>
      <c r="AB4" s="238">
        <f>+IF(('Monthly Detail'!AS33-'Monthly Detail'!$B$31)&gt;0,('Monthly Detail'!AS33-'Monthly Detail'!$B$31)*'People Plan'!$D$4, 0)</f>
        <v>448.19171409325492</v>
      </c>
      <c r="AC4" s="238">
        <f>+IF(('Monthly Detail'!AT33-'Monthly Detail'!$B$31)&gt;0,('Monthly Detail'!AT33-'Monthly Detail'!$B$31)*'People Plan'!$D$4, 0)</f>
        <v>0</v>
      </c>
      <c r="AD4" s="238">
        <f>+IF(('Monthly Detail'!AU33-'Monthly Detail'!$B$31)&gt;0,('Monthly Detail'!AU33-'Monthly Detail'!$B$31)*'People Plan'!$D$4, 0)</f>
        <v>816.25191878092892</v>
      </c>
      <c r="AE4" s="238">
        <f>+IF(('Monthly Detail'!AV33-'Monthly Detail'!$B$31)&gt;0,('Monthly Detail'!AV33-'Monthly Detail'!$B$31)*'People Plan'!$D$4, 0)</f>
        <v>720.90428075635032</v>
      </c>
      <c r="AF4" s="238">
        <f>+IF(('Monthly Detail'!AW33-'Monthly Detail'!$B$31)&gt;0,('Monthly Detail'!AW33-'Monthly Detail'!$B$31)*'People Plan'!$D$4, 0)</f>
        <v>7584.9626907611328</v>
      </c>
      <c r="AG4" s="238">
        <f>+IF(('Monthly Detail'!AX33-'Monthly Detail'!$B$31)&gt;0,('Monthly Detail'!AX33-'Monthly Detail'!$B$31)*'People Plan'!$D$4, 0)</f>
        <v>8538.7856878410748</v>
      </c>
      <c r="AH4" s="238">
        <f>+IF(('Monthly Detail'!AY33-'Monthly Detail'!$B$31)&gt;0,('Monthly Detail'!AY33-'Monthly Detail'!$B$31)*'People Plan'!$D$4, 0)</f>
        <v>2420.6826424987999</v>
      </c>
      <c r="AI4" s="238">
        <f>+IF(('Monthly Detail'!AZ33-'Monthly Detail'!$B$31)&gt;0,('Monthly Detail'!AZ33-'Monthly Detail'!$B$31)*'People Plan'!$D$4, 0)</f>
        <v>1356.207941204405</v>
      </c>
      <c r="AJ4" s="238">
        <f>+IF(('Monthly Detail'!BA33-'Monthly Detail'!$B$31)&gt;0,('Monthly Detail'!BA33-'Monthly Detail'!$B$31)*'People Plan'!$D$4, 0)</f>
        <v>1340.7647647226436</v>
      </c>
      <c r="AK4" s="238">
        <f>+IF(('Monthly Detail'!BB33-'Monthly Detail'!$B$31)&gt;0,('Monthly Detail'!BB33-'Monthly Detail'!$B$31)*'People Plan'!$D$4, 0)</f>
        <v>4.3634507797403899</v>
      </c>
      <c r="AL4" s="238">
        <f>+IF(('Monthly Detail'!BC33-'Monthly Detail'!$B$31)&gt;0,('Monthly Detail'!BC33-'Monthly Detail'!$B$31)*'People Plan'!$D$4, 0)</f>
        <v>1545.014375086522</v>
      </c>
      <c r="AM4" s="238">
        <f>+IF(('Monthly Detail'!BD33-'Monthly Detail'!$B$31)&gt;0,('Monthly Detail'!BD33-'Monthly Detail'!$B$31)*'People Plan'!$D$4, 0)</f>
        <v>1360.8113533082683</v>
      </c>
      <c r="AN4" s="238">
        <f>+IF(('Monthly Detail'!BE33-'Monthly Detail'!$B$31)&gt;0,('Monthly Detail'!BE33-'Monthly Detail'!$B$31)*'People Plan'!$D$4, 0)</f>
        <v>1186.0636304618679</v>
      </c>
      <c r="AO4" s="238">
        <f>+IF(('Monthly Detail'!BF33-'Monthly Detail'!$B$31)&gt;0,('Monthly Detail'!BF33-'Monthly Detail'!$B$31)*'People Plan'!$D$4, 0)</f>
        <v>308.63755495639367</v>
      </c>
      <c r="AP4" s="238">
        <f>+IF(('Monthly Detail'!BG33-'Monthly Detail'!$B$31)&gt;0,('Monthly Detail'!BG33-'Monthly Detail'!$B$31)*'People Plan'!$D$4, 0)</f>
        <v>1554.0811976629004</v>
      </c>
      <c r="AQ4" s="238">
        <f>+IF(('Monthly Detail'!BH33-'Monthly Detail'!$B$31)&gt;0,('Monthly Detail'!BH33-'Monthly Detail'!$B$31)*'People Plan'!$D$4, 0)</f>
        <v>1516.4392313887515</v>
      </c>
      <c r="AR4" s="238">
        <f>+IF(('Monthly Detail'!BI33-'Monthly Detail'!$B$31)&gt;0,('Monthly Detail'!BI33-'Monthly Detail'!$B$31)*'People Plan'!$D$4, 0)</f>
        <v>10194.813231158645</v>
      </c>
      <c r="AS4" s="238">
        <f>+IF(('Monthly Detail'!BJ33-'Monthly Detail'!$B$31)&gt;0,('Monthly Detail'!BJ33-'Monthly Detail'!$B$31)*'People Plan'!$D$4, 0)</f>
        <v>10781.687938695186</v>
      </c>
      <c r="AT4" s="238">
        <f>+IF(('Monthly Detail'!BK33-'Monthly Detail'!$B$31)&gt;0,('Monthly Detail'!BK33-'Monthly Detail'!$B$31)*'People Plan'!$D$4, 0)</f>
        <v>3861.2368858267405</v>
      </c>
      <c r="AU4" s="238">
        <f>+IF(('Monthly Detail'!BL33-'Monthly Detail'!$B$31)&gt;0,('Monthly Detail'!BL33-'Monthly Detail'!$B$31)*'People Plan'!$D$4, 0)</f>
        <v>2247.6476579302675</v>
      </c>
      <c r="AV4" s="238">
        <f>+IF(('Monthly Detail'!BM33-'Monthly Detail'!$B$31)&gt;0,('Monthly Detail'!BM33-'Monthly Detail'!$B$31)*'People Plan'!$D$4, 0)</f>
        <v>2027.9036586327898</v>
      </c>
      <c r="AW4" s="238">
        <f>+IF(('Monthly Detail'!BN33-'Monthly Detail'!$B$31)&gt;0,('Monthly Detail'!BN33-'Monthly Detail'!$B$31)*'People Plan'!$D$4, 0)</f>
        <v>644.68796733857573</v>
      </c>
      <c r="AX4" s="238">
        <f>+IF(('Monthly Detail'!BO33-'Monthly Detail'!$B$31)&gt;0,('Monthly Detail'!BO33-'Monthly Detail'!$B$31)*'People Plan'!$D$4, 0)</f>
        <v>2570.4168711180719</v>
      </c>
      <c r="AY4" s="238">
        <f>+IF(('Monthly Detail'!BP33-'Monthly Detail'!$B$31)&gt;0,('Monthly Detail'!BP33-'Monthly Detail'!$B$31)*'People Plan'!$D$4, 0)</f>
        <v>2234.1935902646819</v>
      </c>
      <c r="AZ4" s="238">
        <f>+IF(('Monthly Detail'!BQ33-'Monthly Detail'!$B$31)&gt;0,('Monthly Detail'!BQ33-'Monthly Detail'!$B$31)*'People Plan'!$D$4, 0)</f>
        <v>2202.8761541588096</v>
      </c>
      <c r="BA4" s="238">
        <f>+IF(('Monthly Detail'!BR33-'Monthly Detail'!$B$31)&gt;0,('Monthly Detail'!BR33-'Monthly Detail'!$B$31)*'People Plan'!$D$4, 0)</f>
        <v>869.20989695649212</v>
      </c>
      <c r="BB4" s="238">
        <f>+IF(('Monthly Detail'!BS33-'Monthly Detail'!$B$31)&gt;0,('Monthly Detail'!BS33-'Monthly Detail'!$B$31)*'People Plan'!$D$4, 0)</f>
        <v>2136.6661099973062</v>
      </c>
      <c r="BC4" s="238">
        <f>+IF(('Monthly Detail'!BT33-'Monthly Detail'!$B$31)&gt;0,('Monthly Detail'!BT33-'Monthly Detail'!$B$31)*'People Plan'!$D$4, 0)</f>
        <v>2823.0996158981416</v>
      </c>
      <c r="BD4" s="238">
        <f>+IF(('Monthly Detail'!BU33-'Monthly Detail'!$B$31)&gt;0,('Monthly Detail'!BU33-'Monthly Detail'!$B$31)*'People Plan'!$D$4, 0)</f>
        <v>13434.759779558935</v>
      </c>
      <c r="BE4" s="238">
        <f>+IF(('Monthly Detail'!BV33-'Monthly Detail'!$B$31)&gt;0,('Monthly Detail'!BV33-'Monthly Detail'!$B$31)*'People Plan'!$D$4, 0)</f>
        <v>13425.507873747389</v>
      </c>
      <c r="BF4" s="238">
        <f>+IF(('Monthly Detail'!BW33-'Monthly Detail'!$B$31)&gt;0,('Monthly Detail'!BW33-'Monthly Detail'!$B$31)*'People Plan'!$D$4, 0)</f>
        <v>5701.1545935873364</v>
      </c>
      <c r="BG4" s="238">
        <f>+IF(('Monthly Detail'!BX33-'Monthly Detail'!$B$31)&gt;0,('Monthly Detail'!BX33-'Monthly Detail'!$B$31)*'People Plan'!$D$4, 0)</f>
        <v>3181.0628345490604</v>
      </c>
      <c r="BH4" s="238">
        <f>+IF(('Monthly Detail'!BY33-'Monthly Detail'!$B$31)&gt;0,('Monthly Detail'!BY33-'Monthly Detail'!$B$31)*'People Plan'!$D$4, 0)</f>
        <v>3410.0280674308374</v>
      </c>
      <c r="BI4" s="238">
        <f>+IF(('Monthly Detail'!BZ33-'Monthly Detail'!$B$31)&gt;0,('Monthly Detail'!BZ33-'Monthly Detail'!$B$31)*'People Plan'!$D$4, 0)</f>
        <v>1348.0807055968273</v>
      </c>
      <c r="BJ4" s="238">
        <f>+IF(('Monthly Detail'!CA33-'Monthly Detail'!$B$31)&gt;0,('Monthly Detail'!CA33-'Monthly Detail'!$B$31)*'People Plan'!$D$4, 0)</f>
        <v>3232.4383722625976</v>
      </c>
      <c r="BK4" s="238">
        <f>+IF(('Monthly Detail'!CB33-'Monthly Detail'!$B$31)&gt;0,('Monthly Detail'!CB33-'Monthly Detail'!$B$31)*'People Plan'!$D$4, 0)</f>
        <v>3893.4795017725637</v>
      </c>
      <c r="BL4" s="238">
        <f>+IF(('Monthly Detail'!CC33-'Monthly Detail'!$B$31)&gt;0,('Monthly Detail'!CC33-'Monthly Detail'!$B$31)*'People Plan'!$D$4, 0)</f>
        <v>3101.2588704900331</v>
      </c>
      <c r="BM4" s="238">
        <f>+IF(('Monthly Detail'!CD33-'Monthly Detail'!$B$31)&gt;0,('Monthly Detail'!CD33-'Monthly Detail'!$B$31)*'People Plan'!$D$4, 0)</f>
        <v>1529.0613394453487</v>
      </c>
      <c r="BN4" s="238">
        <f>+IF(('Monthly Detail'!CE33-'Monthly Detail'!$B$31)&gt;0,('Monthly Detail'!CE33-'Monthly Detail'!$B$31)*'People Plan'!$D$4, 0)</f>
        <v>3425.6158530452331</v>
      </c>
      <c r="BO4" s="238">
        <f>+IF(('Monthly Detail'!CF33-'Monthly Detail'!$B$31)&gt;0,('Monthly Detail'!CF33-'Monthly Detail'!$B$31)*'People Plan'!$D$4, 0)</f>
        <v>4106.4447034297245</v>
      </c>
      <c r="BP4" s="238">
        <f>+IF(('Monthly Detail'!CG33-'Monthly Detail'!$B$31)&gt;0,('Monthly Detail'!CG33-'Monthly Detail'!$B$31)*'People Plan'!$D$4, 0)</f>
        <v>16569.849707096284</v>
      </c>
      <c r="BQ4" s="238">
        <f>+IF(('Monthly Detail'!CH33-'Monthly Detail'!$B$31)&gt;0,('Monthly Detail'!CH33-'Monthly Detail'!$B$31)*'People Plan'!$D$4, 0)</f>
        <v>18446.076958746235</v>
      </c>
      <c r="BR4" s="238">
        <f>+IF(('Monthly Detail'!CI33-'Monthly Detail'!$B$31)&gt;0,('Monthly Detail'!CI33-'Monthly Detail'!$B$31)*'People Plan'!$D$4, 0)</f>
        <v>7776.9782694714213</v>
      </c>
      <c r="BS4" s="238">
        <f>+IF(('Monthly Detail'!CJ33-'Monthly Detail'!$B$31)&gt;0,('Monthly Detail'!CJ33-'Monthly Detail'!$B$31)*'People Plan'!$D$4, 0)</f>
        <v>4223.8433683169496</v>
      </c>
      <c r="BT4" s="238">
        <f>+IF(('Monthly Detail'!CK33-'Monthly Detail'!$B$31)&gt;0,('Monthly Detail'!CK33-'Monthly Detail'!$B$31)*'People Plan'!$D$4, 0)</f>
        <v>5128.9719241386956</v>
      </c>
      <c r="BU4" s="238">
        <f>+IF(('Monthly Detail'!CL33-'Monthly Detail'!$B$31)&gt;0,('Monthly Detail'!CL33-'Monthly Detail'!$B$31)*'People Plan'!$D$4, 0)</f>
        <v>2229.3367276751387</v>
      </c>
      <c r="BV4" s="238">
        <f>+IF(('Monthly Detail'!CM33-'Monthly Detail'!$B$31)&gt;0,('Monthly Detail'!CM33-'Monthly Detail'!$B$31)*'People Plan'!$D$4, 0)</f>
        <v>4683.7100759342848</v>
      </c>
      <c r="BW4" s="238">
        <f>+IF(('Monthly Detail'!CN33-'Monthly Detail'!$B$31)&gt;0,('Monthly Detail'!CN33-'Monthly Detail'!$B$31)*'People Plan'!$D$4, 0)</f>
        <v>5513.71233561396</v>
      </c>
      <c r="BX4" s="238">
        <f>+IF(('Monthly Detail'!CO33-'Monthly Detail'!$B$31)&gt;0,('Monthly Detail'!CO33-'Monthly Detail'!$B$31)*'People Plan'!$D$4, 0)</f>
        <v>4411.3977403203262</v>
      </c>
      <c r="BY4" s="238">
        <f>+IF(('Monthly Detail'!CP33-'Monthly Detail'!$B$31)&gt;0,('Monthly Detail'!CP33-'Monthly Detail'!$B$31)*'People Plan'!$D$4, 0)</f>
        <v>2178.20532172912</v>
      </c>
      <c r="BZ4" s="238">
        <f>+IF(('Monthly Detail'!CQ33-'Monthly Detail'!$B$31)&gt;0,('Monthly Detail'!CQ33-'Monthly Detail'!$B$31)*'People Plan'!$D$4, 0)</f>
        <v>5230.9855051668501</v>
      </c>
      <c r="CA4" s="238">
        <f>+IF(('Monthly Detail'!CR33-'Monthly Detail'!$B$31)&gt;0,('Monthly Detail'!CR33-'Monthly Detail'!$B$31)*'People Plan'!$D$4, 0)</f>
        <v>5751.6599986955689</v>
      </c>
      <c r="CB4" s="238">
        <f>+IF(('Monthly Detail'!CS33-'Monthly Detail'!$B$31)&gt;0,('Monthly Detail'!CS33-'Monthly Detail'!$B$31)*'People Plan'!$D$4, 0)</f>
        <v>20419.944347145516</v>
      </c>
      <c r="CC4" s="238">
        <f>+IF(('Monthly Detail'!CT33-'Monthly Detail'!$B$31)&gt;0,('Monthly Detail'!CT33-'Monthly Detail'!$B$31)*'People Plan'!$D$4, 0)</f>
        <v>25061.761599530404</v>
      </c>
      <c r="CD4" s="238">
        <f>+IF(('Monthly Detail'!CU33-'Monthly Detail'!$B$31)&gt;0,('Monthly Detail'!CU33-'Monthly Detail'!$B$31)*'People Plan'!$D$4, 0)</f>
        <v>9821.9714232375409</v>
      </c>
      <c r="CE4" s="238">
        <f>+IF(('Monthly Detail'!CV33-'Monthly Detail'!$B$31)&gt;0,('Monthly Detail'!CV33-'Monthly Detail'!$B$31)*'People Plan'!$D$4, 0)</f>
        <v>6324.7233779326034</v>
      </c>
      <c r="CF4" s="238">
        <f>+IF(('Monthly Detail'!CW33-'Monthly Detail'!$B$31)&gt;0,('Monthly Detail'!CW33-'Monthly Detail'!$B$31)*'People Plan'!$D$4, 0)</f>
        <v>6995.0525054985692</v>
      </c>
      <c r="CG4" s="238">
        <f>+IF(('Monthly Detail'!CX33-'Monthly Detail'!$B$31)&gt;0,('Monthly Detail'!CX33-'Monthly Detail'!$B$31)*'People Plan'!$D$4, 0)</f>
        <v>3157.9163625366127</v>
      </c>
      <c r="CH4" s="238">
        <f>+IF(('Monthly Detail'!CY33-'Monthly Detail'!$B$31)&gt;0,('Monthly Detail'!CY33-'Monthly Detail'!$B$31)*'People Plan'!$D$4, 0)</f>
        <v>6812.2347758064634</v>
      </c>
      <c r="CI4" s="238">
        <f>+IF(('Monthly Detail'!CZ33-'Monthly Detail'!$B$31)&gt;0,('Monthly Detail'!CZ33-'Monthly Detail'!$B$31)*'People Plan'!$D$4, 0)</f>
        <v>0</v>
      </c>
      <c r="CJ4" s="238">
        <f>+IF(('Monthly Detail'!DA33-'Monthly Detail'!$B$31)&gt;0,('Monthly Detail'!DA33-'Monthly Detail'!$B$31)*'People Plan'!$D$4, 0)</f>
        <v>0</v>
      </c>
      <c r="CK4" s="238">
        <f>+IF(('Monthly Detail'!DB33-'Monthly Detail'!$B$31)&gt;0,('Monthly Detail'!DB33-'Monthly Detail'!$B$31)*'People Plan'!$D$4, 0)</f>
        <v>0</v>
      </c>
      <c r="CL4" s="238">
        <f>+IF(('Monthly Detail'!DC33-'Monthly Detail'!$B$31)&gt;0,('Monthly Detail'!DC33-'Monthly Detail'!$B$31)*'People Plan'!$D$4, 0)</f>
        <v>0</v>
      </c>
      <c r="CM4" s="238">
        <f>+IF(('Monthly Detail'!DD33-'Monthly Detail'!$B$31)&gt;0,('Monthly Detail'!DD33-'Monthly Detail'!$B$31)*'People Plan'!$D$4, 0)</f>
        <v>0</v>
      </c>
      <c r="CN4" s="238">
        <f>+IF(('Monthly Detail'!DE33-'Monthly Detail'!$B$31)&gt;0,('Monthly Detail'!DE33-'Monthly Detail'!$B$31)*'People Plan'!$D$4, 0)</f>
        <v>0</v>
      </c>
      <c r="CO4" s="238">
        <f>+IF(('Monthly Detail'!DF33-'Monthly Detail'!$B$31)&gt;0,('Monthly Detail'!DF33-'Monthly Detail'!$B$31)*'People Plan'!$D$4, 0)</f>
        <v>0</v>
      </c>
      <c r="CP4" s="238">
        <f>+IF(('Monthly Detail'!DG33-'Monthly Detail'!$B$31)&gt;0,('Monthly Detail'!DG33-'Monthly Detail'!$B$31)*'People Plan'!$D$4, 0)</f>
        <v>0</v>
      </c>
      <c r="CQ4" s="238">
        <f>+IF(('Monthly Detail'!DH33-'Monthly Detail'!$B$31)&gt;0,('Monthly Detail'!DH33-'Monthly Detail'!$B$31)*'People Plan'!$D$4, 0)</f>
        <v>0</v>
      </c>
      <c r="CR4" s="238">
        <f>+IF(('Monthly Detail'!DI33-'Monthly Detail'!$B$31)&gt;0,('Monthly Detail'!DI33-'Monthly Detail'!$B$31)*'People Plan'!$D$4, 0)</f>
        <v>0</v>
      </c>
      <c r="CS4" s="238">
        <f>+IF(('Monthly Detail'!DJ33-'Monthly Detail'!$B$31)&gt;0,('Monthly Detail'!DJ33-'Monthly Detail'!$B$31)*'People Plan'!$D$4, 0)</f>
        <v>0</v>
      </c>
      <c r="CT4" s="238">
        <f>+IF(('Monthly Detail'!DK33-'Monthly Detail'!$B$31)&gt;0,('Monthly Detail'!DK33-'Monthly Detail'!$B$31)*'People Plan'!$D$4, 0)</f>
        <v>0</v>
      </c>
      <c r="CU4" s="238">
        <f>+IF(('Monthly Detail'!DL33-'Monthly Detail'!$B$31)&gt;0,('Monthly Detail'!DL33-'Monthly Detail'!$B$31)*'People Plan'!$D$4, 0)</f>
        <v>0</v>
      </c>
      <c r="CV4" s="238">
        <f>+IF(('Monthly Detail'!DM33-'Monthly Detail'!$B$31)&gt;0,('Monthly Detail'!DM33-'Monthly Detail'!$B$31)*'People Plan'!$D$4, 0)</f>
        <v>0</v>
      </c>
      <c r="CW4" s="238">
        <f>+IF(('Monthly Detail'!DN33-'Monthly Detail'!$B$31)&gt;0,('Monthly Detail'!DN33-'Monthly Detail'!$B$31)*'People Plan'!$D$4, 0)</f>
        <v>0</v>
      </c>
      <c r="CX4" s="238">
        <f>+IF(('Monthly Detail'!DO33-'Monthly Detail'!$B$31)&gt;0,('Monthly Detail'!DO33-'Monthly Detail'!$B$31)*'People Plan'!$D$4, 0)</f>
        <v>0</v>
      </c>
      <c r="CY4" s="238">
        <f>+IF(('Monthly Detail'!DP33-'Monthly Detail'!$B$31)&gt;0,('Monthly Detail'!DP33-'Monthly Detail'!$B$31)*'People Plan'!$D$4, 0)</f>
        <v>0</v>
      </c>
      <c r="CZ4" s="238">
        <f>+IF(('Monthly Detail'!DQ33-'Monthly Detail'!$B$31)&gt;0,('Monthly Detail'!DQ33-'Monthly Detail'!$B$31)*'People Plan'!$D$4, 0)</f>
        <v>0</v>
      </c>
      <c r="DA4" s="238">
        <f>+IF(('Monthly Detail'!DR33-'Monthly Detail'!$B$31)&gt;0,('Monthly Detail'!DR33-'Monthly Detail'!$B$31)*'People Plan'!$D$4, 0)</f>
        <v>0</v>
      </c>
      <c r="DB4" s="238">
        <f>+IF(('Monthly Detail'!DS33-'Monthly Detail'!$B$31)&gt;0,('Monthly Detail'!DS33-'Monthly Detail'!$B$31)*'People Plan'!$D$4, 0)</f>
        <v>0</v>
      </c>
      <c r="DC4" s="238">
        <f>+IF(('Monthly Detail'!DT33-'Monthly Detail'!$B$31)&gt;0,('Monthly Detail'!DT33-'Monthly Detail'!$B$31)*'People Plan'!$D$4, 0)</f>
        <v>0</v>
      </c>
      <c r="DD4" s="238">
        <f>+IF(('Monthly Detail'!DU33-'Monthly Detail'!$B$31)&gt;0,('Monthly Detail'!DU33-'Monthly Detail'!$B$31)*'People Plan'!$D$4, 0)</f>
        <v>0</v>
      </c>
      <c r="DE4" s="238">
        <f>+IF(('Monthly Detail'!DV33-'Monthly Detail'!$B$31)&gt;0,('Monthly Detail'!DV33-'Monthly Detail'!$B$31)*'People Plan'!$D$4, 0)</f>
        <v>0</v>
      </c>
      <c r="DF4" s="238">
        <f>+IF(('Monthly Detail'!DW33-'Monthly Detail'!$B$31)&gt;0,('Monthly Detail'!DW33-'Monthly Detail'!$B$31)*'People Plan'!$D$4, 0)</f>
        <v>0</v>
      </c>
      <c r="DG4" s="238">
        <f>+IF(('Monthly Detail'!DX33-'Monthly Detail'!$B$31)&gt;0,('Monthly Detail'!DX33-'Monthly Detail'!$B$31)*'People Plan'!$D$4, 0)</f>
        <v>0</v>
      </c>
      <c r="DH4" s="238">
        <f>+IF(('Monthly Detail'!DY33-'Monthly Detail'!$B$31)&gt;0,('Monthly Detail'!DY33-'Monthly Detail'!$B$31)*'People Plan'!$D$4, 0)</f>
        <v>0</v>
      </c>
      <c r="DI4" s="238">
        <f>+IF(('Monthly Detail'!DZ33-'Monthly Detail'!$B$31)&gt;0,('Monthly Detail'!DZ33-'Monthly Detail'!$B$31)*'People Plan'!$D$4, 0)</f>
        <v>0</v>
      </c>
      <c r="DJ4" s="238">
        <f>+IF(('Monthly Detail'!EA33-'Monthly Detail'!$B$31)&gt;0,('Monthly Detail'!EA33-'Monthly Detail'!$B$31)*'People Plan'!$D$4, 0)</f>
        <v>0</v>
      </c>
      <c r="DK4" s="238">
        <f>+IF(('Monthly Detail'!EB33-'Monthly Detail'!$B$31)&gt;0,('Monthly Detail'!EB33-'Monthly Detail'!$B$31)*'People Plan'!$D$4, 0)</f>
        <v>0</v>
      </c>
      <c r="DL4" s="238">
        <f>+IF(('Monthly Detail'!EC33-'Monthly Detail'!$B$31)&gt;0,('Monthly Detail'!EC33-'Monthly Detail'!$B$31)*'People Plan'!$D$4, 0)</f>
        <v>0</v>
      </c>
      <c r="DM4" s="238">
        <f>+IF(('Monthly Detail'!ED33-'Monthly Detail'!$B$31)&gt;0,('Monthly Detail'!ED33-'Monthly Detail'!$B$31)*'People Plan'!$D$4, 0)</f>
        <v>0</v>
      </c>
      <c r="DN4" s="238">
        <f>+IF(('Monthly Detail'!EE33-'Monthly Detail'!$B$31)&gt;0,('Monthly Detail'!EE33-'Monthly Detail'!$B$31)*'People Plan'!$D$4, 0)</f>
        <v>0</v>
      </c>
      <c r="DO4" s="238">
        <f>+IF(('Monthly Detail'!EF33-'Monthly Detail'!$B$31)&gt;0,('Monthly Detail'!EF33-'Monthly Detail'!$B$31)*'People Plan'!$D$4, 0)</f>
        <v>0</v>
      </c>
      <c r="DP4" s="238">
        <f>+IF(('Monthly Detail'!EG33-'Monthly Detail'!$B$31)&gt;0,('Monthly Detail'!EG33-'Monthly Detail'!$B$31)*'People Plan'!$D$4, 0)</f>
        <v>0</v>
      </c>
      <c r="DQ4" s="238">
        <f>+IF(('Monthly Detail'!EH33-'Monthly Detail'!$B$31)&gt;0,('Monthly Detail'!EH33-'Monthly Detail'!$B$31)*'People Plan'!$D$4, 0)</f>
        <v>0</v>
      </c>
      <c r="DR4" s="238">
        <f>+IF(('Monthly Detail'!EI33-'Monthly Detail'!$B$31)&gt;0,('Monthly Detail'!EI33-'Monthly Detail'!$B$31)*'People Plan'!$D$4, 0)</f>
        <v>0</v>
      </c>
      <c r="DS4" s="238">
        <f>+IF(('Monthly Detail'!EJ33-'Monthly Detail'!$B$31)&gt;0,('Monthly Detail'!EJ33-'Monthly Detail'!$B$31)*'People Plan'!$D$4, 0)</f>
        <v>0</v>
      </c>
      <c r="DT4" s="238">
        <f>+IF(('Monthly Detail'!EK33-'Monthly Detail'!$B$31)&gt;0,('Monthly Detail'!EK33-'Monthly Detail'!$B$31)*'People Plan'!$D$4, 0)</f>
        <v>0</v>
      </c>
      <c r="DU4" s="238">
        <f>+IF(('Monthly Detail'!EL33-'Monthly Detail'!$B$31)&gt;0,('Monthly Detail'!EL33-'Monthly Detail'!$B$31)*'People Plan'!$D$4, 0)</f>
        <v>0</v>
      </c>
      <c r="DV4" s="238">
        <f>+IF(('Monthly Detail'!EM33-'Monthly Detail'!$B$31)&gt;0,('Monthly Detail'!EM33-'Monthly Detail'!$B$31)*'People Plan'!$D$4, 0)</f>
        <v>0</v>
      </c>
      <c r="DW4" s="238">
        <f>+IF(('Monthly Detail'!EN33-'Monthly Detail'!$B$31)&gt;0,('Monthly Detail'!EN33-'Monthly Detail'!$B$31)*'People Plan'!$D$4, 0)</f>
        <v>0</v>
      </c>
      <c r="DX4" s="238">
        <f>+IF(('Monthly Detail'!EO33-'Monthly Detail'!$B$31)&gt;0,('Monthly Detail'!EO33-'Monthly Detail'!$B$31)*'People Plan'!$D$4, 0)</f>
        <v>0</v>
      </c>
      <c r="DY4" s="238">
        <f>+IF(('Monthly Detail'!EP33-'Monthly Detail'!$B$31)&gt;0,('Monthly Detail'!EP33-'Monthly Detail'!$B$31)*'People Plan'!$D$4, 0)</f>
        <v>0</v>
      </c>
      <c r="DZ4" s="238">
        <f>+IF(('Monthly Detail'!EQ33-'Monthly Detail'!$B$31)&gt;0,('Monthly Detail'!EQ33-'Monthly Detail'!$B$31)*'People Plan'!$D$4, 0)</f>
        <v>0</v>
      </c>
      <c r="EA4" s="238">
        <f>+IF(('Monthly Detail'!ER33-'Monthly Detail'!$B$31)&gt;0,('Monthly Detail'!ER33-'Monthly Detail'!$B$31)*'People Plan'!$D$4, 0)</f>
        <v>0</v>
      </c>
      <c r="EB4" s="238">
        <f>+IF(('Monthly Detail'!ES33-'Monthly Detail'!$B$31)&gt;0,('Monthly Detail'!ES33-'Monthly Detail'!$B$31)*'People Plan'!$D$4, 0)</f>
        <v>0</v>
      </c>
      <c r="EC4" s="238">
        <f>+IF(('Monthly Detail'!ET33-'Monthly Detail'!$B$31)&gt;0,('Monthly Detail'!ET33-'Monthly Detail'!$B$31)*'People Plan'!$D$4, 0)</f>
        <v>0</v>
      </c>
      <c r="ED4" s="238">
        <f>+IF(('Monthly Detail'!EU33-'Monthly Detail'!$B$31)&gt;0,('Monthly Detail'!EU33-'Monthly Detail'!$B$31)*'People Plan'!$D$4, 0)</f>
        <v>0</v>
      </c>
      <c r="EE4" s="238">
        <f>+IF(('Monthly Detail'!EV33-'Monthly Detail'!$B$31)&gt;0,('Monthly Detail'!EV33-'Monthly Detail'!$B$31)*'People Plan'!$D$4, 0)</f>
        <v>0</v>
      </c>
      <c r="EF4" s="238">
        <f>+IF(('Monthly Detail'!EW33-'Monthly Detail'!$B$31)&gt;0,('Monthly Detail'!EW33-'Monthly Detail'!$B$31)*'People Plan'!$D$4, 0)</f>
        <v>0</v>
      </c>
      <c r="EG4" s="238">
        <f>+IF(('Monthly Detail'!EX33-'Monthly Detail'!$B$31)&gt;0,('Monthly Detail'!EX33-'Monthly Detail'!$B$31)*'People Plan'!$D$4, 0)</f>
        <v>0</v>
      </c>
      <c r="EH4" s="238">
        <f>+IF(('Monthly Detail'!EY33-'Monthly Detail'!$B$31)&gt;0,('Monthly Detail'!EY33-'Monthly Detail'!$B$31)*'People Plan'!$D$4, 0)</f>
        <v>0</v>
      </c>
      <c r="EI4" s="238">
        <f>+IF(('Monthly Detail'!EZ33-'Monthly Detail'!$B$31)&gt;0,('Monthly Detail'!EZ33-'Monthly Detail'!$B$31)*'People Plan'!$D$4, 0)</f>
        <v>0</v>
      </c>
      <c r="EJ4" s="238">
        <f>+IF(('Monthly Detail'!FA33-'Monthly Detail'!$B$31)&gt;0,('Monthly Detail'!FA33-'Monthly Detail'!$B$31)*'People Plan'!$D$4, 0)</f>
        <v>0</v>
      </c>
      <c r="EK4" s="238">
        <f>+IF(('Monthly Detail'!FB33-'Monthly Detail'!$B$31)&gt;0,('Monthly Detail'!FB33-'Monthly Detail'!$B$31)*'People Plan'!$D$4, 0)</f>
        <v>0</v>
      </c>
      <c r="EL4" s="238">
        <f>+IF(('Monthly Detail'!FC33-'Monthly Detail'!$B$31)&gt;0,('Monthly Detail'!FC33-'Monthly Detail'!$B$31)*'People Plan'!$D$4, 0)</f>
        <v>0</v>
      </c>
      <c r="EM4" s="238">
        <f>+IF(('Monthly Detail'!FD33-'Monthly Detail'!$B$31)&gt;0,('Monthly Detail'!FD33-'Monthly Detail'!$B$31)*'People Plan'!$D$4, 0)</f>
        <v>0</v>
      </c>
      <c r="EN4" s="238">
        <f>+IF(('Monthly Detail'!FE33-'Monthly Detail'!$B$31)&gt;0,('Monthly Detail'!FE33-'Monthly Detail'!$B$31)*'People Plan'!$D$4, 0)</f>
        <v>0</v>
      </c>
      <c r="EO4" s="238">
        <f>+IF(('Monthly Detail'!FF33-'Monthly Detail'!$B$31)&gt;0,('Monthly Detail'!FF33-'Monthly Detail'!$B$31)*'People Plan'!$D$4, 0)</f>
        <v>0</v>
      </c>
      <c r="EP4" s="238">
        <f>+IF(('Monthly Detail'!FG33-'Monthly Detail'!$B$31)&gt;0,('Monthly Detail'!FG33-'Monthly Detail'!$B$31)*'People Plan'!$D$4, 0)</f>
        <v>0</v>
      </c>
      <c r="EQ4" s="238">
        <f>+IF(('Monthly Detail'!FH33-'Monthly Detail'!$B$31)&gt;0,('Monthly Detail'!FH33-'Monthly Detail'!$B$31)*'People Plan'!$D$4, 0)</f>
        <v>0</v>
      </c>
      <c r="ER4" s="238">
        <f>+IF(('Monthly Detail'!FI33-'Monthly Detail'!$B$31)&gt;0,('Monthly Detail'!FI33-'Monthly Detail'!$B$31)*'People Plan'!$D$4, 0)</f>
        <v>0</v>
      </c>
      <c r="ES4" s="238">
        <f>+IF(('Monthly Detail'!FJ33-'Monthly Detail'!$B$31)&gt;0,('Monthly Detail'!FJ33-'Monthly Detail'!$B$31)*'People Plan'!$D$4, 0)</f>
        <v>0</v>
      </c>
      <c r="ET4" s="238">
        <f>+IF(('Monthly Detail'!FK33-'Monthly Detail'!$B$31)&gt;0,('Monthly Detail'!FK33-'Monthly Detail'!$B$31)*'People Plan'!$D$4, 0)</f>
        <v>0</v>
      </c>
      <c r="EU4" s="238">
        <f>+IF(('Monthly Detail'!FL33-'Monthly Detail'!$B$31)&gt;0,('Monthly Detail'!FL33-'Monthly Detail'!$B$31)*'People Plan'!$D$4, 0)</f>
        <v>0</v>
      </c>
      <c r="EV4" s="238">
        <f>+IF(('Monthly Detail'!FM33-'Monthly Detail'!$B$31)&gt;0,('Monthly Detail'!FM33-'Monthly Detail'!$B$31)*'People Plan'!$D$4, 0)</f>
        <v>0</v>
      </c>
      <c r="EW4" s="238">
        <f>+IF(('Monthly Detail'!FN33-'Monthly Detail'!$B$31)&gt;0,('Monthly Detail'!FN33-'Monthly Detail'!$B$31)*'People Plan'!$D$4, 0)</f>
        <v>0</v>
      </c>
      <c r="EX4" s="238">
        <f>+IF(('Monthly Detail'!FO33-'Monthly Detail'!$B$31)&gt;0,('Monthly Detail'!FO33-'Monthly Detail'!$B$31)*'People Plan'!$D$4, 0)</f>
        <v>0</v>
      </c>
      <c r="EY4" s="238">
        <f>+IF(('Monthly Detail'!FP33-'Monthly Detail'!$B$31)&gt;0,('Monthly Detail'!FP33-'Monthly Detail'!$B$31)*'People Plan'!$D$4, 0)</f>
        <v>0</v>
      </c>
      <c r="EZ4" s="238">
        <f>+IF(('Monthly Detail'!FQ33-'Monthly Detail'!$B$31)&gt;0,('Monthly Detail'!FQ33-'Monthly Detail'!$B$31)*'People Plan'!$D$4, 0)</f>
        <v>0</v>
      </c>
      <c r="FA4" s="238">
        <f>+IF(('Monthly Detail'!FR33-'Monthly Detail'!$B$31)&gt;0,('Monthly Detail'!FR33-'Monthly Detail'!$B$31)*'People Plan'!$D$4, 0)</f>
        <v>0</v>
      </c>
      <c r="FB4" s="238">
        <f>+IF(('Monthly Detail'!FS33-'Monthly Detail'!$B$31)&gt;0,('Monthly Detail'!FS33-'Monthly Detail'!$B$31)*'People Plan'!$D$4, 0)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62"/>
  <sheetViews>
    <sheetView workbookViewId="0">
      <selection activeCell="C1" sqref="C1:C1048576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38</v>
      </c>
      <c r="C2" s="13"/>
    </row>
    <row r="3" spans="2:3" x14ac:dyDescent="0.3">
      <c r="B3" s="14">
        <v>43831</v>
      </c>
      <c r="C3" t="s">
        <v>39</v>
      </c>
    </row>
    <row r="4" spans="2:3" x14ac:dyDescent="0.3">
      <c r="B4" s="14">
        <v>43850</v>
      </c>
      <c r="C4" t="s">
        <v>40</v>
      </c>
    </row>
    <row r="5" spans="2:3" x14ac:dyDescent="0.3">
      <c r="B5" s="14">
        <v>43878</v>
      </c>
      <c r="C5" t="s">
        <v>41</v>
      </c>
    </row>
    <row r="6" spans="2:3" x14ac:dyDescent="0.3">
      <c r="B6" s="14">
        <v>43976</v>
      </c>
      <c r="C6" t="s">
        <v>42</v>
      </c>
    </row>
    <row r="7" spans="2:3" x14ac:dyDescent="0.3">
      <c r="B7" s="14">
        <v>44081</v>
      </c>
      <c r="C7" t="s">
        <v>43</v>
      </c>
    </row>
    <row r="8" spans="2:3" x14ac:dyDescent="0.3">
      <c r="B8" s="14">
        <v>44016</v>
      </c>
      <c r="C8" t="s">
        <v>44</v>
      </c>
    </row>
    <row r="9" spans="2:3" x14ac:dyDescent="0.3">
      <c r="B9" s="14">
        <v>44161</v>
      </c>
      <c r="C9" t="s">
        <v>45</v>
      </c>
    </row>
    <row r="10" spans="2:3" x14ac:dyDescent="0.3">
      <c r="B10" s="14">
        <f>+B9+1</f>
        <v>44162</v>
      </c>
      <c r="C10" t="s">
        <v>46</v>
      </c>
    </row>
    <row r="11" spans="2:3" x14ac:dyDescent="0.3">
      <c r="B11" s="14">
        <v>44189</v>
      </c>
      <c r="C11" t="s">
        <v>47</v>
      </c>
    </row>
    <row r="12" spans="2:3" x14ac:dyDescent="0.3">
      <c r="B12" s="14">
        <f>+B11+1</f>
        <v>44190</v>
      </c>
      <c r="C12" t="s">
        <v>48</v>
      </c>
    </row>
    <row r="13" spans="2:3" x14ac:dyDescent="0.3">
      <c r="B13" s="14">
        <f>+B3+366</f>
        <v>44197</v>
      </c>
      <c r="C13" t="s">
        <v>39</v>
      </c>
    </row>
    <row r="14" spans="2:3" x14ac:dyDescent="0.3">
      <c r="B14" s="14">
        <f t="shared" ref="B14:B22" si="0">+B4+366</f>
        <v>44216</v>
      </c>
      <c r="C14" t="s">
        <v>40</v>
      </c>
    </row>
    <row r="15" spans="2:3" x14ac:dyDescent="0.3">
      <c r="B15" s="14">
        <f t="shared" si="0"/>
        <v>44244</v>
      </c>
      <c r="C15" t="s">
        <v>41</v>
      </c>
    </row>
    <row r="16" spans="2:3" x14ac:dyDescent="0.3">
      <c r="B16" s="14">
        <f t="shared" si="0"/>
        <v>44342</v>
      </c>
      <c r="C16" t="s">
        <v>42</v>
      </c>
    </row>
    <row r="17" spans="2:3" x14ac:dyDescent="0.3">
      <c r="B17" s="14">
        <f t="shared" si="0"/>
        <v>44447</v>
      </c>
      <c r="C17" t="s">
        <v>43</v>
      </c>
    </row>
    <row r="18" spans="2:3" x14ac:dyDescent="0.3">
      <c r="B18" s="14">
        <f t="shared" si="0"/>
        <v>44382</v>
      </c>
      <c r="C18" t="s">
        <v>44</v>
      </c>
    </row>
    <row r="19" spans="2:3" x14ac:dyDescent="0.3">
      <c r="B19" s="14">
        <f t="shared" si="0"/>
        <v>44527</v>
      </c>
      <c r="C19" t="s">
        <v>45</v>
      </c>
    </row>
    <row r="20" spans="2:3" x14ac:dyDescent="0.3">
      <c r="B20" s="14">
        <f t="shared" si="0"/>
        <v>44528</v>
      </c>
      <c r="C20" t="s">
        <v>46</v>
      </c>
    </row>
    <row r="21" spans="2:3" x14ac:dyDescent="0.3">
      <c r="B21" s="14">
        <f t="shared" si="0"/>
        <v>44555</v>
      </c>
      <c r="C21" t="s">
        <v>47</v>
      </c>
    </row>
    <row r="22" spans="2:3" x14ac:dyDescent="0.3">
      <c r="B22" s="14">
        <f t="shared" si="0"/>
        <v>44556</v>
      </c>
      <c r="C22" t="s">
        <v>48</v>
      </c>
    </row>
    <row r="23" spans="2:3" x14ac:dyDescent="0.3">
      <c r="B23" s="14">
        <f>+B13+365</f>
        <v>44562</v>
      </c>
      <c r="C23" t="s">
        <v>39</v>
      </c>
    </row>
    <row r="24" spans="2:3" x14ac:dyDescent="0.3">
      <c r="B24" s="14">
        <f t="shared" ref="B24:B62" si="1">+B14+365</f>
        <v>44581</v>
      </c>
      <c r="C24" t="s">
        <v>40</v>
      </c>
    </row>
    <row r="25" spans="2:3" x14ac:dyDescent="0.3">
      <c r="B25" s="14">
        <f t="shared" si="1"/>
        <v>44609</v>
      </c>
      <c r="C25" t="s">
        <v>41</v>
      </c>
    </row>
    <row r="26" spans="2:3" x14ac:dyDescent="0.3">
      <c r="B26" s="14">
        <f t="shared" si="1"/>
        <v>44707</v>
      </c>
      <c r="C26" t="s">
        <v>42</v>
      </c>
    </row>
    <row r="27" spans="2:3" x14ac:dyDescent="0.3">
      <c r="B27" s="14">
        <f t="shared" si="1"/>
        <v>44812</v>
      </c>
      <c r="C27" t="s">
        <v>43</v>
      </c>
    </row>
    <row r="28" spans="2:3" x14ac:dyDescent="0.3">
      <c r="B28" s="14">
        <f t="shared" si="1"/>
        <v>44747</v>
      </c>
      <c r="C28" t="s">
        <v>44</v>
      </c>
    </row>
    <row r="29" spans="2:3" x14ac:dyDescent="0.3">
      <c r="B29" s="14">
        <f t="shared" si="1"/>
        <v>44892</v>
      </c>
      <c r="C29" t="s">
        <v>45</v>
      </c>
    </row>
    <row r="30" spans="2:3" x14ac:dyDescent="0.3">
      <c r="B30" s="14">
        <f t="shared" si="1"/>
        <v>44893</v>
      </c>
      <c r="C30" t="s">
        <v>46</v>
      </c>
    </row>
    <row r="31" spans="2:3" x14ac:dyDescent="0.3">
      <c r="B31" s="14">
        <f t="shared" si="1"/>
        <v>44920</v>
      </c>
      <c r="C31" t="s">
        <v>47</v>
      </c>
    </row>
    <row r="32" spans="2:3" x14ac:dyDescent="0.3">
      <c r="B32" s="14">
        <f t="shared" si="1"/>
        <v>44921</v>
      </c>
      <c r="C32" t="s">
        <v>48</v>
      </c>
    </row>
    <row r="33" spans="2:3" x14ac:dyDescent="0.3">
      <c r="B33" s="14">
        <f t="shared" si="1"/>
        <v>44927</v>
      </c>
      <c r="C33" t="s">
        <v>39</v>
      </c>
    </row>
    <row r="34" spans="2:3" x14ac:dyDescent="0.3">
      <c r="B34" s="14">
        <f t="shared" si="1"/>
        <v>44946</v>
      </c>
      <c r="C34" t="s">
        <v>40</v>
      </c>
    </row>
    <row r="35" spans="2:3" x14ac:dyDescent="0.3">
      <c r="B35" s="14">
        <f t="shared" si="1"/>
        <v>44974</v>
      </c>
      <c r="C35" t="s">
        <v>41</v>
      </c>
    </row>
    <row r="36" spans="2:3" x14ac:dyDescent="0.3">
      <c r="B36" s="14">
        <f t="shared" si="1"/>
        <v>45072</v>
      </c>
      <c r="C36" t="s">
        <v>42</v>
      </c>
    </row>
    <row r="37" spans="2:3" x14ac:dyDescent="0.3">
      <c r="B37" s="14">
        <f t="shared" si="1"/>
        <v>45177</v>
      </c>
      <c r="C37" t="s">
        <v>43</v>
      </c>
    </row>
    <row r="38" spans="2:3" x14ac:dyDescent="0.3">
      <c r="B38" s="14">
        <f t="shared" si="1"/>
        <v>45112</v>
      </c>
      <c r="C38" t="s">
        <v>44</v>
      </c>
    </row>
    <row r="39" spans="2:3" x14ac:dyDescent="0.3">
      <c r="B39" s="14">
        <f t="shared" si="1"/>
        <v>45257</v>
      </c>
      <c r="C39" t="s">
        <v>45</v>
      </c>
    </row>
    <row r="40" spans="2:3" x14ac:dyDescent="0.3">
      <c r="B40" s="14">
        <f t="shared" si="1"/>
        <v>45258</v>
      </c>
      <c r="C40" t="s">
        <v>46</v>
      </c>
    </row>
    <row r="41" spans="2:3" x14ac:dyDescent="0.3">
      <c r="B41" s="14">
        <f t="shared" si="1"/>
        <v>45285</v>
      </c>
      <c r="C41" t="s">
        <v>47</v>
      </c>
    </row>
    <row r="42" spans="2:3" x14ac:dyDescent="0.3">
      <c r="B42" s="14">
        <f t="shared" si="1"/>
        <v>45286</v>
      </c>
      <c r="C42" t="s">
        <v>48</v>
      </c>
    </row>
    <row r="43" spans="2:3" x14ac:dyDescent="0.3">
      <c r="B43" s="14">
        <f t="shared" si="1"/>
        <v>45292</v>
      </c>
      <c r="C43" t="s">
        <v>39</v>
      </c>
    </row>
    <row r="44" spans="2:3" x14ac:dyDescent="0.3">
      <c r="B44" s="14">
        <f t="shared" si="1"/>
        <v>45311</v>
      </c>
      <c r="C44" t="s">
        <v>40</v>
      </c>
    </row>
    <row r="45" spans="2:3" x14ac:dyDescent="0.3">
      <c r="B45" s="14">
        <f t="shared" si="1"/>
        <v>45339</v>
      </c>
      <c r="C45" t="s">
        <v>41</v>
      </c>
    </row>
    <row r="46" spans="2:3" x14ac:dyDescent="0.3">
      <c r="B46" s="14">
        <f t="shared" si="1"/>
        <v>45437</v>
      </c>
      <c r="C46" t="s">
        <v>42</v>
      </c>
    </row>
    <row r="47" spans="2:3" x14ac:dyDescent="0.3">
      <c r="B47" s="14">
        <f t="shared" si="1"/>
        <v>45542</v>
      </c>
      <c r="C47" t="s">
        <v>43</v>
      </c>
    </row>
    <row r="48" spans="2:3" x14ac:dyDescent="0.3">
      <c r="B48" s="14">
        <f t="shared" si="1"/>
        <v>45477</v>
      </c>
      <c r="C48" t="s">
        <v>44</v>
      </c>
    </row>
    <row r="49" spans="2:3" x14ac:dyDescent="0.3">
      <c r="B49" s="14">
        <f t="shared" si="1"/>
        <v>45622</v>
      </c>
      <c r="C49" t="s">
        <v>45</v>
      </c>
    </row>
    <row r="50" spans="2:3" x14ac:dyDescent="0.3">
      <c r="B50" s="14">
        <f t="shared" si="1"/>
        <v>45623</v>
      </c>
      <c r="C50" t="s">
        <v>46</v>
      </c>
    </row>
    <row r="51" spans="2:3" x14ac:dyDescent="0.3">
      <c r="B51" s="14">
        <f t="shared" si="1"/>
        <v>45650</v>
      </c>
      <c r="C51" t="s">
        <v>47</v>
      </c>
    </row>
    <row r="52" spans="2:3" x14ac:dyDescent="0.3">
      <c r="B52" s="14">
        <f t="shared" si="1"/>
        <v>45651</v>
      </c>
      <c r="C52" t="s">
        <v>48</v>
      </c>
    </row>
    <row r="53" spans="2:3" x14ac:dyDescent="0.3">
      <c r="B53" s="14">
        <f t="shared" si="1"/>
        <v>45657</v>
      </c>
      <c r="C53" t="s">
        <v>39</v>
      </c>
    </row>
    <row r="54" spans="2:3" x14ac:dyDescent="0.3">
      <c r="B54" s="14">
        <f t="shared" si="1"/>
        <v>45676</v>
      </c>
      <c r="C54" t="s">
        <v>40</v>
      </c>
    </row>
    <row r="55" spans="2:3" x14ac:dyDescent="0.3">
      <c r="B55" s="14">
        <f t="shared" si="1"/>
        <v>45704</v>
      </c>
      <c r="C55" t="s">
        <v>41</v>
      </c>
    </row>
    <row r="56" spans="2:3" x14ac:dyDescent="0.3">
      <c r="B56" s="14">
        <f t="shared" si="1"/>
        <v>45802</v>
      </c>
      <c r="C56" t="s">
        <v>42</v>
      </c>
    </row>
    <row r="57" spans="2:3" x14ac:dyDescent="0.3">
      <c r="B57" s="14">
        <f t="shared" si="1"/>
        <v>45907</v>
      </c>
      <c r="C57" t="s">
        <v>43</v>
      </c>
    </row>
    <row r="58" spans="2:3" x14ac:dyDescent="0.3">
      <c r="B58" s="14">
        <f t="shared" si="1"/>
        <v>45842</v>
      </c>
      <c r="C58" t="s">
        <v>44</v>
      </c>
    </row>
    <row r="59" spans="2:3" x14ac:dyDescent="0.3">
      <c r="B59" s="14">
        <f t="shared" si="1"/>
        <v>45987</v>
      </c>
      <c r="C59" t="s">
        <v>45</v>
      </c>
    </row>
    <row r="60" spans="2:3" x14ac:dyDescent="0.3">
      <c r="B60" s="14">
        <f t="shared" si="1"/>
        <v>45988</v>
      </c>
      <c r="C60" t="s">
        <v>46</v>
      </c>
    </row>
    <row r="61" spans="2:3" x14ac:dyDescent="0.3">
      <c r="B61" s="14">
        <f t="shared" si="1"/>
        <v>46015</v>
      </c>
      <c r="C61" t="s">
        <v>47</v>
      </c>
    </row>
    <row r="62" spans="2:3" x14ac:dyDescent="0.3">
      <c r="B62" s="14">
        <f t="shared" si="1"/>
        <v>46016</v>
      </c>
      <c r="C62" t="s">
        <v>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5"/>
    <col min="2" max="2" width="12.33203125" style="135" bestFit="1" customWidth="1"/>
    <col min="3" max="9" width="8.88671875" style="135"/>
    <col min="10" max="10" width="15" style="135" bestFit="1" customWidth="1"/>
    <col min="11" max="16384" width="8.88671875" style="135"/>
  </cols>
  <sheetData>
    <row r="1" spans="1:11 16384:16384" x14ac:dyDescent="0.3">
      <c r="A1" s="135" t="s">
        <v>55</v>
      </c>
      <c r="B1" s="135" t="s">
        <v>56</v>
      </c>
      <c r="C1" s="135" t="s">
        <v>57</v>
      </c>
      <c r="D1" s="135" t="s">
        <v>58</v>
      </c>
      <c r="E1" s="135" t="s">
        <v>59</v>
      </c>
      <c r="F1" s="135" t="s">
        <v>60</v>
      </c>
      <c r="G1" s="135" t="s">
        <v>61</v>
      </c>
      <c r="H1" s="135" t="s">
        <v>62</v>
      </c>
      <c r="I1" s="135" t="s">
        <v>63</v>
      </c>
      <c r="J1" s="136" t="s">
        <v>64</v>
      </c>
      <c r="K1" s="135" t="s">
        <v>65</v>
      </c>
    </row>
    <row r="2" spans="1:11 16384:16384" x14ac:dyDescent="0.3">
      <c r="A2" s="137" t="s">
        <v>78</v>
      </c>
      <c r="B2" s="137" t="s">
        <v>195</v>
      </c>
      <c r="C2" s="137">
        <v>2</v>
      </c>
      <c r="D2" s="137">
        <v>50</v>
      </c>
      <c r="E2" s="137">
        <v>100</v>
      </c>
      <c r="F2" s="137" t="s">
        <v>67</v>
      </c>
      <c r="G2" s="137" t="s">
        <v>67</v>
      </c>
      <c r="H2" s="137" t="s">
        <v>196</v>
      </c>
      <c r="I2" s="137"/>
      <c r="J2" s="138" t="s">
        <v>197</v>
      </c>
      <c r="K2" s="137">
        <v>100</v>
      </c>
    </row>
    <row r="3" spans="1:11 16384:16384" x14ac:dyDescent="0.3">
      <c r="A3" s="137" t="s">
        <v>85</v>
      </c>
      <c r="B3" s="139">
        <v>44906</v>
      </c>
      <c r="C3" s="137">
        <v>1.25</v>
      </c>
      <c r="D3" s="138">
        <v>60</v>
      </c>
      <c r="E3" s="137">
        <v>75</v>
      </c>
      <c r="F3" s="137" t="s">
        <v>67</v>
      </c>
      <c r="G3" s="137" t="s">
        <v>67</v>
      </c>
      <c r="H3" s="137" t="s">
        <v>86</v>
      </c>
      <c r="I3" s="137" t="s">
        <v>69</v>
      </c>
      <c r="J3" s="137" t="s">
        <v>167</v>
      </c>
      <c r="K3" s="137">
        <v>75</v>
      </c>
    </row>
    <row r="4" spans="1:11 16384:16384" x14ac:dyDescent="0.3">
      <c r="A4" s="137" t="s">
        <v>198</v>
      </c>
      <c r="B4" s="139">
        <v>44907</v>
      </c>
      <c r="C4" s="137">
        <v>1</v>
      </c>
      <c r="D4" s="138">
        <v>60</v>
      </c>
      <c r="E4" s="137">
        <v>60</v>
      </c>
      <c r="F4" s="137" t="s">
        <v>67</v>
      </c>
      <c r="G4" s="137" t="s">
        <v>67</v>
      </c>
      <c r="H4" s="137" t="s">
        <v>199</v>
      </c>
      <c r="I4" s="137" t="s">
        <v>69</v>
      </c>
      <c r="J4" s="137" t="s">
        <v>167</v>
      </c>
      <c r="K4" s="137">
        <v>60</v>
      </c>
    </row>
    <row r="5" spans="1:11 16384:16384" x14ac:dyDescent="0.3">
      <c r="A5" s="137" t="s">
        <v>198</v>
      </c>
      <c r="B5" s="139">
        <v>44908</v>
      </c>
      <c r="C5" s="137">
        <v>1.5</v>
      </c>
      <c r="D5" s="138">
        <v>60</v>
      </c>
      <c r="E5" s="137">
        <v>90</v>
      </c>
      <c r="F5" s="137" t="s">
        <v>67</v>
      </c>
      <c r="G5" s="137" t="s">
        <v>67</v>
      </c>
      <c r="H5" s="137" t="s">
        <v>199</v>
      </c>
      <c r="I5" s="137" t="s">
        <v>69</v>
      </c>
      <c r="J5" s="137" t="s">
        <v>167</v>
      </c>
      <c r="K5" s="137">
        <v>90</v>
      </c>
    </row>
    <row r="6" spans="1:11 16384:16384" x14ac:dyDescent="0.3">
      <c r="A6" s="137" t="s">
        <v>198</v>
      </c>
      <c r="B6" s="139">
        <v>44910</v>
      </c>
      <c r="C6" s="137">
        <v>1.5</v>
      </c>
      <c r="D6" s="137">
        <v>60</v>
      </c>
      <c r="E6" s="137">
        <v>90</v>
      </c>
      <c r="F6" s="137" t="s">
        <v>67</v>
      </c>
      <c r="G6" s="137" t="s">
        <v>67</v>
      </c>
      <c r="H6" s="137" t="s">
        <v>199</v>
      </c>
      <c r="I6" s="137" t="s">
        <v>69</v>
      </c>
      <c r="J6" s="137" t="s">
        <v>167</v>
      </c>
      <c r="K6" s="137">
        <v>90</v>
      </c>
    </row>
    <row r="7" spans="1:11 16384:16384" x14ac:dyDescent="0.3">
      <c r="A7" s="137" t="s">
        <v>200</v>
      </c>
      <c r="B7" s="139">
        <v>44905</v>
      </c>
      <c r="C7" s="137">
        <v>1</v>
      </c>
      <c r="D7" s="138">
        <v>60</v>
      </c>
      <c r="E7" s="137">
        <v>60</v>
      </c>
      <c r="F7" s="137" t="s">
        <v>67</v>
      </c>
      <c r="G7" s="137" t="s">
        <v>67</v>
      </c>
      <c r="H7" s="137" t="s">
        <v>201</v>
      </c>
      <c r="I7" s="137" t="s">
        <v>69</v>
      </c>
      <c r="J7" s="137" t="s">
        <v>167</v>
      </c>
      <c r="K7" s="137">
        <v>60</v>
      </c>
    </row>
    <row r="8" spans="1:11 16384:16384" x14ac:dyDescent="0.3">
      <c r="A8" s="137" t="s">
        <v>107</v>
      </c>
      <c r="B8" s="139">
        <v>44898</v>
      </c>
      <c r="C8" s="137">
        <v>1.5</v>
      </c>
      <c r="D8" s="137">
        <v>50</v>
      </c>
      <c r="E8" s="137">
        <v>75</v>
      </c>
      <c r="F8" s="137" t="s">
        <v>67</v>
      </c>
      <c r="G8" s="137" t="s">
        <v>67</v>
      </c>
      <c r="H8" s="137" t="s">
        <v>108</v>
      </c>
      <c r="I8" s="137" t="s">
        <v>69</v>
      </c>
      <c r="J8" s="137" t="s">
        <v>167</v>
      </c>
      <c r="K8" s="137">
        <v>75</v>
      </c>
    </row>
    <row r="9" spans="1:11 16384:16384" x14ac:dyDescent="0.3">
      <c r="A9" s="137" t="s">
        <v>107</v>
      </c>
      <c r="B9" s="139">
        <v>44900</v>
      </c>
      <c r="C9" s="137">
        <v>1.5</v>
      </c>
      <c r="D9" s="137">
        <v>50</v>
      </c>
      <c r="E9" s="137">
        <v>75</v>
      </c>
      <c r="F9" s="137" t="s">
        <v>67</v>
      </c>
      <c r="G9" s="137" t="s">
        <v>67</v>
      </c>
      <c r="H9" s="137" t="s">
        <v>108</v>
      </c>
      <c r="I9" s="137" t="s">
        <v>69</v>
      </c>
      <c r="J9" s="137" t="s">
        <v>167</v>
      </c>
      <c r="K9" s="137">
        <v>75</v>
      </c>
    </row>
    <row r="10" spans="1:11 16384:16384" x14ac:dyDescent="0.3">
      <c r="A10" s="137" t="s">
        <v>107</v>
      </c>
      <c r="B10" s="139">
        <v>44903</v>
      </c>
      <c r="C10" s="137">
        <v>1</v>
      </c>
      <c r="D10" s="137">
        <v>50</v>
      </c>
      <c r="E10" s="137">
        <v>50</v>
      </c>
      <c r="F10" s="137" t="s">
        <v>67</v>
      </c>
      <c r="G10" s="137" t="s">
        <v>67</v>
      </c>
      <c r="H10" s="137" t="s">
        <v>108</v>
      </c>
      <c r="I10" s="137" t="s">
        <v>69</v>
      </c>
      <c r="J10" s="137" t="s">
        <v>167</v>
      </c>
      <c r="K10" s="137">
        <v>50</v>
      </c>
    </row>
    <row r="11" spans="1:11 16384:16384" x14ac:dyDescent="0.3">
      <c r="A11" s="137" t="s">
        <v>107</v>
      </c>
      <c r="B11" s="139">
        <v>44906</v>
      </c>
      <c r="C11" s="137">
        <v>2</v>
      </c>
      <c r="D11" s="137">
        <v>50</v>
      </c>
      <c r="E11" s="137">
        <v>100</v>
      </c>
      <c r="F11" s="137" t="s">
        <v>67</v>
      </c>
      <c r="G11" s="137" t="s">
        <v>67</v>
      </c>
      <c r="H11" s="137" t="s">
        <v>108</v>
      </c>
      <c r="I11" s="137" t="s">
        <v>69</v>
      </c>
      <c r="J11" s="137" t="s">
        <v>167</v>
      </c>
      <c r="K11" s="137">
        <v>100</v>
      </c>
    </row>
    <row r="12" spans="1:11 16384:16384" x14ac:dyDescent="0.3">
      <c r="A12" s="137" t="s">
        <v>107</v>
      </c>
      <c r="B12" s="139">
        <v>44907</v>
      </c>
      <c r="C12" s="137">
        <v>1.25</v>
      </c>
      <c r="D12" s="137">
        <v>50</v>
      </c>
      <c r="E12" s="137">
        <v>62.5</v>
      </c>
      <c r="F12" s="137" t="s">
        <v>67</v>
      </c>
      <c r="G12" s="137" t="s">
        <v>67</v>
      </c>
      <c r="H12" s="137" t="s">
        <v>108</v>
      </c>
      <c r="I12" s="137" t="s">
        <v>69</v>
      </c>
      <c r="J12" s="137" t="s">
        <v>167</v>
      </c>
      <c r="K12" s="137">
        <v>62.5</v>
      </c>
      <c r="XFD12" s="135" t="s">
        <v>67</v>
      </c>
    </row>
    <row r="13" spans="1:11 16384:16384" x14ac:dyDescent="0.3">
      <c r="A13" s="137" t="s">
        <v>107</v>
      </c>
      <c r="B13" s="139">
        <v>44908</v>
      </c>
      <c r="C13" s="137">
        <v>1.5</v>
      </c>
      <c r="D13" s="137">
        <v>50</v>
      </c>
      <c r="E13" s="137">
        <v>75</v>
      </c>
      <c r="F13" s="137" t="s">
        <v>67</v>
      </c>
      <c r="G13" s="137" t="s">
        <v>67</v>
      </c>
      <c r="H13" s="137" t="s">
        <v>108</v>
      </c>
      <c r="I13" s="137" t="s">
        <v>69</v>
      </c>
      <c r="J13" s="137" t="s">
        <v>167</v>
      </c>
      <c r="K13" s="137">
        <v>75</v>
      </c>
    </row>
    <row r="14" spans="1:11 16384:16384" x14ac:dyDescent="0.3">
      <c r="A14" s="137" t="s">
        <v>107</v>
      </c>
      <c r="B14" s="139">
        <v>44909</v>
      </c>
      <c r="C14" s="137">
        <v>0.5</v>
      </c>
      <c r="D14" s="137">
        <v>50</v>
      </c>
      <c r="E14" s="137">
        <v>25</v>
      </c>
      <c r="F14" s="137" t="s">
        <v>67</v>
      </c>
      <c r="G14" s="137" t="s">
        <v>67</v>
      </c>
      <c r="H14" s="137" t="s">
        <v>108</v>
      </c>
      <c r="I14" s="137" t="s">
        <v>69</v>
      </c>
      <c r="J14" s="137" t="s">
        <v>167</v>
      </c>
      <c r="K14" s="137">
        <v>25</v>
      </c>
    </row>
    <row r="15" spans="1:11 16384:16384" x14ac:dyDescent="0.3">
      <c r="A15" s="137" t="s">
        <v>112</v>
      </c>
      <c r="B15" s="139">
        <v>44904</v>
      </c>
      <c r="C15" s="137">
        <v>2</v>
      </c>
      <c r="D15" s="138">
        <v>60</v>
      </c>
      <c r="E15" s="137">
        <v>120</v>
      </c>
      <c r="F15" s="137" t="s">
        <v>202</v>
      </c>
      <c r="G15" s="137" t="s">
        <v>67</v>
      </c>
      <c r="H15" s="137" t="s">
        <v>203</v>
      </c>
      <c r="I15" s="137" t="s">
        <v>69</v>
      </c>
      <c r="J15" s="137" t="s">
        <v>167</v>
      </c>
      <c r="K15" s="137">
        <v>0</v>
      </c>
    </row>
    <row r="16" spans="1:11 16384:16384" x14ac:dyDescent="0.3">
      <c r="A16" s="137" t="s">
        <v>112</v>
      </c>
      <c r="B16" s="139">
        <v>44906</v>
      </c>
      <c r="C16" s="137">
        <v>1.25</v>
      </c>
      <c r="D16" s="138">
        <v>60</v>
      </c>
      <c r="E16" s="137">
        <v>75</v>
      </c>
      <c r="F16" s="137" t="s">
        <v>67</v>
      </c>
      <c r="G16" s="137" t="s">
        <v>67</v>
      </c>
      <c r="H16" s="137" t="s">
        <v>204</v>
      </c>
      <c r="I16" s="137" t="s">
        <v>69</v>
      </c>
      <c r="J16" s="137" t="s">
        <v>167</v>
      </c>
      <c r="K16" s="137">
        <v>195</v>
      </c>
    </row>
    <row r="17" spans="1:11" x14ac:dyDescent="0.3">
      <c r="A17" s="137"/>
      <c r="B17" s="139"/>
      <c r="C17" s="137"/>
      <c r="D17" s="137"/>
      <c r="E17" s="137"/>
      <c r="F17" s="137"/>
      <c r="G17" s="137"/>
      <c r="H17" s="137"/>
      <c r="I17" s="137"/>
      <c r="J17" s="137"/>
      <c r="K17" s="137"/>
    </row>
    <row r="18" spans="1:11" x14ac:dyDescent="0.3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7" bestFit="1" customWidth="1"/>
    <col min="2" max="2" width="7.109375" style="117" bestFit="1" customWidth="1"/>
    <col min="3" max="3" width="8" style="117" bestFit="1" customWidth="1"/>
    <col min="4" max="4" width="12" style="117" bestFit="1" customWidth="1"/>
    <col min="5" max="5" width="6.88671875" style="117" bestFit="1" customWidth="1"/>
    <col min="6" max="6" width="8.5546875" style="117" bestFit="1" customWidth="1"/>
    <col min="7" max="7" width="19.109375" style="117" bestFit="1" customWidth="1"/>
    <col min="8" max="8" width="68.33203125" style="117" bestFit="1" customWidth="1"/>
    <col min="9" max="9" width="6.5546875" style="117" bestFit="1" customWidth="1"/>
    <col min="10" max="10" width="17.33203125" style="117" bestFit="1" customWidth="1"/>
    <col min="11" max="11" width="8.33203125" style="117" bestFit="1" customWidth="1"/>
    <col min="12" max="12" width="23.6640625" style="117" bestFit="1" customWidth="1"/>
    <col min="13" max="17" width="8.88671875" style="117"/>
    <col min="18" max="18" width="14.44140625" style="117" bestFit="1" customWidth="1"/>
    <col min="19" max="19" width="12.33203125" style="117" bestFit="1" customWidth="1"/>
    <col min="20" max="20" width="11.33203125" style="117" bestFit="1" customWidth="1"/>
    <col min="21" max="16384" width="8.88671875" style="117"/>
  </cols>
  <sheetData>
    <row r="1" spans="1:20" x14ac:dyDescent="0.3">
      <c r="A1" s="117" t="s">
        <v>55</v>
      </c>
      <c r="B1" s="117" t="s">
        <v>56</v>
      </c>
      <c r="C1" s="117" t="s">
        <v>57</v>
      </c>
      <c r="D1" s="117" t="s">
        <v>58</v>
      </c>
      <c r="E1" s="117" t="s">
        <v>59</v>
      </c>
      <c r="F1" s="117" t="s">
        <v>60</v>
      </c>
      <c r="G1" s="117" t="s">
        <v>61</v>
      </c>
      <c r="H1" s="117" t="s">
        <v>62</v>
      </c>
      <c r="I1" s="117" t="s">
        <v>63</v>
      </c>
      <c r="J1" s="118" t="s">
        <v>64</v>
      </c>
      <c r="K1" s="117" t="s">
        <v>65</v>
      </c>
    </row>
    <row r="2" spans="1:20" x14ac:dyDescent="0.3">
      <c r="A2" s="119" t="s">
        <v>66</v>
      </c>
      <c r="B2" s="119">
        <v>44868</v>
      </c>
      <c r="C2" s="120">
        <v>1</v>
      </c>
      <c r="D2" s="120">
        <v>50</v>
      </c>
      <c r="E2" s="120">
        <v>50</v>
      </c>
      <c r="F2" s="120" t="s">
        <v>67</v>
      </c>
      <c r="G2" s="120" t="s">
        <v>67</v>
      </c>
      <c r="H2" s="120" t="s">
        <v>164</v>
      </c>
      <c r="I2" s="120" t="s">
        <v>69</v>
      </c>
      <c r="J2" s="120" t="s">
        <v>67</v>
      </c>
      <c r="K2" s="120">
        <v>50</v>
      </c>
      <c r="R2" s="48" t="s">
        <v>136</v>
      </c>
      <c r="S2" t="s">
        <v>138</v>
      </c>
      <c r="T2" t="s">
        <v>139</v>
      </c>
    </row>
    <row r="3" spans="1:20" s="121" customFormat="1" x14ac:dyDescent="0.3">
      <c r="A3" s="121" t="s">
        <v>165</v>
      </c>
      <c r="B3" s="122">
        <v>44878</v>
      </c>
      <c r="C3" s="121">
        <v>1</v>
      </c>
      <c r="D3" s="121">
        <v>60</v>
      </c>
      <c r="E3" s="121">
        <v>60</v>
      </c>
      <c r="F3" s="121" t="s">
        <v>67</v>
      </c>
      <c r="G3" s="121" t="s">
        <v>67</v>
      </c>
      <c r="H3" s="121" t="s">
        <v>166</v>
      </c>
      <c r="I3" s="121" t="s">
        <v>69</v>
      </c>
      <c r="J3" s="121" t="s">
        <v>167</v>
      </c>
      <c r="K3" s="121">
        <v>60</v>
      </c>
      <c r="R3" s="49" t="s">
        <v>66</v>
      </c>
      <c r="S3">
        <v>1</v>
      </c>
      <c r="T3">
        <v>50</v>
      </c>
    </row>
    <row r="4" spans="1:20" s="121" customFormat="1" x14ac:dyDescent="0.3">
      <c r="A4" s="121" t="s">
        <v>165</v>
      </c>
      <c r="B4" s="122">
        <v>44880</v>
      </c>
      <c r="C4" s="121">
        <v>1.5</v>
      </c>
      <c r="D4" s="121">
        <v>60</v>
      </c>
      <c r="E4" s="121">
        <v>90</v>
      </c>
      <c r="F4" s="121" t="s">
        <v>67</v>
      </c>
      <c r="G4" s="121" t="s">
        <v>67</v>
      </c>
      <c r="H4" s="121" t="s">
        <v>166</v>
      </c>
      <c r="I4" s="121" t="s">
        <v>69</v>
      </c>
      <c r="J4" s="121" t="s">
        <v>167</v>
      </c>
      <c r="K4" s="121">
        <v>90</v>
      </c>
      <c r="R4" s="49" t="s">
        <v>165</v>
      </c>
      <c r="S4">
        <v>2.5</v>
      </c>
      <c r="T4">
        <v>150</v>
      </c>
    </row>
    <row r="5" spans="1:20" s="121" customFormat="1" x14ac:dyDescent="0.3">
      <c r="A5" s="121" t="s">
        <v>85</v>
      </c>
      <c r="B5" s="122">
        <v>44872</v>
      </c>
      <c r="C5" s="121">
        <v>1</v>
      </c>
      <c r="D5" s="121">
        <v>60</v>
      </c>
      <c r="E5" s="121">
        <v>60</v>
      </c>
      <c r="F5" s="121" t="s">
        <v>67</v>
      </c>
      <c r="G5" s="121" t="s">
        <v>67</v>
      </c>
      <c r="H5" s="121" t="s">
        <v>168</v>
      </c>
      <c r="I5" s="121" t="s">
        <v>69</v>
      </c>
      <c r="J5" s="121" t="s">
        <v>167</v>
      </c>
      <c r="K5" s="121">
        <v>60</v>
      </c>
      <c r="R5" s="49" t="s">
        <v>85</v>
      </c>
      <c r="S5">
        <v>2.5</v>
      </c>
      <c r="T5">
        <v>150</v>
      </c>
    </row>
    <row r="6" spans="1:20" s="123" customFormat="1" x14ac:dyDescent="0.3">
      <c r="A6" s="123" t="s">
        <v>85</v>
      </c>
      <c r="B6" s="124">
        <v>44892</v>
      </c>
      <c r="C6" s="123">
        <v>1.5</v>
      </c>
      <c r="D6" s="123">
        <v>60</v>
      </c>
      <c r="E6" s="123">
        <v>90</v>
      </c>
      <c r="F6" s="123" t="s">
        <v>67</v>
      </c>
      <c r="G6" s="123" t="s">
        <v>67</v>
      </c>
      <c r="H6" s="123" t="s">
        <v>169</v>
      </c>
      <c r="I6" s="123" t="s">
        <v>69</v>
      </c>
      <c r="J6" s="123" t="s">
        <v>167</v>
      </c>
      <c r="K6" s="123">
        <v>90</v>
      </c>
      <c r="R6" s="49" t="s">
        <v>170</v>
      </c>
      <c r="S6">
        <v>2.5</v>
      </c>
      <c r="T6">
        <v>150</v>
      </c>
    </row>
    <row r="7" spans="1:20" x14ac:dyDescent="0.3">
      <c r="A7" s="120" t="s">
        <v>170</v>
      </c>
      <c r="B7" s="119">
        <v>44878</v>
      </c>
      <c r="C7" s="120">
        <v>1</v>
      </c>
      <c r="D7" s="120">
        <v>60</v>
      </c>
      <c r="E7" s="120">
        <v>60</v>
      </c>
      <c r="F7" s="120" t="s">
        <v>67</v>
      </c>
      <c r="G7" s="120" t="s">
        <v>67</v>
      </c>
      <c r="H7" s="120" t="s">
        <v>171</v>
      </c>
      <c r="I7" s="120" t="s">
        <v>69</v>
      </c>
      <c r="J7" s="120" t="s">
        <v>167</v>
      </c>
      <c r="K7" s="120">
        <v>60</v>
      </c>
      <c r="R7" s="49" t="s">
        <v>90</v>
      </c>
      <c r="S7">
        <v>1.5</v>
      </c>
      <c r="T7">
        <v>75</v>
      </c>
    </row>
    <row r="8" spans="1:20" s="123" customFormat="1" x14ac:dyDescent="0.3">
      <c r="A8" s="123" t="s">
        <v>170</v>
      </c>
      <c r="B8" s="124">
        <v>44884</v>
      </c>
      <c r="C8" s="123">
        <v>1.5</v>
      </c>
      <c r="D8" s="123">
        <v>60</v>
      </c>
      <c r="E8" s="123">
        <v>90</v>
      </c>
      <c r="F8" s="123" t="s">
        <v>67</v>
      </c>
      <c r="G8" s="123" t="s">
        <v>67</v>
      </c>
      <c r="H8" s="123" t="s">
        <v>171</v>
      </c>
      <c r="I8" s="123" t="s">
        <v>69</v>
      </c>
      <c r="J8" s="123" t="s">
        <v>167</v>
      </c>
      <c r="K8" s="123">
        <v>90</v>
      </c>
      <c r="R8" s="49" t="s">
        <v>93</v>
      </c>
      <c r="S8">
        <v>1</v>
      </c>
      <c r="T8">
        <v>50</v>
      </c>
    </row>
    <row r="9" spans="1:20" x14ac:dyDescent="0.3">
      <c r="A9" s="120" t="s">
        <v>90</v>
      </c>
      <c r="B9" s="119">
        <v>44875</v>
      </c>
      <c r="C9" s="120">
        <v>1.5</v>
      </c>
      <c r="D9" s="120">
        <v>50</v>
      </c>
      <c r="E9" s="120">
        <v>75</v>
      </c>
      <c r="F9" s="120" t="s">
        <v>67</v>
      </c>
      <c r="G9" s="120" t="s">
        <v>67</v>
      </c>
      <c r="H9" s="120" t="s">
        <v>172</v>
      </c>
      <c r="I9" s="120" t="s">
        <v>69</v>
      </c>
      <c r="J9" s="120" t="s">
        <v>167</v>
      </c>
      <c r="K9" s="120">
        <v>75</v>
      </c>
      <c r="R9" s="49" t="s">
        <v>102</v>
      </c>
      <c r="S9">
        <v>0.5</v>
      </c>
      <c r="T9">
        <v>30</v>
      </c>
    </row>
    <row r="10" spans="1:20" s="123" customFormat="1" x14ac:dyDescent="0.3">
      <c r="A10" s="123" t="s">
        <v>93</v>
      </c>
      <c r="B10" s="124">
        <v>44886</v>
      </c>
      <c r="C10" s="123">
        <v>1</v>
      </c>
      <c r="D10" s="123">
        <v>50</v>
      </c>
      <c r="E10" s="123">
        <v>50</v>
      </c>
      <c r="F10" s="123" t="s">
        <v>67</v>
      </c>
      <c r="G10" s="123" t="s">
        <v>67</v>
      </c>
      <c r="H10" s="123" t="s">
        <v>173</v>
      </c>
      <c r="I10" s="123" t="s">
        <v>69</v>
      </c>
      <c r="J10" s="123" t="s">
        <v>167</v>
      </c>
      <c r="K10" s="123">
        <v>50</v>
      </c>
      <c r="R10" s="49" t="s">
        <v>104</v>
      </c>
      <c r="S10">
        <v>7.5</v>
      </c>
      <c r="T10">
        <v>375</v>
      </c>
    </row>
    <row r="11" spans="1:20" s="121" customFormat="1" x14ac:dyDescent="0.3">
      <c r="A11" s="122" t="s">
        <v>102</v>
      </c>
      <c r="B11" s="122">
        <v>44877</v>
      </c>
      <c r="C11" s="121">
        <v>0.5</v>
      </c>
      <c r="D11" s="121">
        <v>60</v>
      </c>
      <c r="E11" s="121">
        <v>30</v>
      </c>
      <c r="F11" s="121" t="s">
        <v>67</v>
      </c>
      <c r="G11" s="121" t="s">
        <v>67</v>
      </c>
      <c r="H11" s="121" t="s">
        <v>174</v>
      </c>
      <c r="I11" s="121" t="s">
        <v>69</v>
      </c>
      <c r="J11" s="121" t="s">
        <v>167</v>
      </c>
      <c r="K11" s="121">
        <v>30</v>
      </c>
      <c r="R11" s="49" t="s">
        <v>107</v>
      </c>
      <c r="S11">
        <v>9</v>
      </c>
      <c r="T11">
        <v>450</v>
      </c>
    </row>
    <row r="12" spans="1:20" x14ac:dyDescent="0.3">
      <c r="A12" s="120" t="s">
        <v>104</v>
      </c>
      <c r="B12" s="119">
        <v>44871</v>
      </c>
      <c r="C12" s="120">
        <v>2</v>
      </c>
      <c r="D12" s="120">
        <v>50</v>
      </c>
      <c r="E12" s="120">
        <v>100</v>
      </c>
      <c r="F12" s="120" t="s">
        <v>67</v>
      </c>
      <c r="G12" s="120" t="s">
        <v>67</v>
      </c>
      <c r="H12" s="120" t="s">
        <v>175</v>
      </c>
      <c r="I12" s="120" t="s">
        <v>69</v>
      </c>
      <c r="J12" s="120" t="s">
        <v>167</v>
      </c>
      <c r="K12" s="120">
        <v>100</v>
      </c>
      <c r="R12" s="49" t="s">
        <v>110</v>
      </c>
      <c r="S12">
        <v>2</v>
      </c>
      <c r="T12">
        <v>100</v>
      </c>
    </row>
    <row r="13" spans="1:20" x14ac:dyDescent="0.3">
      <c r="A13" s="120" t="s">
        <v>104</v>
      </c>
      <c r="B13" s="119">
        <v>44873</v>
      </c>
      <c r="C13" s="120">
        <v>1</v>
      </c>
      <c r="D13" s="120">
        <v>50</v>
      </c>
      <c r="E13" s="120">
        <v>50</v>
      </c>
      <c r="F13" s="120" t="s">
        <v>67</v>
      </c>
      <c r="G13" s="120" t="s">
        <v>67</v>
      </c>
      <c r="H13" s="120" t="s">
        <v>176</v>
      </c>
      <c r="I13" s="120" t="s">
        <v>69</v>
      </c>
      <c r="J13" s="120" t="s">
        <v>167</v>
      </c>
      <c r="K13" s="120">
        <v>50</v>
      </c>
      <c r="R13" s="49" t="s">
        <v>112</v>
      </c>
      <c r="S13">
        <v>1</v>
      </c>
      <c r="T13">
        <v>60</v>
      </c>
    </row>
    <row r="14" spans="1:20" s="123" customFormat="1" x14ac:dyDescent="0.3">
      <c r="A14" s="123" t="s">
        <v>104</v>
      </c>
      <c r="B14" s="124">
        <v>44884</v>
      </c>
      <c r="C14" s="123">
        <v>1.5</v>
      </c>
      <c r="D14" s="123">
        <v>50</v>
      </c>
      <c r="E14" s="123">
        <v>75</v>
      </c>
      <c r="F14" s="123" t="s">
        <v>67</v>
      </c>
      <c r="G14" s="123" t="s">
        <v>67</v>
      </c>
      <c r="H14" s="123" t="s">
        <v>177</v>
      </c>
      <c r="I14" s="123" t="s">
        <v>69</v>
      </c>
      <c r="J14" s="123" t="s">
        <v>167</v>
      </c>
      <c r="K14" s="123">
        <v>75</v>
      </c>
      <c r="R14" s="49" t="s">
        <v>137</v>
      </c>
      <c r="S14">
        <v>31</v>
      </c>
      <c r="T14">
        <v>1640</v>
      </c>
    </row>
    <row r="15" spans="1:20" s="123" customFormat="1" x14ac:dyDescent="0.3">
      <c r="A15" s="123" t="s">
        <v>104</v>
      </c>
      <c r="B15" s="124">
        <v>44891</v>
      </c>
      <c r="C15" s="123">
        <v>1.5</v>
      </c>
      <c r="D15" s="123">
        <v>50</v>
      </c>
      <c r="E15" s="123">
        <v>75</v>
      </c>
      <c r="F15" s="123" t="s">
        <v>67</v>
      </c>
      <c r="G15" s="123" t="s">
        <v>67</v>
      </c>
      <c r="H15" s="123" t="s">
        <v>178</v>
      </c>
      <c r="I15" s="123" t="s">
        <v>69</v>
      </c>
      <c r="J15" s="123" t="s">
        <v>167</v>
      </c>
      <c r="K15" s="123">
        <v>75</v>
      </c>
      <c r="L15" s="123" t="s">
        <v>179</v>
      </c>
      <c r="R15"/>
      <c r="S15"/>
      <c r="T15"/>
    </row>
    <row r="16" spans="1:20" s="123" customFormat="1" x14ac:dyDescent="0.3">
      <c r="A16" s="123" t="s">
        <v>104</v>
      </c>
      <c r="B16" s="124">
        <v>44892</v>
      </c>
      <c r="C16" s="123">
        <v>1.5</v>
      </c>
      <c r="D16" s="123">
        <v>50</v>
      </c>
      <c r="E16" s="123">
        <v>75</v>
      </c>
      <c r="F16" s="123" t="s">
        <v>67</v>
      </c>
      <c r="G16" s="123" t="s">
        <v>67</v>
      </c>
      <c r="H16" s="123" t="s">
        <v>180</v>
      </c>
      <c r="I16" s="123" t="s">
        <v>69</v>
      </c>
      <c r="J16" s="123" t="s">
        <v>167</v>
      </c>
      <c r="K16" s="123">
        <v>75</v>
      </c>
      <c r="R16"/>
      <c r="S16"/>
      <c r="T16"/>
    </row>
    <row r="17" spans="1:20" x14ac:dyDescent="0.3">
      <c r="A17" s="119" t="s">
        <v>107</v>
      </c>
      <c r="B17" s="119">
        <v>44868</v>
      </c>
      <c r="C17" s="120">
        <v>1.25</v>
      </c>
      <c r="D17" s="120">
        <v>50</v>
      </c>
      <c r="E17" s="120">
        <v>62.5</v>
      </c>
      <c r="F17" s="120" t="s">
        <v>67</v>
      </c>
      <c r="G17" s="120" t="s">
        <v>67</v>
      </c>
      <c r="H17" s="120" t="s">
        <v>181</v>
      </c>
      <c r="I17" s="120" t="s">
        <v>69</v>
      </c>
      <c r="J17" s="120" t="s">
        <v>67</v>
      </c>
      <c r="K17" s="120">
        <v>62.5</v>
      </c>
      <c r="R17"/>
      <c r="S17"/>
      <c r="T17"/>
    </row>
    <row r="18" spans="1:20" x14ac:dyDescent="0.3">
      <c r="A18" s="120" t="s">
        <v>107</v>
      </c>
      <c r="B18" s="119">
        <v>44873</v>
      </c>
      <c r="C18" s="120">
        <v>1</v>
      </c>
      <c r="D18" s="120">
        <v>50</v>
      </c>
      <c r="E18" s="120">
        <v>50</v>
      </c>
      <c r="F18" s="120" t="s">
        <v>67</v>
      </c>
      <c r="G18" s="120" t="s">
        <v>67</v>
      </c>
      <c r="H18" s="120" t="s">
        <v>182</v>
      </c>
      <c r="I18" s="120" t="s">
        <v>69</v>
      </c>
      <c r="J18" s="120" t="s">
        <v>167</v>
      </c>
      <c r="K18" s="120">
        <v>50</v>
      </c>
      <c r="R18"/>
      <c r="S18"/>
      <c r="T18"/>
    </row>
    <row r="19" spans="1:20" x14ac:dyDescent="0.3">
      <c r="A19" s="120" t="s">
        <v>107</v>
      </c>
      <c r="B19" s="119">
        <v>44875</v>
      </c>
      <c r="C19" s="120">
        <v>1.25</v>
      </c>
      <c r="D19" s="120">
        <v>50</v>
      </c>
      <c r="E19" s="120">
        <v>62.5</v>
      </c>
      <c r="F19" s="120" t="s">
        <v>67</v>
      </c>
      <c r="G19" s="120" t="s">
        <v>67</v>
      </c>
      <c r="H19" s="120" t="s">
        <v>183</v>
      </c>
      <c r="I19" s="120" t="s">
        <v>69</v>
      </c>
      <c r="J19" s="120" t="s">
        <v>167</v>
      </c>
      <c r="K19" s="120">
        <v>62.5</v>
      </c>
      <c r="R19"/>
      <c r="S19"/>
      <c r="T19"/>
    </row>
    <row r="20" spans="1:20" s="123" customFormat="1" x14ac:dyDescent="0.3">
      <c r="A20" s="123" t="s">
        <v>107</v>
      </c>
      <c r="B20" s="124">
        <v>44886</v>
      </c>
      <c r="C20" s="123">
        <v>1.5</v>
      </c>
      <c r="D20" s="123">
        <v>50</v>
      </c>
      <c r="E20" s="123">
        <v>75</v>
      </c>
      <c r="F20" s="123" t="s">
        <v>67</v>
      </c>
      <c r="G20" s="123" t="s">
        <v>67</v>
      </c>
      <c r="H20" s="123" t="s">
        <v>182</v>
      </c>
      <c r="I20" s="123" t="s">
        <v>69</v>
      </c>
      <c r="J20" s="123" t="s">
        <v>167</v>
      </c>
      <c r="K20" s="123">
        <v>75</v>
      </c>
    </row>
    <row r="21" spans="1:20" s="123" customFormat="1" x14ac:dyDescent="0.3">
      <c r="A21" s="123" t="s">
        <v>107</v>
      </c>
      <c r="B21" s="124">
        <v>44891</v>
      </c>
      <c r="C21" s="123">
        <v>1</v>
      </c>
      <c r="D21" s="123">
        <v>50</v>
      </c>
      <c r="E21" s="123">
        <v>50</v>
      </c>
      <c r="F21" s="123" t="s">
        <v>67</v>
      </c>
      <c r="G21" s="123" t="s">
        <v>67</v>
      </c>
      <c r="H21" s="123" t="s">
        <v>182</v>
      </c>
      <c r="I21" s="123" t="s">
        <v>69</v>
      </c>
      <c r="J21" s="123" t="s">
        <v>167</v>
      </c>
      <c r="K21" s="123">
        <v>50</v>
      </c>
      <c r="L21" s="123" t="s">
        <v>179</v>
      </c>
    </row>
    <row r="22" spans="1:20" s="123" customFormat="1" x14ac:dyDescent="0.3">
      <c r="A22" s="123" t="s">
        <v>107</v>
      </c>
      <c r="B22" s="124">
        <v>44892</v>
      </c>
      <c r="C22" s="123">
        <v>2</v>
      </c>
      <c r="D22" s="123">
        <v>50</v>
      </c>
      <c r="E22" s="123">
        <v>100</v>
      </c>
      <c r="F22" s="123" t="s">
        <v>67</v>
      </c>
      <c r="G22" s="123" t="s">
        <v>67</v>
      </c>
      <c r="H22" s="123" t="s">
        <v>182</v>
      </c>
      <c r="I22" s="123" t="s">
        <v>69</v>
      </c>
      <c r="J22" s="123" t="s">
        <v>167</v>
      </c>
      <c r="K22" s="123">
        <v>100</v>
      </c>
    </row>
    <row r="23" spans="1:20" s="123" customFormat="1" x14ac:dyDescent="0.3">
      <c r="A23" s="123" t="s">
        <v>107</v>
      </c>
      <c r="B23" s="124">
        <v>44893</v>
      </c>
      <c r="C23" s="123">
        <v>1</v>
      </c>
      <c r="D23" s="123">
        <v>50</v>
      </c>
      <c r="E23" s="123">
        <v>50</v>
      </c>
      <c r="F23" s="123" t="s">
        <v>67</v>
      </c>
      <c r="G23" s="123" t="s">
        <v>67</v>
      </c>
      <c r="H23" s="123" t="s">
        <v>182</v>
      </c>
      <c r="I23" s="123" t="s">
        <v>69</v>
      </c>
      <c r="J23" s="123" t="s">
        <v>167</v>
      </c>
      <c r="K23" s="123">
        <v>50</v>
      </c>
    </row>
    <row r="24" spans="1:20" x14ac:dyDescent="0.3">
      <c r="A24" s="120" t="s">
        <v>110</v>
      </c>
      <c r="B24" s="119">
        <v>44895</v>
      </c>
      <c r="C24" s="120">
        <v>2</v>
      </c>
      <c r="D24" s="120">
        <v>50</v>
      </c>
      <c r="E24" s="120">
        <v>100</v>
      </c>
      <c r="F24" s="120" t="s">
        <v>67</v>
      </c>
      <c r="G24" s="120" t="s">
        <v>67</v>
      </c>
      <c r="H24" s="120" t="s">
        <v>184</v>
      </c>
      <c r="I24" s="120" t="s">
        <v>69</v>
      </c>
      <c r="J24" s="120" t="s">
        <v>167</v>
      </c>
      <c r="K24" s="120">
        <v>100</v>
      </c>
    </row>
    <row r="25" spans="1:20" x14ac:dyDescent="0.3">
      <c r="A25" s="120" t="s">
        <v>112</v>
      </c>
      <c r="B25" s="119">
        <v>44886</v>
      </c>
      <c r="C25" s="120">
        <v>1</v>
      </c>
      <c r="D25" s="120">
        <v>60</v>
      </c>
      <c r="E25" s="120">
        <v>60</v>
      </c>
      <c r="F25" s="120" t="s">
        <v>67</v>
      </c>
      <c r="G25" s="120" t="s">
        <v>67</v>
      </c>
      <c r="H25" s="120" t="s">
        <v>185</v>
      </c>
      <c r="I25" s="120"/>
      <c r="J25" s="120" t="s">
        <v>167</v>
      </c>
      <c r="K25" s="120">
        <v>60</v>
      </c>
    </row>
    <row r="26" spans="1:20" x14ac:dyDescent="0.3">
      <c r="B26" s="125"/>
    </row>
    <row r="27" spans="1:20" x14ac:dyDescent="0.3">
      <c r="A27" s="117" t="s">
        <v>186</v>
      </c>
      <c r="K27" s="117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7"/>
    <col min="9" max="9" width="75.109375" style="117" bestFit="1" customWidth="1"/>
    <col min="10" max="16384" width="8.88671875" style="117"/>
  </cols>
  <sheetData>
    <row r="1" spans="1:9" x14ac:dyDescent="0.3">
      <c r="A1" s="118" t="s">
        <v>140</v>
      </c>
      <c r="B1" s="118" t="s">
        <v>141</v>
      </c>
      <c r="C1" s="118" t="s">
        <v>142</v>
      </c>
    </row>
    <row r="2" spans="1:9" x14ac:dyDescent="0.3">
      <c r="A2" s="125">
        <v>44825</v>
      </c>
      <c r="B2" s="117">
        <v>0.75</v>
      </c>
      <c r="C2" s="117">
        <f>B2*50</f>
        <v>37.5</v>
      </c>
      <c r="E2" s="117" t="s">
        <v>143</v>
      </c>
      <c r="I2" s="117" t="s">
        <v>144</v>
      </c>
    </row>
    <row r="3" spans="1:9" x14ac:dyDescent="0.3">
      <c r="A3" s="125">
        <v>44826</v>
      </c>
      <c r="B3" s="117">
        <v>1</v>
      </c>
      <c r="C3" s="117">
        <v>50</v>
      </c>
      <c r="E3" s="117">
        <f>C14+C15</f>
        <v>700</v>
      </c>
      <c r="I3" s="117" t="s">
        <v>145</v>
      </c>
    </row>
    <row r="4" spans="1:9" x14ac:dyDescent="0.3">
      <c r="A4" s="125">
        <v>44833</v>
      </c>
      <c r="B4" s="117">
        <v>2</v>
      </c>
      <c r="C4" s="117">
        <v>100</v>
      </c>
    </row>
    <row r="5" spans="1:9" x14ac:dyDescent="0.3">
      <c r="A5" s="125">
        <v>44836</v>
      </c>
      <c r="B5" s="117">
        <v>1.75</v>
      </c>
      <c r="C5" s="117">
        <v>87.5</v>
      </c>
    </row>
    <row r="6" spans="1:9" x14ac:dyDescent="0.3">
      <c r="A6" s="125">
        <v>44837</v>
      </c>
      <c r="B6" s="117">
        <v>0.75</v>
      </c>
      <c r="C6" s="117">
        <v>37.5</v>
      </c>
    </row>
    <row r="7" spans="1:9" x14ac:dyDescent="0.3">
      <c r="A7" s="125">
        <v>44838</v>
      </c>
      <c r="B7" s="117">
        <v>1.25</v>
      </c>
      <c r="C7" s="117">
        <v>62.5</v>
      </c>
    </row>
    <row r="8" spans="1:9" x14ac:dyDescent="0.3">
      <c r="A8" s="125">
        <v>44839</v>
      </c>
      <c r="B8" s="117">
        <v>1.5</v>
      </c>
      <c r="C8" s="117">
        <v>75</v>
      </c>
    </row>
    <row r="9" spans="1:9" x14ac:dyDescent="0.3">
      <c r="A9" s="125">
        <v>44846</v>
      </c>
      <c r="B9" s="117">
        <v>1.5</v>
      </c>
      <c r="C9" s="117">
        <v>75</v>
      </c>
    </row>
    <row r="10" spans="1:9" x14ac:dyDescent="0.3">
      <c r="A10" s="125">
        <v>44850</v>
      </c>
      <c r="B10" s="117">
        <v>1.5</v>
      </c>
      <c r="C10" s="117">
        <v>75</v>
      </c>
    </row>
    <row r="11" spans="1:9" x14ac:dyDescent="0.3">
      <c r="A11" s="125"/>
    </row>
    <row r="12" spans="1:9" x14ac:dyDescent="0.3">
      <c r="A12" s="126" t="s">
        <v>0</v>
      </c>
      <c r="B12" s="117">
        <f>SUM(B2:B10)</f>
        <v>12</v>
      </c>
      <c r="C12" s="117">
        <f>B12*50</f>
        <v>600</v>
      </c>
    </row>
    <row r="14" spans="1:9" x14ac:dyDescent="0.3">
      <c r="A14" s="117" t="s">
        <v>146</v>
      </c>
      <c r="B14" s="117">
        <v>12</v>
      </c>
      <c r="C14" s="117">
        <v>600</v>
      </c>
    </row>
    <row r="15" spans="1:9" x14ac:dyDescent="0.3">
      <c r="A15" s="117" t="s">
        <v>147</v>
      </c>
      <c r="C15" s="127">
        <v>100</v>
      </c>
    </row>
    <row r="16" spans="1:9" x14ac:dyDescent="0.3">
      <c r="A16" s="117" t="s">
        <v>148</v>
      </c>
      <c r="B16" s="117">
        <v>0</v>
      </c>
      <c r="C16" s="117">
        <v>0</v>
      </c>
    </row>
    <row r="17" spans="1:3" s="128" customFormat="1" x14ac:dyDescent="0.3"/>
    <row r="18" spans="1:3" x14ac:dyDescent="0.3">
      <c r="A18" s="118" t="s">
        <v>140</v>
      </c>
      <c r="B18" s="118" t="s">
        <v>141</v>
      </c>
      <c r="C18" s="118" t="s">
        <v>142</v>
      </c>
    </row>
    <row r="19" spans="1:3" x14ac:dyDescent="0.3">
      <c r="A19" s="125">
        <v>44852</v>
      </c>
      <c r="B19" s="117">
        <v>1</v>
      </c>
      <c r="C19" s="117">
        <v>50</v>
      </c>
    </row>
    <row r="20" spans="1:3" x14ac:dyDescent="0.3">
      <c r="A20" s="125">
        <v>44858</v>
      </c>
      <c r="B20" s="117">
        <v>1</v>
      </c>
      <c r="C20" s="117">
        <v>50</v>
      </c>
    </row>
    <row r="21" spans="1:3" x14ac:dyDescent="0.3">
      <c r="A21" s="125">
        <v>44859</v>
      </c>
      <c r="B21" s="117">
        <v>1</v>
      </c>
      <c r="C21" s="117">
        <v>50</v>
      </c>
    </row>
    <row r="22" spans="1:3" x14ac:dyDescent="0.3">
      <c r="A22" s="125">
        <v>44861</v>
      </c>
      <c r="B22" s="117">
        <v>2.5</v>
      </c>
      <c r="C22" s="117">
        <v>125</v>
      </c>
    </row>
    <row r="23" spans="1:3" ht="17.25" customHeight="1" x14ac:dyDescent="0.3">
      <c r="A23" s="125">
        <v>44862</v>
      </c>
      <c r="B23" s="117">
        <v>1</v>
      </c>
      <c r="C23" s="117">
        <v>50</v>
      </c>
    </row>
    <row r="24" spans="1:3" ht="17.25" customHeight="1" x14ac:dyDescent="0.3">
      <c r="A24" s="125">
        <v>44871</v>
      </c>
      <c r="B24" s="117">
        <v>1.5</v>
      </c>
      <c r="C24" s="117">
        <v>75</v>
      </c>
    </row>
    <row r="25" spans="1:3" ht="17.25" customHeight="1" x14ac:dyDescent="0.3">
      <c r="A25" s="125">
        <v>44872</v>
      </c>
      <c r="B25" s="117">
        <v>2</v>
      </c>
      <c r="C25" s="117">
        <v>100</v>
      </c>
    </row>
    <row r="26" spans="1:3" x14ac:dyDescent="0.3">
      <c r="A26" s="125">
        <v>44872</v>
      </c>
      <c r="B26" s="117">
        <v>1</v>
      </c>
      <c r="C26" s="117">
        <v>50</v>
      </c>
    </row>
    <row r="27" spans="1:3" x14ac:dyDescent="0.3">
      <c r="A27" s="125">
        <v>44872</v>
      </c>
      <c r="B27" s="117">
        <v>2</v>
      </c>
      <c r="C27" s="117">
        <v>100</v>
      </c>
    </row>
    <row r="28" spans="1:3" x14ac:dyDescent="0.3">
      <c r="A28" s="125">
        <v>44872</v>
      </c>
      <c r="B28" s="117">
        <v>1</v>
      </c>
      <c r="C28" s="117">
        <v>50</v>
      </c>
    </row>
    <row r="29" spans="1:3" x14ac:dyDescent="0.3">
      <c r="A29" s="125">
        <v>44873</v>
      </c>
      <c r="B29" s="117">
        <v>1.5</v>
      </c>
      <c r="C29" s="117">
        <v>75</v>
      </c>
    </row>
    <row r="30" spans="1:3" x14ac:dyDescent="0.3">
      <c r="A30" s="125">
        <v>44886</v>
      </c>
      <c r="B30" s="117">
        <v>1.5</v>
      </c>
      <c r="C30" s="117">
        <v>75</v>
      </c>
    </row>
    <row r="31" spans="1:3" x14ac:dyDescent="0.3">
      <c r="A31" s="125">
        <v>44891</v>
      </c>
      <c r="B31" s="117">
        <v>0.5</v>
      </c>
      <c r="C31" s="117">
        <v>25</v>
      </c>
    </row>
    <row r="32" spans="1:3" x14ac:dyDescent="0.3">
      <c r="A32" s="125">
        <v>44892</v>
      </c>
      <c r="B32" s="117">
        <v>1.5</v>
      </c>
      <c r="C32" s="117">
        <v>75</v>
      </c>
    </row>
    <row r="33" spans="1:5" x14ac:dyDescent="0.3">
      <c r="A33" s="125">
        <v>44893</v>
      </c>
      <c r="B33" s="117">
        <v>1</v>
      </c>
      <c r="C33" s="117">
        <v>50</v>
      </c>
    </row>
    <row r="34" spans="1:5" x14ac:dyDescent="0.3">
      <c r="A34" s="126" t="s">
        <v>0</v>
      </c>
      <c r="B34" s="117">
        <f>SUM(B19:B33)</f>
        <v>20</v>
      </c>
      <c r="C34" s="117">
        <f>B34*50</f>
        <v>1000</v>
      </c>
    </row>
    <row r="36" spans="1:5" x14ac:dyDescent="0.3">
      <c r="A36" s="117" t="s">
        <v>146</v>
      </c>
      <c r="B36" s="117">
        <v>14</v>
      </c>
      <c r="C36" s="117">
        <v>700</v>
      </c>
      <c r="E36" s="118"/>
    </row>
    <row r="37" spans="1:5" x14ac:dyDescent="0.3">
      <c r="A37" s="117" t="s">
        <v>147</v>
      </c>
      <c r="C37" s="127">
        <v>100</v>
      </c>
    </row>
    <row r="38" spans="1:5" x14ac:dyDescent="0.3">
      <c r="A38" s="117" t="s">
        <v>148</v>
      </c>
      <c r="C38" s="117">
        <v>300</v>
      </c>
    </row>
    <row r="39" spans="1:5" s="128" customFormat="1" x14ac:dyDescent="0.3"/>
    <row r="40" spans="1:5" x14ac:dyDescent="0.3">
      <c r="A40" s="118" t="s">
        <v>140</v>
      </c>
      <c r="B40" s="118" t="s">
        <v>141</v>
      </c>
      <c r="C40" s="118" t="s">
        <v>142</v>
      </c>
    </row>
    <row r="41" spans="1:5" x14ac:dyDescent="0.3">
      <c r="A41" s="117" t="s">
        <v>187</v>
      </c>
      <c r="C41" s="117">
        <v>300</v>
      </c>
    </row>
    <row r="42" spans="1:5" x14ac:dyDescent="0.3">
      <c r="A42" s="125">
        <v>44899</v>
      </c>
      <c r="B42" s="117">
        <v>1.5</v>
      </c>
      <c r="C42" s="117">
        <v>75</v>
      </c>
    </row>
    <row r="43" spans="1:5" x14ac:dyDescent="0.3">
      <c r="A43" s="125"/>
    </row>
    <row r="45" spans="1:5" x14ac:dyDescent="0.3">
      <c r="A45" s="126" t="s">
        <v>0</v>
      </c>
      <c r="C45" s="117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68D8-215B-4409-A600-8AD8BCD3FBA6}">
  <sheetPr>
    <tabColor theme="1"/>
    <pageSetUpPr fitToPage="1"/>
  </sheetPr>
  <dimension ref="B6:T60"/>
  <sheetViews>
    <sheetView showGridLines="0" zoomScale="66" zoomScaleNormal="100" workbookViewId="0">
      <selection activeCell="B1" sqref="B1:P60"/>
    </sheetView>
  </sheetViews>
  <sheetFormatPr defaultRowHeight="14.4" x14ac:dyDescent="0.3"/>
  <cols>
    <col min="2" max="2" width="52.5546875" bestFit="1" customWidth="1"/>
    <col min="3" max="3" width="14" bestFit="1" customWidth="1"/>
    <col min="4" max="14" width="18.5546875" bestFit="1" customWidth="1"/>
    <col min="15" max="15" width="0.88671875" customWidth="1"/>
    <col min="16" max="16" width="13.5546875" bestFit="1" customWidth="1"/>
    <col min="17" max="17" width="11.5546875" bestFit="1" customWidth="1"/>
  </cols>
  <sheetData>
    <row r="6" spans="2:16" ht="15" thickBot="1" x14ac:dyDescent="0.35"/>
    <row r="7" spans="2:16" ht="15" customHeight="1" x14ac:dyDescent="0.3">
      <c r="B7" s="645" t="s">
        <v>360</v>
      </c>
      <c r="C7" s="646"/>
      <c r="D7" s="646"/>
      <c r="E7" s="646"/>
      <c r="F7" s="646"/>
      <c r="G7" s="646"/>
      <c r="H7" s="646"/>
      <c r="I7" s="646"/>
      <c r="J7" s="646"/>
      <c r="K7" s="646"/>
      <c r="L7" s="646"/>
      <c r="M7" s="646"/>
      <c r="N7" s="646"/>
      <c r="O7" s="646"/>
      <c r="P7" s="647"/>
    </row>
    <row r="8" spans="2:16" ht="15" customHeight="1" x14ac:dyDescent="0.3">
      <c r="B8" s="648"/>
      <c r="C8" s="649"/>
      <c r="D8" s="649"/>
      <c r="E8" s="649"/>
      <c r="F8" s="649"/>
      <c r="G8" s="649"/>
      <c r="H8" s="649"/>
      <c r="I8" s="649"/>
      <c r="J8" s="649"/>
      <c r="K8" s="649"/>
      <c r="L8" s="649"/>
      <c r="M8" s="649"/>
      <c r="N8" s="649"/>
      <c r="O8" s="649"/>
      <c r="P8" s="650"/>
    </row>
    <row r="9" spans="2:16" x14ac:dyDescent="0.3">
      <c r="B9" s="648"/>
      <c r="C9" s="649"/>
      <c r="D9" s="649"/>
      <c r="E9" s="649"/>
      <c r="F9" s="649"/>
      <c r="G9" s="649"/>
      <c r="H9" s="649"/>
      <c r="I9" s="649"/>
      <c r="J9" s="649"/>
      <c r="K9" s="649"/>
      <c r="L9" s="649"/>
      <c r="M9" s="649"/>
      <c r="N9" s="649"/>
      <c r="O9" s="649"/>
      <c r="P9" s="650"/>
    </row>
    <row r="10" spans="2:16" ht="15.6" x14ac:dyDescent="0.3">
      <c r="B10" s="305"/>
      <c r="C10" s="69" t="str">
        <f>TEXT('Monthly Detail'!T4,"mmmm")</f>
        <v>January</v>
      </c>
      <c r="D10" s="69" t="str">
        <f>TEXT('Monthly Detail'!U4,"mmmm")</f>
        <v>February</v>
      </c>
      <c r="E10" s="69" t="str">
        <f>TEXT('Monthly Detail'!V4,"mmmm")</f>
        <v>March</v>
      </c>
      <c r="F10" s="69" t="str">
        <f>TEXT('Monthly Detail'!W4,"mmmm")</f>
        <v>April</v>
      </c>
      <c r="G10" s="69" t="str">
        <f>TEXT('Monthly Detail'!X4,"mmmm")</f>
        <v>May</v>
      </c>
      <c r="H10" s="69" t="str">
        <f>TEXT('Monthly Detail'!Y4,"mmmm")</f>
        <v>June</v>
      </c>
      <c r="I10" s="69" t="str">
        <f>TEXT('Monthly Detail'!Z4,"mmmm")</f>
        <v>July</v>
      </c>
      <c r="J10" s="69" t="str">
        <f>TEXT('Monthly Detail'!AA4,"mmmm")</f>
        <v>August</v>
      </c>
      <c r="K10" s="69" t="str">
        <f>TEXT('Monthly Detail'!AB4,"mmmm")</f>
        <v>September</v>
      </c>
      <c r="L10" s="69" t="str">
        <f>TEXT('Monthly Detail'!AC4,"mmmm")</f>
        <v>October</v>
      </c>
      <c r="M10" s="69" t="str">
        <f>TEXT('Monthly Detail'!AD4,"mmmm")</f>
        <v>November</v>
      </c>
      <c r="N10" s="593" t="str">
        <f>TEXT('Monthly Detail'!AE4,"mmmm")</f>
        <v>December</v>
      </c>
      <c r="O10" s="70"/>
      <c r="P10" s="599" t="s">
        <v>0</v>
      </c>
    </row>
    <row r="11" spans="2:16" x14ac:dyDescent="0.3">
      <c r="B11" s="306"/>
      <c r="C11" s="91">
        <v>45688</v>
      </c>
      <c r="D11" s="91">
        <v>45716</v>
      </c>
      <c r="E11" s="91">
        <v>45747</v>
      </c>
      <c r="F11" s="91">
        <v>45777</v>
      </c>
      <c r="G11" s="91">
        <v>45808</v>
      </c>
      <c r="H11" s="91">
        <v>45838</v>
      </c>
      <c r="I11" s="91">
        <v>45869</v>
      </c>
      <c r="J11" s="91">
        <v>45900</v>
      </c>
      <c r="K11" s="91">
        <v>45930</v>
      </c>
      <c r="L11" s="91">
        <v>45961</v>
      </c>
      <c r="M11" s="91">
        <v>45991</v>
      </c>
      <c r="N11" s="594">
        <v>46022</v>
      </c>
      <c r="O11" s="91">
        <v>45322</v>
      </c>
      <c r="P11" s="600"/>
    </row>
    <row r="12" spans="2:16" x14ac:dyDescent="0.3">
      <c r="B12" s="307" t="s">
        <v>339</v>
      </c>
      <c r="C12" s="73">
        <f>SUMIF('Monthly Detail'!$4:$4, '2025 Overview'!C$11, 'Monthly Detail'!10:10)</f>
        <v>5979.5</v>
      </c>
      <c r="D12" s="73">
        <f>SUMIF('Monthly Detail'!$4:$4, '2025 Overview'!D$11, 'Monthly Detail'!10:10)</f>
        <v>6424.2</v>
      </c>
      <c r="E12" s="73">
        <f>SUMIF('Monthly Detail'!$4:$4, '2025 Overview'!E$11, 'Monthly Detail'!10:10)</f>
        <v>5123.5199999999995</v>
      </c>
      <c r="F12" s="73">
        <f>SUMIF('Monthly Detail'!$4:$4, '2025 Overview'!F$11, 'Monthly Detail'!10:10)</f>
        <v>6888.1119999999992</v>
      </c>
      <c r="G12" s="73">
        <f>SUMIF('Monthly Detail'!$4:$4, '2025 Overview'!G$11, 'Monthly Detail'!10:10)</f>
        <v>7211.8671999999988</v>
      </c>
      <c r="H12" s="73">
        <f>SUMIF('Monthly Detail'!$4:$4, '2025 Overview'!H$11, 'Monthly Detail'!10:10)</f>
        <v>23796.120319999998</v>
      </c>
      <c r="I12" s="73">
        <f>SUMIF('Monthly Detail'!$4:$4, '2025 Overview'!I$11, 'Monthly Detail'!10:10)</f>
        <v>24979.672191999998</v>
      </c>
      <c r="J12" s="73">
        <f>SUMIF('Monthly Detail'!$4:$4, '2025 Overview'!J$11, 'Monthly Detail'!10:10)</f>
        <v>8213.8033151999989</v>
      </c>
      <c r="K12" s="73">
        <f>SUMIF('Monthly Detail'!$4:$4, '2025 Overview'!K$11, 'Monthly Detail'!10:10)</f>
        <v>8479.7819891199979</v>
      </c>
      <c r="L12" s="73">
        <f>SUMIF('Monthly Detail'!$4:$4, '2025 Overview'!L$11, 'Monthly Detail'!10:10)</f>
        <v>8576.8691934719991</v>
      </c>
      <c r="M12" s="73">
        <f>SUMIF('Monthly Detail'!$4:$4, '2025 Overview'!M$11, 'Monthly Detail'!10:10)</f>
        <v>6737.6215160831989</v>
      </c>
      <c r="N12" s="308">
        <f>SUMIF('Monthly Detail'!$4:$4, '2025 Overview'!N$11, 'Monthly Detail'!10:10)</f>
        <v>8731.5729096499199</v>
      </c>
      <c r="O12" s="73"/>
      <c r="P12" s="601">
        <f>SUM(C12:O12)</f>
        <v>121142.64063552511</v>
      </c>
    </row>
    <row r="13" spans="2:16" x14ac:dyDescent="0.3">
      <c r="B13" s="307" t="s">
        <v>160</v>
      </c>
      <c r="C13" s="73">
        <f>SUMIF('Monthly Detail'!$4:$4, '2025 Overview'!C$11, 'Monthly Detail'!11:11)</f>
        <v>0</v>
      </c>
      <c r="D13" s="73">
        <f>SUMIF('Monthly Detail'!$4:$4, '2025 Overview'!D$11, 'Monthly Detail'!11:11)</f>
        <v>0</v>
      </c>
      <c r="E13" s="73">
        <f>SUMIF('Monthly Detail'!$4:$4, '2025 Overview'!E$11, 'Monthly Detail'!11:11)</f>
        <v>0</v>
      </c>
      <c r="F13" s="73">
        <f>SUMIF('Monthly Detail'!$4:$4, '2025 Overview'!F$11, 'Monthly Detail'!11:11)</f>
        <v>0</v>
      </c>
      <c r="G13" s="73">
        <f>SUMIF('Monthly Detail'!$4:$4, '2025 Overview'!G$11, 'Monthly Detail'!11:11)</f>
        <v>0</v>
      </c>
      <c r="H13" s="73">
        <f>SUMIF('Monthly Detail'!$4:$4, '2025 Overview'!H$11, 'Monthly Detail'!11:11)</f>
        <v>0</v>
      </c>
      <c r="I13" s="73">
        <f>SUMIF('Monthly Detail'!$4:$4, '2025 Overview'!I$11, 'Monthly Detail'!11:11)</f>
        <v>0</v>
      </c>
      <c r="J13" s="73">
        <f>SUMIF('Monthly Detail'!$4:$4, '2025 Overview'!J$11, 'Monthly Detail'!11:11)</f>
        <v>0</v>
      </c>
      <c r="K13" s="73">
        <f>SUMIF('Monthly Detail'!$4:$4, '2025 Overview'!K$11, 'Monthly Detail'!11:11)</f>
        <v>0</v>
      </c>
      <c r="L13" s="73">
        <f>SUMIF('Monthly Detail'!$4:$4, '2025 Overview'!L$11, 'Monthly Detail'!11:11)</f>
        <v>0</v>
      </c>
      <c r="M13" s="73">
        <f>SUMIF('Monthly Detail'!$4:$4, '2025 Overview'!M$11, 'Monthly Detail'!11:11)</f>
        <v>0</v>
      </c>
      <c r="N13" s="308">
        <f>SUMIF('Monthly Detail'!$4:$4, '2025 Overview'!N$11, 'Monthly Detail'!11:11)</f>
        <v>0</v>
      </c>
      <c r="O13" s="73"/>
      <c r="P13" s="601"/>
    </row>
    <row r="14" spans="2:16" x14ac:dyDescent="0.3">
      <c r="B14" s="309" t="s">
        <v>2</v>
      </c>
      <c r="C14" s="74">
        <f>SUM(C12:C13)</f>
        <v>5979.5</v>
      </c>
      <c r="D14" s="74">
        <f t="shared" ref="D14:N14" si="0">SUM(D12:D13)</f>
        <v>6424.2</v>
      </c>
      <c r="E14" s="74">
        <f t="shared" si="0"/>
        <v>5123.5199999999995</v>
      </c>
      <c r="F14" s="74">
        <f t="shared" si="0"/>
        <v>6888.1119999999992</v>
      </c>
      <c r="G14" s="74">
        <f t="shared" si="0"/>
        <v>7211.8671999999988</v>
      </c>
      <c r="H14" s="74">
        <f t="shared" si="0"/>
        <v>23796.120319999998</v>
      </c>
      <c r="I14" s="74">
        <f t="shared" si="0"/>
        <v>24979.672191999998</v>
      </c>
      <c r="J14" s="74">
        <f t="shared" si="0"/>
        <v>8213.8033151999989</v>
      </c>
      <c r="K14" s="74">
        <f t="shared" si="0"/>
        <v>8479.7819891199979</v>
      </c>
      <c r="L14" s="74">
        <f t="shared" si="0"/>
        <v>8576.8691934719991</v>
      </c>
      <c r="M14" s="74">
        <f t="shared" si="0"/>
        <v>6737.6215160831989</v>
      </c>
      <c r="N14" s="310">
        <f t="shared" si="0"/>
        <v>8731.5729096499199</v>
      </c>
      <c r="O14" s="75"/>
      <c r="P14" s="602">
        <f>SUM(P12:P12)</f>
        <v>121142.64063552511</v>
      </c>
    </row>
    <row r="15" spans="2:16" x14ac:dyDescent="0.3">
      <c r="B15" s="425" t="s">
        <v>312</v>
      </c>
      <c r="C15" s="269">
        <f>SUMIF('Monthly Detail'!$4:$4, '2025 Overview'!C$11, 'Monthly Detail'!14:14)</f>
        <v>46.872857142857143</v>
      </c>
      <c r="D15" s="269">
        <f>SUMIF('Monthly Detail'!$4:$4, '2025 Overview'!D$11, 'Monthly Detail'!14:14)</f>
        <v>47.443714285714293</v>
      </c>
      <c r="E15" s="269">
        <f>SUMIF('Monthly Detail'!$4:$4, '2025 Overview'!E$11, 'Monthly Detail'!14:14)</f>
        <v>31.678799999999999</v>
      </c>
      <c r="F15" s="269">
        <f>SUMIF('Monthly Detail'!$4:$4, '2025 Overview'!F$11, 'Monthly Detail'!14:14)</f>
        <v>48.72973714285714</v>
      </c>
      <c r="G15" s="269">
        <f>SUMIF('Monthly Detail'!$4:$4, '2025 Overview'!G$11, 'Monthly Detail'!14:14)</f>
        <v>51.517842285714281</v>
      </c>
      <c r="H15" s="269">
        <f>SUMIF('Monthly Detail'!$4:$4, '2025 Overview'!H$11, 'Monthly Detail'!14:14)</f>
        <v>171.03070537142858</v>
      </c>
      <c r="I15" s="269">
        <f>SUMIF('Monthly Detail'!$4:$4, '2025 Overview'!I$11, 'Monthly Detail'!14:14)</f>
        <v>180.21842322285713</v>
      </c>
      <c r="J15" s="269">
        <f>SUMIF('Monthly Detail'!$4:$4, '2025 Overview'!J$11, 'Monthly Detail'!14:14)</f>
        <v>83.094207487999995</v>
      </c>
      <c r="K15" s="269">
        <f>SUMIF('Monthly Detail'!$4:$4, '2025 Overview'!K$11, 'Monthly Detail'!14:14)</f>
        <v>60.168632360228571</v>
      </c>
      <c r="L15" s="269">
        <f>SUMIF('Monthly Detail'!$4:$4, '2025 Overview'!L$11, 'Monthly Detail'!14:14)</f>
        <v>59.801179416137145</v>
      </c>
      <c r="M15" s="269">
        <f>SUMIF('Monthly Detail'!$4:$4, '2025 Overview'!M$11, 'Monthly Detail'!14:14)</f>
        <v>37.688348817407999</v>
      </c>
      <c r="N15" s="595">
        <f>SUMIF('Monthly Detail'!$4:$4, '2025 Overview'!N$11, 'Monthly Detail'!14:14)</f>
        <v>60.774424589809371</v>
      </c>
      <c r="O15" s="75"/>
      <c r="P15" s="603">
        <f>+SUM(C15:N15)</f>
        <v>879.01887212301176</v>
      </c>
    </row>
    <row r="16" spans="2:16" x14ac:dyDescent="0.3">
      <c r="B16" s="423" t="s">
        <v>305</v>
      </c>
      <c r="C16" s="268">
        <f>SUMIF('Monthly Detail'!$4:$4, '2025 Overview'!C$11, 'Monthly Detail'!42:42)</f>
        <v>2993.8504160190182</v>
      </c>
      <c r="D16" s="239">
        <f>SUMIF('Monthly Detail'!$4:$4, '2025 Overview'!D$11, 'Monthly Detail'!42:42)</f>
        <v>3531.5632526964278</v>
      </c>
      <c r="E16" s="239">
        <f>SUMIF('Monthly Detail'!$4:$4, '2025 Overview'!E$11, 'Monthly Detail'!42:42)</f>
        <v>4471.7159182436562</v>
      </c>
      <c r="F16" s="239">
        <f>SUMIF('Monthly Detail'!$4:$4, '2025 Overview'!F$11, 'Monthly Detail'!42:42)</f>
        <v>4041.1810499689004</v>
      </c>
      <c r="G16" s="239">
        <f>SUMIF('Monthly Detail'!$4:$4, '2025 Overview'!G$11, 'Monthly Detail'!42:42)</f>
        <v>4221.1245979463201</v>
      </c>
      <c r="H16" s="239">
        <f>SUMIF('Monthly Detail'!$4:$4, '2025 Overview'!H$11, 'Monthly Detail'!42:42)</f>
        <v>4325.9585140116733</v>
      </c>
      <c r="I16" s="239">
        <f>SUMIF('Monthly Detail'!$4:$4, '2025 Overview'!I$11, 'Monthly Detail'!42:42)</f>
        <v>4526.2738241448396</v>
      </c>
      <c r="J16" s="239">
        <f>SUMIF('Monthly Detail'!$4:$4, '2025 Overview'!J$11, 'Monthly Detail'!42:42)</f>
        <v>3419.5094420572132</v>
      </c>
      <c r="K16" s="239">
        <f>SUMIF('Monthly Detail'!$4:$4, '2025 Overview'!K$11, 'Monthly Detail'!42:42)</f>
        <v>5039.2073107854703</v>
      </c>
      <c r="L16" s="239">
        <f>SUMIF('Monthly Detail'!$4:$4, '2025 Overview'!L$11, 'Monthly Detail'!42:42)</f>
        <v>5228.2786434724349</v>
      </c>
      <c r="M16" s="239">
        <f>SUMIF('Monthly Detail'!$4:$4, '2025 Overview'!M$11, 'Monthly Detail'!42:42)</f>
        <v>6591.7031846832942</v>
      </c>
      <c r="N16" s="596">
        <f>SUMIF('Monthly Detail'!$4:$4, '2025 Overview'!N$11, 'Monthly Detail'!42:42)</f>
        <v>5333.5687462355399</v>
      </c>
      <c r="O16" s="75"/>
      <c r="P16" s="604">
        <f>+AVERAGE(C16:O16)</f>
        <v>4476.994575022065</v>
      </c>
    </row>
    <row r="17" spans="2:20" x14ac:dyDescent="0.3">
      <c r="B17" s="309" t="s">
        <v>313</v>
      </c>
      <c r="C17" s="426">
        <f>SUMIF('Monthly Detail'!$4:$4, '2025 Overview'!C$11, 'Monthly Detail'!18:18)+SUMIF('Monthly Detail'!$4:$4, '2025 Overview'!C$11, 'Monthly Detail'!19:19)+SUMIF('Monthly Detail'!$4:$4, '2025 Overview'!C$11, 'Monthly Detail'!20:20)</f>
        <v>19.05</v>
      </c>
      <c r="D17" s="426">
        <f>SUMIF('Monthly Detail'!$4:$4, '2025 Overview'!D$11, 'Monthly Detail'!18:18)+SUMIF('Monthly Detail'!$4:$4, '2025 Overview'!D$11, 'Monthly Detail'!19:19)+SUMIF('Monthly Detail'!$4:$4, '2025 Overview'!D$11, 'Monthly Detail'!20:20)</f>
        <v>18.900000000000002</v>
      </c>
      <c r="E17" s="426">
        <f>SUMIF('Monthly Detail'!$4:$4, '2025 Overview'!E$11, 'Monthly Detail'!18:18)+SUMIF('Monthly Detail'!$4:$4, '2025 Overview'!E$11, 'Monthly Detail'!19:19)+SUMIF('Monthly Detail'!$4:$4, '2025 Overview'!E$11, 'Monthly Detail'!20:20)</f>
        <v>0</v>
      </c>
      <c r="F17" s="426">
        <f>SUMIF('Monthly Detail'!$4:$4, '2025 Overview'!F$11, 'Monthly Detail'!18:18)+SUMIF('Monthly Detail'!$4:$4, '2025 Overview'!F$11, 'Monthly Detail'!19:19)+SUMIF('Monthly Detail'!$4:$4, '2025 Overview'!F$11, 'Monthly Detail'!20:20)</f>
        <v>19.200000000000003</v>
      </c>
      <c r="G17" s="426">
        <f>SUMIF('Monthly Detail'!$4:$4, '2025 Overview'!G$11, 'Monthly Detail'!18:18)+SUMIF('Monthly Detail'!$4:$4, '2025 Overview'!G$11, 'Monthly Detail'!19:19)+SUMIF('Monthly Detail'!$4:$4, '2025 Overview'!G$11, 'Monthly Detail'!20:20)</f>
        <v>19.8</v>
      </c>
      <c r="H17" s="426">
        <f>SUMIF('Monthly Detail'!$4:$4, '2025 Overview'!H$11, 'Monthly Detail'!18:18)+SUMIF('Monthly Detail'!$4:$4, '2025 Overview'!H$11, 'Monthly Detail'!19:19)+SUMIF('Monthly Detail'!$4:$4, '2025 Overview'!H$11, 'Monthly Detail'!20:20)</f>
        <v>139</v>
      </c>
      <c r="I17" s="426">
        <f>SUMIF('Monthly Detail'!$4:$4, '2025 Overview'!I$11, 'Monthly Detail'!18:18)+SUMIF('Monthly Detail'!$4:$4, '2025 Overview'!I$11, 'Monthly Detail'!19:19)+SUMIF('Monthly Detail'!$4:$4, '2025 Overview'!I$11, 'Monthly Detail'!20:20)</f>
        <v>145.99999999999997</v>
      </c>
      <c r="J17" s="426">
        <f>SUMIF('Monthly Detail'!$4:$4, '2025 Overview'!J$11, 'Monthly Detail'!18:18)+SUMIF('Monthly Detail'!$4:$4, '2025 Overview'!J$11, 'Monthly Detail'!19:19)+SUMIF('Monthly Detail'!$4:$4, '2025 Overview'!J$11, 'Monthly Detail'!20:20)</f>
        <v>22.5</v>
      </c>
      <c r="K17" s="426">
        <f>SUMIF('Monthly Detail'!$4:$4, '2025 Overview'!K$11, 'Monthly Detail'!18:18)+SUMIF('Monthly Detail'!$4:$4, '2025 Overview'!K$11, 'Monthly Detail'!19:19)+SUMIF('Monthly Detail'!$4:$4, '2025 Overview'!K$11, 'Monthly Detail'!20:20)</f>
        <v>23.25</v>
      </c>
      <c r="L17" s="426">
        <f>SUMIF('Monthly Detail'!$4:$4, '2025 Overview'!L$11, 'Monthly Detail'!18:18)+SUMIF('Monthly Detail'!$4:$4, '2025 Overview'!L$11, 'Monthly Detail'!19:19)+SUMIF('Monthly Detail'!$4:$4, '2025 Overview'!L$11, 'Monthly Detail'!20:20)</f>
        <v>22.950000000000003</v>
      </c>
      <c r="M17" s="426">
        <f>SUMIF('Monthly Detail'!$4:$4, '2025 Overview'!M$11, 'Monthly Detail'!18:18)+SUMIF('Monthly Detail'!$4:$4, '2025 Overview'!M$11, 'Monthly Detail'!19:19)+SUMIF('Monthly Detail'!$4:$4, '2025 Overview'!M$11, 'Monthly Detail'!20:20)</f>
        <v>0</v>
      </c>
      <c r="N17" s="597">
        <f>SUMIF('Monthly Detail'!$4:$4, '2025 Overview'!N$11, 'Monthly Detail'!18:18)+SUMIF('Monthly Detail'!$4:$4, '2025 Overview'!N$11, 'Monthly Detail'!19:19)+SUMIF('Monthly Detail'!$4:$4, '2025 Overview'!N$11, 'Monthly Detail'!20:20)</f>
        <v>23.400000000000002</v>
      </c>
      <c r="P17" s="605">
        <f t="shared" ref="P17" si="1">+SUM(C17:N17)</f>
        <v>454.0499999999999</v>
      </c>
      <c r="Q17" s="9"/>
    </row>
    <row r="18" spans="2:20" x14ac:dyDescent="0.3">
      <c r="B18" s="30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311"/>
      <c r="O18" s="7"/>
      <c r="P18" s="606"/>
    </row>
    <row r="19" spans="2:20" x14ac:dyDescent="0.3">
      <c r="B19" s="306" t="s">
        <v>324</v>
      </c>
      <c r="C19" s="73">
        <f>SUMIF('Monthly Detail'!$4:$4, '2025 Overview'!C$11, 'Monthly Detail'!58:58)</f>
        <v>117.11357142857153</v>
      </c>
      <c r="D19" s="73">
        <f>SUMIF('Monthly Detail'!$4:$4, '2025 Overview'!D$11, 'Monthly Detail'!58:58)</f>
        <v>0</v>
      </c>
      <c r="E19" s="73">
        <f>SUMIF('Monthly Detail'!$4:$4, '2025 Overview'!E$11, 'Monthly Detail'!58:58)</f>
        <v>0</v>
      </c>
      <c r="F19" s="73">
        <f>SUMIF('Monthly Detail'!$4:$4, '2025 Overview'!F$11, 'Monthly Detail'!58:58)</f>
        <v>108.0813257142858</v>
      </c>
      <c r="G19" s="73">
        <f>SUMIF('Monthly Detail'!$4:$4, '2025 Overview'!G$11, 'Monthly Detail'!58:58)</f>
        <v>200.0887954285713</v>
      </c>
      <c r="H19" s="73">
        <f>SUMIF('Monthly Detail'!$4:$4, '2025 Overview'!H$11, 'Monthly Detail'!58:58)</f>
        <v>3887.4672192000003</v>
      </c>
      <c r="I19" s="73">
        <f>SUMIF('Monthly Detail'!$4:$4, '2025 Overview'!I$11, 'Monthly Detail'!58:58)</f>
        <v>4447.2079663542854</v>
      </c>
      <c r="J19" s="73">
        <f>SUMIF('Monthly Detail'!$4:$4, '2025 Overview'!J$11, 'Monthly Detail'!58:58)</f>
        <v>1117.4675358719996</v>
      </c>
      <c r="K19" s="73">
        <f>SUMIF('Monthly Detail'!$4:$4, '2025 Overview'!K$11, 'Monthly Detail'!58:58)</f>
        <v>485.56486788754285</v>
      </c>
      <c r="L19" s="73">
        <f>SUMIF('Monthly Detail'!$4:$4, '2025 Overview'!L$11, 'Monthly Detail'!58:58)</f>
        <v>563.14068985673191</v>
      </c>
      <c r="M19" s="73">
        <f>SUMIF('Monthly Detail'!$4:$4, '2025 Overview'!M$11, 'Monthly Detail'!58:58)</f>
        <v>0</v>
      </c>
      <c r="N19" s="308">
        <f>SUMIF('Monthly Detail'!$4:$4, '2025 Overview'!N$11, 'Monthly Detail'!58:58)</f>
        <v>414.39437457899521</v>
      </c>
      <c r="P19" s="601">
        <f>SUM(C19:O19)</f>
        <v>11340.526346320983</v>
      </c>
    </row>
    <row r="20" spans="2:20" ht="15.6" x14ac:dyDescent="0.3">
      <c r="B20" s="312" t="s">
        <v>151</v>
      </c>
      <c r="C20" s="88">
        <f>C14-C19</f>
        <v>5862.386428571428</v>
      </c>
      <c r="D20" s="88">
        <f t="shared" ref="D20:N20" si="2">D14-D19</f>
        <v>6424.2</v>
      </c>
      <c r="E20" s="88">
        <f t="shared" si="2"/>
        <v>5123.5199999999995</v>
      </c>
      <c r="F20" s="88">
        <f t="shared" si="2"/>
        <v>6780.0306742857138</v>
      </c>
      <c r="G20" s="88">
        <f t="shared" si="2"/>
        <v>7011.778404571427</v>
      </c>
      <c r="H20" s="88">
        <f t="shared" si="2"/>
        <v>19908.653100799998</v>
      </c>
      <c r="I20" s="88">
        <f t="shared" si="2"/>
        <v>20532.464225645712</v>
      </c>
      <c r="J20" s="88">
        <f t="shared" si="2"/>
        <v>7096.3357793279993</v>
      </c>
      <c r="K20" s="88">
        <f t="shared" si="2"/>
        <v>7994.2171212324547</v>
      </c>
      <c r="L20" s="88">
        <f t="shared" si="2"/>
        <v>8013.7285036152671</v>
      </c>
      <c r="M20" s="88">
        <f t="shared" si="2"/>
        <v>6737.6215160831989</v>
      </c>
      <c r="N20" s="314">
        <f t="shared" si="2"/>
        <v>8317.1785350709251</v>
      </c>
      <c r="P20" s="607">
        <f>+SUM(C20:N20)</f>
        <v>109802.11428920412</v>
      </c>
    </row>
    <row r="21" spans="2:20" x14ac:dyDescent="0.3">
      <c r="B21" s="315" t="s">
        <v>152</v>
      </c>
      <c r="C21" s="90">
        <f>IFERROR(C20/C14, 0)</f>
        <v>0.98041415311839253</v>
      </c>
      <c r="D21" s="90">
        <f t="shared" ref="D21:N21" si="3">IFERROR(D20/D14, 0)</f>
        <v>1</v>
      </c>
      <c r="E21" s="90">
        <f t="shared" si="3"/>
        <v>1</v>
      </c>
      <c r="F21" s="90">
        <f t="shared" si="3"/>
        <v>0.98430900576031788</v>
      </c>
      <c r="G21" s="90">
        <f t="shared" si="3"/>
        <v>0.97225561843005492</v>
      </c>
      <c r="H21" s="90">
        <f t="shared" si="3"/>
        <v>0.83663441069707956</v>
      </c>
      <c r="I21" s="90">
        <f t="shared" si="3"/>
        <v>0.82196692045548336</v>
      </c>
      <c r="J21" s="90">
        <f t="shared" si="3"/>
        <v>0.86395248425244398</v>
      </c>
      <c r="K21" s="90">
        <f t="shared" si="3"/>
        <v>0.94273851986872448</v>
      </c>
      <c r="L21" s="90">
        <f t="shared" si="3"/>
        <v>0.93434192860428045</v>
      </c>
      <c r="M21" s="90">
        <f t="shared" si="3"/>
        <v>1</v>
      </c>
      <c r="N21" s="316">
        <f t="shared" si="3"/>
        <v>0.95254069583258971</v>
      </c>
      <c r="P21" s="608">
        <f>P20/P14</f>
        <v>0.90638699728825811</v>
      </c>
      <c r="T21" s="1"/>
    </row>
    <row r="22" spans="2:20" x14ac:dyDescent="0.3">
      <c r="B22" s="306"/>
      <c r="N22" s="97"/>
      <c r="O22" s="318"/>
      <c r="P22" s="600"/>
    </row>
    <row r="23" spans="2:20" x14ac:dyDescent="0.3">
      <c r="B23" s="306" t="s">
        <v>315</v>
      </c>
      <c r="C23" s="73">
        <f>SUMIF('Monthly Detail'!$4:$4, '2025 Overview'!C$11, 'Monthly Detail'!$64:$64)</f>
        <v>600</v>
      </c>
      <c r="D23" s="73">
        <f>SUMIF('Monthly Detail'!$4:$4, '2025 Overview'!D$11, 'Monthly Detail'!$64:$64)</f>
        <v>600</v>
      </c>
      <c r="E23" s="73">
        <f>SUMIF('Monthly Detail'!$4:$4, '2025 Overview'!E$11, 'Monthly Detail'!$64:$64)</f>
        <v>600</v>
      </c>
      <c r="F23" s="73">
        <f>SUMIF('Monthly Detail'!$4:$4, '2025 Overview'!F$11, 'Monthly Detail'!$64:$64)</f>
        <v>600</v>
      </c>
      <c r="G23" s="73">
        <f>SUMIF('Monthly Detail'!$4:$4, '2025 Overview'!G$11, 'Monthly Detail'!$64:$64)</f>
        <v>600</v>
      </c>
      <c r="H23" s="73">
        <f>SUMIF('Monthly Detail'!$4:$4, '2025 Overview'!H$11, 'Monthly Detail'!$64:$64)</f>
        <v>600</v>
      </c>
      <c r="I23" s="73">
        <f>SUMIF('Monthly Detail'!$4:$4, '2025 Overview'!I$11, 'Monthly Detail'!$64:$64)</f>
        <v>600</v>
      </c>
      <c r="J23" s="73">
        <f>SUMIF('Monthly Detail'!$4:$4, '2025 Overview'!J$11, 'Monthly Detail'!$64:$64)</f>
        <v>600</v>
      </c>
      <c r="K23" s="73">
        <f>SUMIF('Monthly Detail'!$4:$4, '2025 Overview'!K$11, 'Monthly Detail'!$64:$64)</f>
        <v>600</v>
      </c>
      <c r="L23" s="73">
        <f>SUMIF('Monthly Detail'!$4:$4, '2025 Overview'!L$11, 'Monthly Detail'!$64:$64)</f>
        <v>600</v>
      </c>
      <c r="M23" s="73">
        <f>SUMIF('Monthly Detail'!$4:$4, '2025 Overview'!M$11, 'Monthly Detail'!$64:$64)</f>
        <v>600</v>
      </c>
      <c r="N23" s="308">
        <f>SUMIF('Monthly Detail'!$4:$4, '2025 Overview'!N$11, 'Monthly Detail'!$64:$64)</f>
        <v>600</v>
      </c>
      <c r="P23" s="601">
        <f>SUM(C23:O23)</f>
        <v>7200</v>
      </c>
    </row>
    <row r="24" spans="2:20" x14ac:dyDescent="0.3">
      <c r="B24" s="306" t="s">
        <v>190</v>
      </c>
      <c r="C24" s="73">
        <f>SUMIF('Monthly Detail'!$4:$4, '2025 Overview'!C$11, 'Monthly Detail'!$80:$80)</f>
        <v>1324.9527207681867</v>
      </c>
      <c r="D24" s="73">
        <f>SUMIF('Monthly Detail'!$4:$4, '2025 Overview'!D$11, 'Monthly Detail'!$80:$80)</f>
        <v>1192.8532229716509</v>
      </c>
      <c r="E24" s="73">
        <f>SUMIF('Monthly Detail'!$4:$4, '2025 Overview'!E$11, 'Monthly Detail'!$80:$80)</f>
        <v>1140.4969711029719</v>
      </c>
      <c r="F24" s="73">
        <f>SUMIF('Monthly Detail'!$4:$4, '2025 Overview'!F$11, 'Monthly Detail'!$80:$80)</f>
        <v>3361.5270655131699</v>
      </c>
      <c r="G24" s="73">
        <f>SUMIF('Monthly Detail'!$4:$4, '2025 Overview'!G$11, 'Monthly Detail'!$80:$80)</f>
        <v>1224.5591785578802</v>
      </c>
      <c r="H24" s="73">
        <f>SUMIF('Monthly Detail'!$4:$4, '2025 Overview'!H$11, 'Monthly Detail'!$80:$80)</f>
        <v>1892.1248622038527</v>
      </c>
      <c r="I24" s="73">
        <f>SUMIF('Monthly Detail'!$4:$4, '2025 Overview'!I$11, 'Monthly Detail'!$80:$80)</f>
        <v>2089.7663573526047</v>
      </c>
      <c r="J24" s="73">
        <f>SUMIF('Monthly Detail'!$4:$4, '2025 Overview'!J$11, 'Monthly Detail'!$80:$80)</f>
        <v>1339.8900974647111</v>
      </c>
      <c r="K24" s="73">
        <f>SUMIF('Monthly Detail'!$4:$4, '2025 Overview'!K$11, 'Monthly Detail'!$80:$80)</f>
        <v>1275.596532901139</v>
      </c>
      <c r="L24" s="73">
        <f>SUMIF('Monthly Detail'!$4:$4, '2025 Overview'!L$11, 'Monthly Detail'!$80:$80)</f>
        <v>1429.5045826322632</v>
      </c>
      <c r="M24" s="73">
        <f>SUMIF('Monthly Detail'!$4:$4, '2025 Overview'!M$11, 'Monthly Detail'!$80:$80)</f>
        <v>1205.4693743979162</v>
      </c>
      <c r="N24" s="308">
        <f>SUMIF('Monthly Detail'!$4:$4, '2025 Overview'!N$11, 'Monthly Detail'!$80:$80)</f>
        <v>1285.7318689203832</v>
      </c>
      <c r="P24" s="601">
        <f>SUM(C24:O24)</f>
        <v>18762.472834786731</v>
      </c>
    </row>
    <row r="25" spans="2:20" ht="15.6" x14ac:dyDescent="0.3">
      <c r="B25" s="317" t="s">
        <v>153</v>
      </c>
      <c r="C25" s="79">
        <f>SUM(C23:C24)</f>
        <v>1924.9527207681867</v>
      </c>
      <c r="D25" s="79">
        <f t="shared" ref="D25:N25" si="4">SUM(D23:D24)</f>
        <v>1792.8532229716509</v>
      </c>
      <c r="E25" s="79">
        <f t="shared" si="4"/>
        <v>1740.4969711029719</v>
      </c>
      <c r="F25" s="79">
        <f t="shared" si="4"/>
        <v>3961.5270655131699</v>
      </c>
      <c r="G25" s="79">
        <f t="shared" si="4"/>
        <v>1824.5591785578802</v>
      </c>
      <c r="H25" s="79">
        <f t="shared" si="4"/>
        <v>2492.1248622038529</v>
      </c>
      <c r="I25" s="79">
        <f t="shared" si="4"/>
        <v>2689.7663573526047</v>
      </c>
      <c r="J25" s="79">
        <f t="shared" si="4"/>
        <v>1939.8900974647111</v>
      </c>
      <c r="K25" s="79">
        <f t="shared" si="4"/>
        <v>1875.596532901139</v>
      </c>
      <c r="L25" s="79">
        <f t="shared" si="4"/>
        <v>2029.5045826322632</v>
      </c>
      <c r="M25" s="79">
        <f t="shared" si="4"/>
        <v>1805.4693743979162</v>
      </c>
      <c r="N25" s="319">
        <f t="shared" si="4"/>
        <v>1885.7318689203832</v>
      </c>
      <c r="O25" s="313"/>
      <c r="P25" s="609">
        <f>SUM(P23:P24)</f>
        <v>25962.472834786731</v>
      </c>
    </row>
    <row r="26" spans="2:20" x14ac:dyDescent="0.3">
      <c r="B26" s="306"/>
      <c r="N26" s="97"/>
      <c r="O26" s="7"/>
      <c r="P26" s="600"/>
    </row>
    <row r="27" spans="2:20" ht="15.6" x14ac:dyDescent="0.3">
      <c r="B27" s="312" t="s">
        <v>154</v>
      </c>
      <c r="C27" s="88">
        <f t="shared" ref="C27:N27" si="5">C20-C25</f>
        <v>3937.4337078032413</v>
      </c>
      <c r="D27" s="88">
        <f t="shared" si="5"/>
        <v>4631.3467770283487</v>
      </c>
      <c r="E27" s="88">
        <f t="shared" si="5"/>
        <v>3383.0230288970279</v>
      </c>
      <c r="F27" s="88">
        <f t="shared" si="5"/>
        <v>2818.5036087725439</v>
      </c>
      <c r="G27" s="88">
        <f t="shared" si="5"/>
        <v>5187.2192260135471</v>
      </c>
      <c r="H27" s="88">
        <f t="shared" si="5"/>
        <v>17416.528238596147</v>
      </c>
      <c r="I27" s="88">
        <f t="shared" si="5"/>
        <v>17842.697868293108</v>
      </c>
      <c r="J27" s="88">
        <f t="shared" si="5"/>
        <v>5156.445681863288</v>
      </c>
      <c r="K27" s="88">
        <f t="shared" si="5"/>
        <v>6118.620588331316</v>
      </c>
      <c r="L27" s="88">
        <f t="shared" si="5"/>
        <v>5984.2239209830041</v>
      </c>
      <c r="M27" s="88">
        <f t="shared" si="5"/>
        <v>4932.1521416852829</v>
      </c>
      <c r="N27" s="314">
        <f t="shared" si="5"/>
        <v>6431.4466661505421</v>
      </c>
      <c r="P27" s="607">
        <f>P20-P25</f>
        <v>83839.641454417389</v>
      </c>
    </row>
    <row r="28" spans="2:20" x14ac:dyDescent="0.3">
      <c r="B28" s="315" t="s">
        <v>155</v>
      </c>
      <c r="C28" s="90">
        <f t="shared" ref="C28:N28" si="6">IFERROR(C27/C14, 0)</f>
        <v>0.65848878799284916</v>
      </c>
      <c r="D28" s="90">
        <f t="shared" si="6"/>
        <v>0.7209219477955775</v>
      </c>
      <c r="E28" s="90">
        <f t="shared" si="6"/>
        <v>0.66029273407677302</v>
      </c>
      <c r="F28" s="90">
        <f t="shared" si="6"/>
        <v>0.40918376599749601</v>
      </c>
      <c r="G28" s="90">
        <f t="shared" si="6"/>
        <v>0.71926161175202286</v>
      </c>
      <c r="H28" s="90">
        <f t="shared" si="6"/>
        <v>0.73190621010425905</v>
      </c>
      <c r="I28" s="90">
        <f t="shared" si="6"/>
        <v>0.71428871168323094</v>
      </c>
      <c r="J28" s="90">
        <f t="shared" si="6"/>
        <v>0.62777808087041265</v>
      </c>
      <c r="K28" s="90">
        <f t="shared" si="6"/>
        <v>0.72155399704636569</v>
      </c>
      <c r="L28" s="90">
        <f t="shared" si="6"/>
        <v>0.69771658935147318</v>
      </c>
      <c r="M28" s="90">
        <f t="shared" si="6"/>
        <v>0.73203164201370952</v>
      </c>
      <c r="N28" s="316">
        <f t="shared" si="6"/>
        <v>0.73657366578737093</v>
      </c>
      <c r="O28" s="132"/>
      <c r="P28" s="608">
        <f>P27/P14</f>
        <v>0.69207374888467965</v>
      </c>
    </row>
    <row r="29" spans="2:20" ht="15.6" x14ac:dyDescent="0.3">
      <c r="B29" s="320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321"/>
      <c r="O29" s="313"/>
      <c r="P29" s="610"/>
    </row>
    <row r="30" spans="2:20" x14ac:dyDescent="0.3">
      <c r="B30" s="306" t="s">
        <v>156</v>
      </c>
      <c r="C30" s="132">
        <f>SUMIF('Monthly Detail'!$4:$4, '2025 Overview'!C$11, 'Monthly Detail'!89:89)</f>
        <v>0</v>
      </c>
      <c r="D30" s="132">
        <f>SUMIF('Monthly Detail'!$4:$4, '2025 Overview'!D$11, 'Monthly Detail'!89:89)</f>
        <v>0</v>
      </c>
      <c r="E30" s="132">
        <f>SUMIF('Monthly Detail'!$4:$4, '2025 Overview'!E$11, 'Monthly Detail'!89:89)</f>
        <v>0</v>
      </c>
      <c r="F30" s="132">
        <f>SUMIF('Monthly Detail'!$4:$4, '2025 Overview'!F$11, 'Monthly Detail'!89:89)</f>
        <v>0</v>
      </c>
      <c r="G30" s="132">
        <f>SUMIF('Monthly Detail'!$4:$4, '2025 Overview'!G$11, 'Monthly Detail'!89:89)</f>
        <v>0</v>
      </c>
      <c r="H30" s="132">
        <f>SUMIF('Monthly Detail'!$4:$4, '2025 Overview'!H$11, 'Monthly Detail'!89:89)</f>
        <v>0</v>
      </c>
      <c r="I30" s="132">
        <f>SUMIF('Monthly Detail'!$4:$4, '2025 Overview'!I$11, 'Monthly Detail'!89:89)</f>
        <v>0</v>
      </c>
      <c r="J30" s="132">
        <f>SUMIF('Monthly Detail'!$4:$4, '2025 Overview'!J$11, 'Monthly Detail'!89:89)</f>
        <v>0</v>
      </c>
      <c r="K30" s="132">
        <f>SUMIF('Monthly Detail'!$4:$4, '2025 Overview'!K$11, 'Monthly Detail'!89:89)</f>
        <v>0</v>
      </c>
      <c r="L30" s="132">
        <f>SUMIF('Monthly Detail'!$4:$4, '2025 Overview'!L$11, 'Monthly Detail'!89:89)</f>
        <v>0</v>
      </c>
      <c r="M30" s="132">
        <f>SUMIF('Monthly Detail'!$4:$4, '2025 Overview'!M$11, 'Monthly Detail'!89:89)</f>
        <v>0</v>
      </c>
      <c r="N30" s="598">
        <f>SUMIF('Monthly Detail'!$4:$4, '2025 Overview'!N$11, 'Monthly Detail'!89:89)</f>
        <v>0</v>
      </c>
      <c r="O30" s="7"/>
      <c r="P30" s="611">
        <f>SUM(C30:O30)</f>
        <v>0</v>
      </c>
    </row>
    <row r="31" spans="2:20" ht="15.6" x14ac:dyDescent="0.3">
      <c r="B31" s="312" t="s">
        <v>11</v>
      </c>
      <c r="C31" s="88">
        <f t="shared" ref="C31:N31" si="7">C27+SUM(C30:C30)</f>
        <v>3937.4337078032413</v>
      </c>
      <c r="D31" s="88">
        <f t="shared" si="7"/>
        <v>4631.3467770283487</v>
      </c>
      <c r="E31" s="88">
        <f t="shared" si="7"/>
        <v>3383.0230288970279</v>
      </c>
      <c r="F31" s="88">
        <f t="shared" si="7"/>
        <v>2818.5036087725439</v>
      </c>
      <c r="G31" s="88">
        <f t="shared" si="7"/>
        <v>5187.2192260135471</v>
      </c>
      <c r="H31" s="88">
        <f t="shared" si="7"/>
        <v>17416.528238596147</v>
      </c>
      <c r="I31" s="88">
        <f t="shared" si="7"/>
        <v>17842.697868293108</v>
      </c>
      <c r="J31" s="88">
        <f t="shared" si="7"/>
        <v>5156.445681863288</v>
      </c>
      <c r="K31" s="88">
        <f t="shared" si="7"/>
        <v>6118.620588331316</v>
      </c>
      <c r="L31" s="88">
        <f t="shared" si="7"/>
        <v>5984.2239209830041</v>
      </c>
      <c r="M31" s="88">
        <f t="shared" si="7"/>
        <v>4932.1521416852829</v>
      </c>
      <c r="N31" s="314">
        <f t="shared" si="7"/>
        <v>6431.4466661505421</v>
      </c>
      <c r="P31" s="607">
        <f>P27+SUM(P30:P30)</f>
        <v>83839.641454417389</v>
      </c>
    </row>
    <row r="32" spans="2:20" x14ac:dyDescent="0.3">
      <c r="B32" s="315" t="s">
        <v>157</v>
      </c>
      <c r="C32" s="90">
        <f t="shared" ref="C32:N32" si="8">IFERROR(C31/C14, 0)</f>
        <v>0.65848878799284916</v>
      </c>
      <c r="D32" s="90">
        <f t="shared" si="8"/>
        <v>0.7209219477955775</v>
      </c>
      <c r="E32" s="90">
        <f t="shared" si="8"/>
        <v>0.66029273407677302</v>
      </c>
      <c r="F32" s="90">
        <f t="shared" si="8"/>
        <v>0.40918376599749601</v>
      </c>
      <c r="G32" s="90">
        <f t="shared" si="8"/>
        <v>0.71926161175202286</v>
      </c>
      <c r="H32" s="90">
        <f t="shared" si="8"/>
        <v>0.73190621010425905</v>
      </c>
      <c r="I32" s="90">
        <f t="shared" si="8"/>
        <v>0.71428871168323094</v>
      </c>
      <c r="J32" s="90">
        <f t="shared" si="8"/>
        <v>0.62777808087041265</v>
      </c>
      <c r="K32" s="90">
        <f t="shared" si="8"/>
        <v>0.72155399704636569</v>
      </c>
      <c r="L32" s="90">
        <f t="shared" si="8"/>
        <v>0.69771658935147318</v>
      </c>
      <c r="M32" s="90">
        <f t="shared" si="8"/>
        <v>0.73203164201370952</v>
      </c>
      <c r="N32" s="316">
        <f t="shared" si="8"/>
        <v>0.73657366578737093</v>
      </c>
      <c r="P32" s="608">
        <f>P31/P14</f>
        <v>0.69207374888467965</v>
      </c>
    </row>
    <row r="33" spans="2:16" ht="15" thickBot="1" x14ac:dyDescent="0.35">
      <c r="B33" s="306"/>
      <c r="N33" s="97"/>
      <c r="P33" s="97"/>
    </row>
    <row r="34" spans="2:16" ht="15" thickBot="1" x14ac:dyDescent="0.35">
      <c r="B34" s="415" t="s">
        <v>266</v>
      </c>
      <c r="C34" s="421">
        <f>SUMIF('Monthly Detail'!$4:$4, '2025 Overview'!C$11, 'Monthly Detail'!104:104)</f>
        <v>641.04126508724573</v>
      </c>
      <c r="D34" s="420">
        <f>SUMIF('Monthly Detail'!$4:$4, '2025 Overview'!D$11, 'Monthly Detail'!104:104)</f>
        <v>1049.0951050664894</v>
      </c>
      <c r="E34" s="420">
        <f>SUMIF('Monthly Detail'!$4:$4, '2025 Overview'!E$11, 'Monthly Detail'!104:104)</f>
        <v>1379.2104040015338</v>
      </c>
      <c r="F34" s="420">
        <f>SUMIF('Monthly Detail'!$4:$4, '2025 Overview'!F$11, 'Monthly Detail'!104:104)</f>
        <v>1598.0863631948246</v>
      </c>
      <c r="G34" s="420">
        <f>SUMIF('Monthly Detail'!$4:$4, '2025 Overview'!G$11, 'Monthly Detail'!104:104)</f>
        <v>2058.553180082688</v>
      </c>
      <c r="H34" s="420">
        <f>SUMIF('Monthly Detail'!$4:$4, '2025 Overview'!H$11, 'Monthly Detail'!104:104)</f>
        <v>3299.0780894395493</v>
      </c>
      <c r="I34" s="420">
        <f>SUMIF('Monthly Detail'!$4:$4, '2025 Overview'!I$11, 'Monthly Detail'!104:104)</f>
        <v>4881.586881123696</v>
      </c>
      <c r="J34" s="420">
        <f>SUMIF('Monthly Detail'!$4:$4, '2025 Overview'!J$11, 'Monthly Detail'!104:104)</f>
        <v>5676.2102239542974</v>
      </c>
      <c r="K34" s="420">
        <f>SUMIF('Monthly Detail'!$4:$4, '2025 Overview'!K$11, 'Monthly Detail'!104:104)</f>
        <v>6221.6422418828743</v>
      </c>
      <c r="L34" s="420">
        <f>SUMIF('Monthly Detail'!$4:$4, '2025 Overview'!L$11, 'Monthly Detail'!104:104)</f>
        <v>6758.3082966416268</v>
      </c>
      <c r="M34" s="420">
        <f>SUMIF('Monthly Detail'!$4:$4, '2025 Overview'!M$11, 'Monthly Detail'!104:104)</f>
        <v>7238.463210044144</v>
      </c>
      <c r="N34" s="422">
        <f>SUMIF('Monthly Detail'!$4:$4, '2025 Overview'!N$11, 'Monthly Detail'!104:104)</f>
        <v>7777.9821675054218</v>
      </c>
      <c r="P34" s="97"/>
    </row>
    <row r="35" spans="2:16" ht="15" thickBot="1" x14ac:dyDescent="0.35">
      <c r="B35" s="416" t="s">
        <v>262</v>
      </c>
      <c r="C35" s="418">
        <f>SUMIF('Monthly Detail'!$4:$4, '2025 Overview'!C$11, 'Monthly Detail'!103:103)</f>
        <v>2136.804216957486</v>
      </c>
      <c r="D35" s="417">
        <f>SUMIF('Monthly Detail'!$4:$4, '2025 Overview'!D$11, 'Monthly Detail'!103:103)</f>
        <v>3496.9836835549645</v>
      </c>
      <c r="E35" s="417">
        <f>SUMIF('Monthly Detail'!$4:$4, '2025 Overview'!E$11, 'Monthly Detail'!103:103)</f>
        <v>4597.368013338446</v>
      </c>
      <c r="F35" s="417">
        <f>SUMIF('Monthly Detail'!$4:$4, '2025 Overview'!F$11, 'Monthly Detail'!103:103)</f>
        <v>5326.9545439827489</v>
      </c>
      <c r="G35" s="417">
        <f>SUMIF('Monthly Detail'!$4:$4, '2025 Overview'!G$11, 'Monthly Detail'!103:103)</f>
        <v>6861.8439336089605</v>
      </c>
      <c r="H35" s="417">
        <f>SUMIF('Monthly Detail'!$4:$4, '2025 Overview'!H$11, 'Monthly Detail'!103:103)</f>
        <v>10996.926964798498</v>
      </c>
      <c r="I35" s="417">
        <f>SUMIF('Monthly Detail'!$4:$4, '2025 Overview'!I$11, 'Monthly Detail'!103:103)</f>
        <v>16271.95627041232</v>
      </c>
      <c r="J35" s="417">
        <f>SUMIF('Monthly Detail'!$4:$4, '2025 Overview'!J$11, 'Monthly Detail'!103:103)</f>
        <v>18920.700746514325</v>
      </c>
      <c r="K35" s="417">
        <f>SUMIF('Monthly Detail'!$4:$4, '2025 Overview'!K$11, 'Monthly Detail'!103:103)</f>
        <v>20738.807472942914</v>
      </c>
      <c r="L35" s="417">
        <f>SUMIF('Monthly Detail'!$4:$4, '2025 Overview'!L$11, 'Monthly Detail'!103:103)</f>
        <v>22527.694322138756</v>
      </c>
      <c r="M35" s="417">
        <f>SUMIF('Monthly Detail'!$4:$4, '2025 Overview'!M$11, 'Monthly Detail'!103:103)</f>
        <v>24128.210700147149</v>
      </c>
      <c r="N35" s="419">
        <f>SUMIF('Monthly Detail'!$4:$4, '2025 Overview'!N$11, 'Monthly Detail'!103:103)</f>
        <v>25926.607225018073</v>
      </c>
      <c r="P35" s="97"/>
    </row>
    <row r="36" spans="2:16" ht="15" thickBot="1" x14ac:dyDescent="0.35">
      <c r="B36" s="85" t="s">
        <v>270</v>
      </c>
      <c r="C36" s="472">
        <f>SUMIF('Monthly Detail'!$4:$4, '2025 Overview'!C$11, 'Monthly Detail'!146:146)</f>
        <v>1128.6889814087363</v>
      </c>
      <c r="D36" s="473">
        <f>SUMIF('Monthly Detail'!$4:$4, '2025 Overview'!D$11, 'Monthly Detail'!146:146)</f>
        <v>1360.1794665974785</v>
      </c>
      <c r="E36" s="473">
        <f>SUMIF('Monthly Detail'!$4:$4, '2025 Overview'!E$11, 'Monthly Detail'!146:146)</f>
        <v>1100.384329783481</v>
      </c>
      <c r="F36" s="473">
        <f>SUMIF('Monthly Detail'!$4:$4, '2025 Overview'!F$11, 'Monthly Detail'!146:146)</f>
        <v>729.58653064430291</v>
      </c>
      <c r="G36" s="472">
        <f>SUMIF('Monthly Detail'!$4:$4, '2025 Overview'!G$11, 'Monthly Detail'!146:146)</f>
        <v>1534.8893896262116</v>
      </c>
      <c r="H36" s="473">
        <f>SUMIF('Monthly Detail'!$4:$4, '2025 Overview'!H$11, 'Monthly Detail'!146:146)</f>
        <v>4135.083031189537</v>
      </c>
      <c r="I36" s="473">
        <f>SUMIF('Monthly Detail'!$4:$4, '2025 Overview'!I$11, 'Monthly Detail'!146:146)</f>
        <v>5275.0293056138216</v>
      </c>
      <c r="J36" s="473">
        <f>SUMIF('Monthly Detail'!$4:$4, '2025 Overview'!J$11, 'Monthly Detail'!146:146)</f>
        <v>2648.7444761020051</v>
      </c>
      <c r="K36" s="473">
        <f>SUMIF('Monthly Detail'!$4:$4, '2025 Overview'!K$11, 'Monthly Detail'!146:146)</f>
        <v>1818.1067264285866</v>
      </c>
      <c r="L36" s="473">
        <f>SUMIF('Monthly Detail'!$4:$4, '2025 Overview'!L$11, 'Monthly Detail'!146:146)</f>
        <v>1788.886849195841</v>
      </c>
      <c r="M36" s="472">
        <f>SUMIF('Monthly Detail'!$4:$4, '2025 Overview'!M$11, 'Monthly Detail'!146:146)</f>
        <v>1600.5163780083931</v>
      </c>
      <c r="N36" s="472">
        <f>SUMIF('Monthly Detail'!$4:$4, '2025 Overview'!N$11, 'Monthly Detail'!146:146)</f>
        <v>1798.3965248709237</v>
      </c>
      <c r="P36" s="97"/>
    </row>
    <row r="37" spans="2:16" ht="15" thickBot="1" x14ac:dyDescent="0.35">
      <c r="B37" s="323" t="s">
        <v>263</v>
      </c>
      <c r="C37" s="474">
        <f>SUMIF('Monthly Detail'!$4:$4, '2025 Overview'!C$11, 'Monthly Detail'!87:87)</f>
        <v>-1324.9527207681867</v>
      </c>
      <c r="D37" s="475">
        <f>SUMIF('Monthly Detail'!$4:$4, '2025 Overview'!D$11, 'Monthly Detail'!87:87)</f>
        <v>-1192.8532229716509</v>
      </c>
      <c r="E37" s="475">
        <f>SUMIF('Monthly Detail'!$4:$4, '2025 Overview'!E$11, 'Monthly Detail'!87:87)</f>
        <v>-1140.4969711029719</v>
      </c>
      <c r="F37" s="475">
        <f>SUMIF('Monthly Detail'!$4:$4, '2025 Overview'!F$11, 'Monthly Detail'!87:87)</f>
        <v>-3361.5270655131699</v>
      </c>
      <c r="G37" s="475">
        <f>SUMIF('Monthly Detail'!$4:$4, '2025 Overview'!G$11, 'Monthly Detail'!87:87)</f>
        <v>-1224.5591785578802</v>
      </c>
      <c r="H37" s="475">
        <f>SUMIF('Monthly Detail'!$4:$4, '2025 Overview'!H$11, 'Monthly Detail'!87:87)</f>
        <v>-1892.1248622038527</v>
      </c>
      <c r="I37" s="475">
        <f>SUMIF('Monthly Detail'!$4:$4, '2025 Overview'!I$11, 'Monthly Detail'!87:87)</f>
        <v>-2089.7663573526047</v>
      </c>
      <c r="J37" s="475">
        <f>SUMIF('Monthly Detail'!$4:$4, '2025 Overview'!J$11, 'Monthly Detail'!87:87)</f>
        <v>-1339.8900974647111</v>
      </c>
      <c r="K37" s="475">
        <f>SUMIF('Monthly Detail'!$4:$4, '2025 Overview'!K$11, 'Monthly Detail'!87:87)</f>
        <v>-1275.596532901139</v>
      </c>
      <c r="L37" s="475">
        <f>SUMIF('Monthly Detail'!$4:$4, '2025 Overview'!L$11, 'Monthly Detail'!87:87)</f>
        <v>-1429.5045826322632</v>
      </c>
      <c r="M37" s="475">
        <f>SUMIF('Monthly Detail'!$4:$4, '2025 Overview'!M$11, 'Monthly Detail'!87:87)</f>
        <v>-1205.4693743979162</v>
      </c>
      <c r="N37" s="475">
        <f>SUMIF('Monthly Detail'!$4:$4, '2025 Overview'!N$11, 'Monthly Detail'!87:87)</f>
        <v>-1285.7318689203832</v>
      </c>
      <c r="P37" s="97"/>
    </row>
    <row r="38" spans="2:16" ht="15" thickBot="1" x14ac:dyDescent="0.35">
      <c r="B38" s="323" t="s">
        <v>269</v>
      </c>
      <c r="C38" s="474">
        <f>SUMIF('Monthly Detail'!$4:$4, '2025 Overview'!C$11, 'Monthly Detail'!132:132)</f>
        <v>-2756.2035954622688</v>
      </c>
      <c r="D38" s="475">
        <f>SUMIF('Monthly Detail'!$4:$4, '2025 Overview'!D$11, 'Monthly Detail'!132:132)</f>
        <v>-3241.9427439198439</v>
      </c>
      <c r="E38" s="475">
        <f>SUMIF('Monthly Detail'!$4:$4, '2025 Overview'!E$11, 'Monthly Detail'!132:132)</f>
        <v>-2368.1161202279195</v>
      </c>
      <c r="F38" s="475">
        <f>SUMIF('Monthly Detail'!$4:$4, '2025 Overview'!F$11, 'Monthly Detail'!132:132)</f>
        <v>-1972.9525261407805</v>
      </c>
      <c r="G38" s="475">
        <f>SUMIF('Monthly Detail'!$4:$4, '2025 Overview'!G$11, 'Monthly Detail'!132:132)</f>
        <v>-3631.0534582094829</v>
      </c>
      <c r="H38" s="475">
        <f>SUMIF('Monthly Detail'!$4:$4, '2025 Overview'!H$11, 'Monthly Detail'!132:132)</f>
        <v>-12191.569767017303</v>
      </c>
      <c r="I38" s="475">
        <f>SUMIF('Monthly Detail'!$4:$4, '2025 Overview'!I$11, 'Monthly Detail'!132:132)</f>
        <v>-12489.888507805175</v>
      </c>
      <c r="J38" s="475">
        <f>SUMIF('Monthly Detail'!$4:$4, '2025 Overview'!J$11, 'Monthly Detail'!132:132)</f>
        <v>-3609.5119773043011</v>
      </c>
      <c r="K38" s="475">
        <f>SUMIF('Monthly Detail'!$4:$4, '2025 Overview'!K$11, 'Monthly Detail'!132:132)</f>
        <v>-4283.0344118319208</v>
      </c>
      <c r="L38" s="475">
        <f>SUMIF('Monthly Detail'!$4:$4, '2025 Overview'!L$11, 'Monthly Detail'!132:132)</f>
        <v>-4188.9567446881028</v>
      </c>
      <c r="M38" s="475">
        <f>SUMIF('Monthly Detail'!$4:$4, '2025 Overview'!M$11, 'Monthly Detail'!132:132)</f>
        <v>-3452.506499179698</v>
      </c>
      <c r="N38" s="475">
        <f>SUMIF('Monthly Detail'!$4:$4, '2025 Overview'!N$11, 'Monthly Detail'!132:132)</f>
        <v>-4502.0126663053788</v>
      </c>
      <c r="P38" s="97"/>
    </row>
    <row r="39" spans="2:16" ht="15" thickBot="1" x14ac:dyDescent="0.35">
      <c r="B39" s="323" t="s">
        <v>265</v>
      </c>
      <c r="C39" s="472">
        <f>+C34+SUM('Monthly Detail'!AG87:AR87)</f>
        <v>-20742.832306526641</v>
      </c>
      <c r="D39" s="476">
        <f>+D34+SUM('Monthly Detail'!AH87:AS87)</f>
        <v>-22935.091570559285</v>
      </c>
      <c r="E39" s="476">
        <f>+E34+SUM('Monthly Detail'!AI87:AT87)</f>
        <v>-25176.334337227825</v>
      </c>
      <c r="F39" s="476">
        <f>+F34+SUM('Monthly Detail'!AJ87:AU87)</f>
        <v>-25546.060987256002</v>
      </c>
      <c r="G39" s="476">
        <f>+G34+SUM('Monthly Detail'!AK87:AV87)</f>
        <v>-27666.93282504522</v>
      </c>
      <c r="H39" s="476">
        <f>+H34+SUM('Monthly Detail'!AL87:AW87)</f>
        <v>-29186.438644614856</v>
      </c>
      <c r="I39" s="476">
        <f>+I34+SUM('Monthly Detail'!AM87:AX87)</f>
        <v>-30376.037897560709</v>
      </c>
      <c r="J39" s="476">
        <f>+J34+SUM('Monthly Detail'!AN87:AY87)</f>
        <v>-32170.533384074373</v>
      </c>
      <c r="K39" s="476">
        <f>+K34+SUM('Monthly Detail'!AO87:AZ87)</f>
        <v>-34215.303512101047</v>
      </c>
      <c r="L39" s="476">
        <f>+L34+SUM('Monthly Detail'!AP87:BA87)</f>
        <v>-36269.187695880435</v>
      </c>
      <c r="M39" s="476">
        <f>+M34+SUM('Monthly Detail'!AQ87:BB87)</f>
        <v>-38359.162222013802</v>
      </c>
      <c r="N39" s="476">
        <f>+N34+SUM('Monthly Detail'!AR87:BC87)</f>
        <v>-40411.030834276396</v>
      </c>
      <c r="P39" s="97"/>
    </row>
    <row r="40" spans="2:16" x14ac:dyDescent="0.3">
      <c r="B40" s="323" t="s">
        <v>271</v>
      </c>
      <c r="C40" s="476">
        <f>+C35+SUM('Monthly Detail'!AG132:AR132)</f>
        <v>-56406.529882593895</v>
      </c>
      <c r="D40" s="476">
        <f>+D35+SUM('Monthly Detail'!AH132:AS132)</f>
        <v>-54651.276966520913</v>
      </c>
      <c r="E40" s="476">
        <f>+E35+SUM('Monthly Detail'!AI132:AT132)</f>
        <v>-52907.859814753989</v>
      </c>
      <c r="F40" s="476">
        <f>+F35+SUM('Monthly Detail'!AJ132:AU132)</f>
        <v>-52870.176822658119</v>
      </c>
      <c r="G40" s="476">
        <f>+G35+SUM('Monthly Detail'!AK132:AV132)</f>
        <v>-50620.418200778935</v>
      </c>
      <c r="H40" s="476">
        <f>+H35+SUM('Monthly Detail'!AL132:AW132)</f>
        <v>-47730.373550102078</v>
      </c>
      <c r="I40" s="476">
        <f>+I35+SUM('Monthly Detail'!AM132:AX132)</f>
        <v>-43793.014653561186</v>
      </c>
      <c r="J40" s="476">
        <f>+J35+SUM('Monthly Detail'!AN132:AY132)</f>
        <v>-40309.033654706225</v>
      </c>
      <c r="K40" s="476">
        <f>+K35+SUM('Monthly Detail'!AO132:AZ132)</f>
        <v>-37790.288326491638</v>
      </c>
      <c r="L40" s="476">
        <f>+L35+SUM('Monthly Detail'!AP132:BA132)</f>
        <v>-35368.983288935648</v>
      </c>
      <c r="M40" s="476">
        <f>+M35+SUM('Monthly Detail'!AQ132:BB132)</f>
        <v>-33102.637489910499</v>
      </c>
      <c r="N40" s="476">
        <f>+N35+SUM('Monthly Detail'!AR132:BC132)</f>
        <v>-30474.444380508372</v>
      </c>
      <c r="P40" s="97"/>
    </row>
    <row r="41" spans="2:16" ht="15" thickBot="1" x14ac:dyDescent="0.35">
      <c r="B41" s="323" t="s">
        <v>267</v>
      </c>
      <c r="C41" s="455">
        <f>+C34/-C37</f>
        <v>0.4838219923165108</v>
      </c>
      <c r="D41" s="455">
        <f>+D34/-D37</f>
        <v>0.87948381650256224</v>
      </c>
      <c r="E41" s="455">
        <f>+E34/-E37</f>
        <v>1.2093065031708963</v>
      </c>
      <c r="F41" s="455">
        <f t="shared" ref="F41:N41" si="9">+F34/-F37</f>
        <v>0.47540487761946998</v>
      </c>
      <c r="G41" s="455">
        <f t="shared" si="9"/>
        <v>1.6810565108882471</v>
      </c>
      <c r="H41" s="455">
        <f t="shared" si="9"/>
        <v>1.7435837112762991</v>
      </c>
      <c r="I41" s="455">
        <f t="shared" si="9"/>
        <v>2.3359486403579948</v>
      </c>
      <c r="J41" s="455">
        <f t="shared" si="9"/>
        <v>4.2363252289830378</v>
      </c>
      <c r="K41" s="455">
        <f t="shared" si="9"/>
        <v>4.8774374039201494</v>
      </c>
      <c r="L41" s="455">
        <f t="shared" si="9"/>
        <v>4.727727618890877</v>
      </c>
      <c r="M41" s="455">
        <f t="shared" si="9"/>
        <v>6.0046844521947866</v>
      </c>
      <c r="N41" s="455">
        <f t="shared" si="9"/>
        <v>6.0494589544836588</v>
      </c>
      <c r="P41" s="97"/>
    </row>
    <row r="42" spans="2:16" x14ac:dyDescent="0.3">
      <c r="B42" s="323" t="s">
        <v>268</v>
      </c>
      <c r="C42" s="414">
        <f>+IFERROR(C35/-C38, 0)</f>
        <v>0.77527081833702582</v>
      </c>
      <c r="D42" s="455">
        <f>+IFERROR(D35/-D38, 0)</f>
        <v>1.0786691683909104</v>
      </c>
      <c r="E42" s="455">
        <f>+IFERROR(E35/-E38, 0)</f>
        <v>1.9413608876983499</v>
      </c>
      <c r="F42" s="455">
        <f t="shared" ref="F42:N42" si="10">+IFERROR(F35/-F38, 0)</f>
        <v>2.699991243277712</v>
      </c>
      <c r="G42" s="455">
        <f t="shared" si="10"/>
        <v>1.8897667061593248</v>
      </c>
      <c r="H42" s="455">
        <f t="shared" si="10"/>
        <v>0.90201074799647585</v>
      </c>
      <c r="I42" s="455">
        <f t="shared" si="10"/>
        <v>1.3028103701841418</v>
      </c>
      <c r="J42" s="455">
        <f t="shared" si="10"/>
        <v>5.2418999758091696</v>
      </c>
      <c r="K42" s="455">
        <f t="shared" si="10"/>
        <v>4.8420828503389499</v>
      </c>
      <c r="L42" s="455">
        <f t="shared" si="10"/>
        <v>5.377877045568801</v>
      </c>
      <c r="M42" s="455">
        <f t="shared" si="10"/>
        <v>6.988606887743706</v>
      </c>
      <c r="N42" s="455">
        <f t="shared" si="10"/>
        <v>5.7588925546704424</v>
      </c>
      <c r="P42" s="97"/>
    </row>
    <row r="43" spans="2:16" x14ac:dyDescent="0.3">
      <c r="B43" s="96"/>
      <c r="E43" s="9"/>
      <c r="P43" s="97"/>
    </row>
    <row r="44" spans="2:16" x14ac:dyDescent="0.3">
      <c r="B44" s="96"/>
      <c r="P44" s="97"/>
    </row>
    <row r="45" spans="2:16" x14ac:dyDescent="0.3">
      <c r="B45" s="96"/>
      <c r="P45" s="97"/>
    </row>
    <row r="46" spans="2:16" x14ac:dyDescent="0.3">
      <c r="B46" s="96"/>
      <c r="P46" s="97"/>
    </row>
    <row r="47" spans="2:16" x14ac:dyDescent="0.3">
      <c r="B47" s="96"/>
      <c r="P47" s="97"/>
    </row>
    <row r="48" spans="2:16" x14ac:dyDescent="0.3">
      <c r="B48" s="96"/>
      <c r="P48" s="97"/>
    </row>
    <row r="49" spans="2:16" x14ac:dyDescent="0.3">
      <c r="B49" s="96"/>
      <c r="P49" s="97"/>
    </row>
    <row r="50" spans="2:16" x14ac:dyDescent="0.3">
      <c r="B50" s="96"/>
      <c r="P50" s="97"/>
    </row>
    <row r="51" spans="2:16" x14ac:dyDescent="0.3">
      <c r="B51" s="96"/>
      <c r="P51" s="97"/>
    </row>
    <row r="52" spans="2:16" x14ac:dyDescent="0.3">
      <c r="B52" s="96"/>
      <c r="P52" s="97"/>
    </row>
    <row r="53" spans="2:16" x14ac:dyDescent="0.3">
      <c r="B53" s="96"/>
      <c r="P53" s="97"/>
    </row>
    <row r="54" spans="2:16" x14ac:dyDescent="0.3">
      <c r="B54" s="96"/>
      <c r="P54" s="97"/>
    </row>
    <row r="55" spans="2:16" x14ac:dyDescent="0.3">
      <c r="B55" s="96"/>
      <c r="P55" s="97"/>
    </row>
    <row r="56" spans="2:16" x14ac:dyDescent="0.3">
      <c r="B56" s="96"/>
      <c r="P56" s="97"/>
    </row>
    <row r="57" spans="2:16" x14ac:dyDescent="0.3">
      <c r="B57" s="96"/>
      <c r="P57" s="97"/>
    </row>
    <row r="58" spans="2:16" ht="15" thickBot="1" x14ac:dyDescent="0.35">
      <c r="B58" s="96"/>
      <c r="O58" s="109"/>
      <c r="P58" s="97"/>
    </row>
    <row r="59" spans="2:16" x14ac:dyDescent="0.3">
      <c r="B59" s="96"/>
      <c r="P59" s="97"/>
    </row>
    <row r="60" spans="2:16" ht="99.75" customHeight="1" thickBot="1" x14ac:dyDescent="0.35">
      <c r="B60" s="107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10"/>
    </row>
  </sheetData>
  <mergeCells count="1">
    <mergeCell ref="B7:P9"/>
  </mergeCells>
  <conditionalFormatting sqref="D38:N38">
    <cfRule type="cellIs" dxfId="3" priority="1" operator="greaterThan">
      <formula>0</formula>
    </cfRule>
  </conditionalFormatting>
  <pageMargins left="0.25" right="0.25" top="0.75" bottom="0.75" header="0.3" footer="0.3"/>
  <pageSetup scale="45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43E5-76B9-42A7-A63E-0F2A89FCA530}">
  <sheetPr>
    <tabColor theme="1"/>
    <pageSetUpPr fitToPage="1"/>
  </sheetPr>
  <dimension ref="B6:T60"/>
  <sheetViews>
    <sheetView showGridLines="0" topLeftCell="A30" zoomScale="66" zoomScaleNormal="100" workbookViewId="0">
      <selection activeCell="B1" sqref="B1:P60"/>
    </sheetView>
  </sheetViews>
  <sheetFormatPr defaultRowHeight="14.4" x14ac:dyDescent="0.3"/>
  <cols>
    <col min="2" max="2" width="52.5546875" bestFit="1" customWidth="1"/>
    <col min="3" max="3" width="14" bestFit="1" customWidth="1"/>
    <col min="4" max="14" width="18.5546875" bestFit="1" customWidth="1"/>
    <col min="15" max="15" width="0.88671875" customWidth="1"/>
    <col min="16" max="16" width="13.5546875" bestFit="1" customWidth="1"/>
    <col min="17" max="17" width="11.5546875" bestFit="1" customWidth="1"/>
  </cols>
  <sheetData>
    <row r="6" spans="2:16" ht="15" thickBot="1" x14ac:dyDescent="0.35"/>
    <row r="7" spans="2:16" ht="15" customHeight="1" x14ac:dyDescent="0.3">
      <c r="B7" s="645" t="s">
        <v>362</v>
      </c>
      <c r="C7" s="646"/>
      <c r="D7" s="646"/>
      <c r="E7" s="646"/>
      <c r="F7" s="646"/>
      <c r="G7" s="646"/>
      <c r="H7" s="646"/>
      <c r="I7" s="646"/>
      <c r="J7" s="646"/>
      <c r="K7" s="646"/>
      <c r="L7" s="646"/>
      <c r="M7" s="646"/>
      <c r="N7" s="646"/>
      <c r="O7" s="646"/>
      <c r="P7" s="647"/>
    </row>
    <row r="8" spans="2:16" ht="15" customHeight="1" x14ac:dyDescent="0.3">
      <c r="B8" s="648"/>
      <c r="C8" s="649"/>
      <c r="D8" s="649"/>
      <c r="E8" s="649"/>
      <c r="F8" s="649"/>
      <c r="G8" s="649"/>
      <c r="H8" s="649"/>
      <c r="I8" s="649"/>
      <c r="J8" s="649"/>
      <c r="K8" s="649"/>
      <c r="L8" s="649"/>
      <c r="M8" s="649"/>
      <c r="N8" s="649"/>
      <c r="O8" s="649"/>
      <c r="P8" s="650"/>
    </row>
    <row r="9" spans="2:16" x14ac:dyDescent="0.3">
      <c r="B9" s="648"/>
      <c r="C9" s="649"/>
      <c r="D9" s="649"/>
      <c r="E9" s="649"/>
      <c r="F9" s="649"/>
      <c r="G9" s="649"/>
      <c r="H9" s="649"/>
      <c r="I9" s="649"/>
      <c r="J9" s="649"/>
      <c r="K9" s="649"/>
      <c r="L9" s="649"/>
      <c r="M9" s="649"/>
      <c r="N9" s="649"/>
      <c r="O9" s="649"/>
      <c r="P9" s="650"/>
    </row>
    <row r="10" spans="2:16" ht="15.6" x14ac:dyDescent="0.3">
      <c r="B10" s="305"/>
      <c r="C10" s="69" t="s">
        <v>326</v>
      </c>
      <c r="D10" s="69" t="s">
        <v>327</v>
      </c>
      <c r="E10" s="69" t="s">
        <v>328</v>
      </c>
      <c r="F10" s="69" t="s">
        <v>329</v>
      </c>
      <c r="G10" s="69" t="s">
        <v>330</v>
      </c>
      <c r="H10" s="69" t="s">
        <v>331</v>
      </c>
      <c r="I10" s="69" t="s">
        <v>332</v>
      </c>
      <c r="J10" s="69" t="s">
        <v>333</v>
      </c>
      <c r="K10" s="69" t="s">
        <v>334</v>
      </c>
      <c r="L10" s="69" t="s">
        <v>335</v>
      </c>
      <c r="M10" s="69" t="s">
        <v>336</v>
      </c>
      <c r="N10" s="593" t="s">
        <v>337</v>
      </c>
      <c r="O10" s="70"/>
      <c r="P10" s="599" t="s">
        <v>0</v>
      </c>
    </row>
    <row r="11" spans="2:16" x14ac:dyDescent="0.3">
      <c r="B11" s="306"/>
      <c r="C11" s="91">
        <v>45688</v>
      </c>
      <c r="D11" s="91">
        <v>45716</v>
      </c>
      <c r="E11" s="91">
        <v>45747</v>
      </c>
      <c r="F11" s="91">
        <v>45777</v>
      </c>
      <c r="G11" s="91">
        <v>45808</v>
      </c>
      <c r="H11" s="91">
        <v>45838</v>
      </c>
      <c r="I11" s="91">
        <v>45869</v>
      </c>
      <c r="J11" s="91">
        <v>45900</v>
      </c>
      <c r="K11" s="91">
        <v>45930</v>
      </c>
      <c r="L11" s="91">
        <v>45961</v>
      </c>
      <c r="M11" s="91">
        <v>45991</v>
      </c>
      <c r="N11" s="594">
        <v>46022</v>
      </c>
      <c r="O11" s="91">
        <v>45322</v>
      </c>
      <c r="P11" s="600"/>
    </row>
    <row r="12" spans="2:16" x14ac:dyDescent="0.3">
      <c r="B12" s="307" t="s">
        <v>339</v>
      </c>
      <c r="C12" s="73">
        <v>7074.9</v>
      </c>
      <c r="D12" s="73">
        <v>7319.4400000000005</v>
      </c>
      <c r="E12" s="73">
        <v>5898.6639999999998</v>
      </c>
      <c r="F12" s="73">
        <v>7591.1983999999993</v>
      </c>
      <c r="G12" s="73">
        <v>7871.719039999999</v>
      </c>
      <c r="H12" s="73">
        <v>24430.031424000001</v>
      </c>
      <c r="I12" s="73">
        <v>25598.018854400001</v>
      </c>
      <c r="J12" s="73">
        <v>8822.8113126399985</v>
      </c>
      <c r="K12" s="73">
        <v>9083.1867875839998</v>
      </c>
      <c r="L12" s="73">
        <v>9176.9120725503999</v>
      </c>
      <c r="M12" s="73">
        <v>7335.6472435302385</v>
      </c>
      <c r="N12" s="308">
        <v>9328.3883461181431</v>
      </c>
      <c r="O12" s="73"/>
      <c r="P12" s="601">
        <v>129530.91748082278</v>
      </c>
    </row>
    <row r="13" spans="2:16" x14ac:dyDescent="0.3">
      <c r="B13" s="307" t="s">
        <v>160</v>
      </c>
      <c r="C13" s="73">
        <v>0</v>
      </c>
      <c r="D13" s="73">
        <v>0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0</v>
      </c>
      <c r="K13" s="73">
        <v>0</v>
      </c>
      <c r="L13" s="73">
        <v>0</v>
      </c>
      <c r="M13" s="73">
        <v>0</v>
      </c>
      <c r="N13" s="308">
        <v>0</v>
      </c>
      <c r="O13" s="73"/>
      <c r="P13" s="601"/>
    </row>
    <row r="14" spans="2:16" x14ac:dyDescent="0.3">
      <c r="B14" s="309" t="s">
        <v>2</v>
      </c>
      <c r="C14" s="74">
        <v>7074.9</v>
      </c>
      <c r="D14" s="74">
        <v>7319.4400000000005</v>
      </c>
      <c r="E14" s="74">
        <v>5898.6639999999998</v>
      </c>
      <c r="F14" s="74">
        <v>7591.1983999999993</v>
      </c>
      <c r="G14" s="74">
        <v>7871.719039999999</v>
      </c>
      <c r="H14" s="74">
        <v>24430.031424000001</v>
      </c>
      <c r="I14" s="74">
        <v>25598.018854400001</v>
      </c>
      <c r="J14" s="74">
        <v>8822.8113126399985</v>
      </c>
      <c r="K14" s="74">
        <v>9083.1867875839998</v>
      </c>
      <c r="L14" s="74">
        <v>9176.9120725503999</v>
      </c>
      <c r="M14" s="74">
        <v>7335.6472435302385</v>
      </c>
      <c r="N14" s="310">
        <v>9328.3883461181431</v>
      </c>
      <c r="O14" s="75"/>
      <c r="P14" s="602">
        <v>129530.91748082278</v>
      </c>
    </row>
    <row r="15" spans="2:16" x14ac:dyDescent="0.3">
      <c r="B15" s="425" t="s">
        <v>312</v>
      </c>
      <c r="C15" s="269">
        <v>47.826000000000001</v>
      </c>
      <c r="D15" s="269">
        <v>48.015599999999999</v>
      </c>
      <c r="E15" s="269">
        <v>30.878159999999994</v>
      </c>
      <c r="F15" s="269">
        <v>48.935615999999996</v>
      </c>
      <c r="G15" s="269">
        <v>51.64136959999999</v>
      </c>
      <c r="H15" s="269">
        <v>171.10482176000002</v>
      </c>
      <c r="I15" s="269">
        <v>180.262893056</v>
      </c>
      <c r="J15" s="269">
        <v>83.0319497216</v>
      </c>
      <c r="K15" s="269">
        <v>60.184641500159998</v>
      </c>
      <c r="L15" s="269">
        <v>59.810784900096003</v>
      </c>
      <c r="M15" s="269">
        <v>37.674901139865604</v>
      </c>
      <c r="N15" s="595">
        <v>60.777882564034563</v>
      </c>
      <c r="O15" s="75"/>
      <c r="P15" s="603">
        <v>880.14462024175612</v>
      </c>
    </row>
    <row r="16" spans="2:16" x14ac:dyDescent="0.3">
      <c r="B16" s="423" t="s">
        <v>305</v>
      </c>
      <c r="C16" s="268">
        <v>3894.7009409108009</v>
      </c>
      <c r="D16" s="239">
        <v>4237.3105780621299</v>
      </c>
      <c r="E16" s="239">
        <v>5478.3820695637305</v>
      </c>
      <c r="F16" s="239">
        <v>4530.7486842843291</v>
      </c>
      <c r="G16" s="239">
        <v>4652.8047238311729</v>
      </c>
      <c r="H16" s="239">
        <v>4471.0216985538955</v>
      </c>
      <c r="I16" s="239">
        <v>4656.1175920581391</v>
      </c>
      <c r="J16" s="239">
        <v>3684.3066844664409</v>
      </c>
      <c r="K16" s="239">
        <v>5403.6000856721967</v>
      </c>
      <c r="L16" s="239">
        <v>5597.5751169853211</v>
      </c>
      <c r="M16" s="239">
        <v>7182.7054957659002</v>
      </c>
      <c r="N16" s="596">
        <v>5699.3937887671327</v>
      </c>
      <c r="O16" s="75"/>
      <c r="P16" s="604">
        <v>4957.3889549100995</v>
      </c>
    </row>
    <row r="17" spans="2:20" x14ac:dyDescent="0.3">
      <c r="B17" s="309" t="s">
        <v>313</v>
      </c>
      <c r="C17" s="426">
        <v>19.05</v>
      </c>
      <c r="D17" s="426">
        <v>18.900000000000002</v>
      </c>
      <c r="E17" s="426">
        <v>0</v>
      </c>
      <c r="F17" s="426">
        <v>19.200000000000003</v>
      </c>
      <c r="G17" s="426">
        <v>19.8</v>
      </c>
      <c r="H17" s="426">
        <v>139</v>
      </c>
      <c r="I17" s="426">
        <v>145.99999999999997</v>
      </c>
      <c r="J17" s="426">
        <v>22.5</v>
      </c>
      <c r="K17" s="426">
        <v>23.25</v>
      </c>
      <c r="L17" s="426">
        <v>22.950000000000003</v>
      </c>
      <c r="M17" s="426">
        <v>0</v>
      </c>
      <c r="N17" s="597">
        <v>23.400000000000002</v>
      </c>
      <c r="P17" s="605">
        <v>454.0499999999999</v>
      </c>
      <c r="Q17" s="9"/>
    </row>
    <row r="18" spans="2:20" x14ac:dyDescent="0.3">
      <c r="B18" s="30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311"/>
      <c r="O18" s="7"/>
      <c r="P18" s="606"/>
    </row>
    <row r="19" spans="2:20" x14ac:dyDescent="0.3">
      <c r="B19" s="306" t="s">
        <v>324</v>
      </c>
      <c r="C19" s="73">
        <v>149.99700000000013</v>
      </c>
      <c r="D19" s="73">
        <v>0</v>
      </c>
      <c r="E19" s="73">
        <v>0</v>
      </c>
      <c r="F19" s="73">
        <v>114.87532800000004</v>
      </c>
      <c r="G19" s="73">
        <v>204.16519679999971</v>
      </c>
      <c r="H19" s="73">
        <v>3889.8018854400016</v>
      </c>
      <c r="I19" s="73">
        <v>4448.6754708480003</v>
      </c>
      <c r="J19" s="73">
        <v>1115.5064162304002</v>
      </c>
      <c r="K19" s="73">
        <v>486.09316950528</v>
      </c>
      <c r="L19" s="73">
        <v>563.47207905331243</v>
      </c>
      <c r="M19" s="73">
        <v>0</v>
      </c>
      <c r="N19" s="308">
        <v>414.50330076708889</v>
      </c>
      <c r="P19" s="601">
        <v>11387.089846644083</v>
      </c>
    </row>
    <row r="20" spans="2:20" ht="15.6" x14ac:dyDescent="0.3">
      <c r="B20" s="312" t="s">
        <v>151</v>
      </c>
      <c r="C20" s="88">
        <v>6924.9029999999993</v>
      </c>
      <c r="D20" s="88">
        <v>7319.4400000000005</v>
      </c>
      <c r="E20" s="88">
        <v>5898.6639999999998</v>
      </c>
      <c r="F20" s="88">
        <v>7476.3230719999992</v>
      </c>
      <c r="G20" s="88">
        <v>7667.5538431999994</v>
      </c>
      <c r="H20" s="88">
        <v>20540.229538560001</v>
      </c>
      <c r="I20" s="88">
        <v>21149.343383552001</v>
      </c>
      <c r="J20" s="88">
        <v>7707.3048964095979</v>
      </c>
      <c r="K20" s="88">
        <v>8597.0936180787194</v>
      </c>
      <c r="L20" s="88">
        <v>8613.4399934970879</v>
      </c>
      <c r="M20" s="88">
        <v>7335.6472435302385</v>
      </c>
      <c r="N20" s="314">
        <v>8913.8850453510549</v>
      </c>
      <c r="P20" s="607">
        <v>118143.8276341787</v>
      </c>
    </row>
    <row r="21" spans="2:20" x14ac:dyDescent="0.3">
      <c r="B21" s="315" t="s">
        <v>152</v>
      </c>
      <c r="C21" s="90">
        <v>0.97879871093584359</v>
      </c>
      <c r="D21" s="90">
        <v>1</v>
      </c>
      <c r="E21" s="90">
        <v>1</v>
      </c>
      <c r="F21" s="90">
        <v>0.98486730000364631</v>
      </c>
      <c r="G21" s="90">
        <v>0.9740634547850936</v>
      </c>
      <c r="H21" s="90">
        <v>0.84077785992454068</v>
      </c>
      <c r="I21" s="90">
        <v>0.82621016508536071</v>
      </c>
      <c r="J21" s="90">
        <v>0.87356564968897488</v>
      </c>
      <c r="K21" s="90">
        <v>0.94648429225635533</v>
      </c>
      <c r="L21" s="90">
        <v>0.93859894541882494</v>
      </c>
      <c r="M21" s="90">
        <v>1</v>
      </c>
      <c r="N21" s="316">
        <v>0.95556538971283533</v>
      </c>
      <c r="P21" s="608">
        <v>0.91208979239778831</v>
      </c>
      <c r="T21" s="1"/>
    </row>
    <row r="22" spans="2:20" x14ac:dyDescent="0.3">
      <c r="B22" s="306"/>
      <c r="N22" s="97"/>
      <c r="O22" s="318"/>
      <c r="P22" s="600"/>
    </row>
    <row r="23" spans="2:20" x14ac:dyDescent="0.3">
      <c r="B23" s="306" t="s">
        <v>315</v>
      </c>
      <c r="C23" s="73">
        <v>600</v>
      </c>
      <c r="D23" s="73">
        <v>600</v>
      </c>
      <c r="E23" s="73">
        <v>600</v>
      </c>
      <c r="F23" s="73">
        <v>600</v>
      </c>
      <c r="G23" s="73">
        <v>600</v>
      </c>
      <c r="H23" s="73">
        <v>600</v>
      </c>
      <c r="I23" s="73">
        <v>600</v>
      </c>
      <c r="J23" s="73">
        <v>600</v>
      </c>
      <c r="K23" s="73">
        <v>600</v>
      </c>
      <c r="L23" s="73">
        <v>600</v>
      </c>
      <c r="M23" s="73">
        <v>600</v>
      </c>
      <c r="N23" s="308">
        <v>600</v>
      </c>
      <c r="P23" s="601">
        <v>7200</v>
      </c>
    </row>
    <row r="24" spans="2:20" x14ac:dyDescent="0.3">
      <c r="B24" s="306" t="s">
        <v>190</v>
      </c>
      <c r="C24" s="73">
        <v>1314.5591862767037</v>
      </c>
      <c r="D24" s="73">
        <v>1170.9494041495743</v>
      </c>
      <c r="E24" s="73">
        <v>1133.8222748924159</v>
      </c>
      <c r="F24" s="73">
        <v>3328.0508819641759</v>
      </c>
      <c r="G24" s="73">
        <v>1185.3813310008859</v>
      </c>
      <c r="H24" s="73">
        <v>1618.07628373177</v>
      </c>
      <c r="I24" s="73">
        <v>1798.5976469158306</v>
      </c>
      <c r="J24" s="73">
        <v>1285.2348798655837</v>
      </c>
      <c r="K24" s="73">
        <v>1217.0389038029532</v>
      </c>
      <c r="L24" s="73">
        <v>1369.4880940832024</v>
      </c>
      <c r="M24" s="73">
        <v>1171.3729251166017</v>
      </c>
      <c r="N24" s="308">
        <v>1223.4464092490994</v>
      </c>
      <c r="P24" s="601">
        <v>17816.018221048798</v>
      </c>
    </row>
    <row r="25" spans="2:20" ht="15.6" x14ac:dyDescent="0.3">
      <c r="B25" s="317" t="s">
        <v>153</v>
      </c>
      <c r="C25" s="79">
        <v>1914.5591862767037</v>
      </c>
      <c r="D25" s="79">
        <v>1770.9494041495743</v>
      </c>
      <c r="E25" s="79">
        <v>1733.8222748924159</v>
      </c>
      <c r="F25" s="79">
        <v>3928.0508819641759</v>
      </c>
      <c r="G25" s="79">
        <v>1785.3813310008859</v>
      </c>
      <c r="H25" s="79">
        <v>2218.0762837317698</v>
      </c>
      <c r="I25" s="79">
        <v>2398.5976469158304</v>
      </c>
      <c r="J25" s="79">
        <v>1885.2348798655837</v>
      </c>
      <c r="K25" s="79">
        <v>1817.0389038029532</v>
      </c>
      <c r="L25" s="79">
        <v>1969.4880940832024</v>
      </c>
      <c r="M25" s="79">
        <v>1771.3729251166017</v>
      </c>
      <c r="N25" s="319">
        <v>1823.4464092490994</v>
      </c>
      <c r="O25" s="313"/>
      <c r="P25" s="609">
        <v>25016.018221048798</v>
      </c>
    </row>
    <row r="26" spans="2:20" x14ac:dyDescent="0.3">
      <c r="B26" s="306"/>
      <c r="N26" s="97"/>
      <c r="O26" s="7"/>
      <c r="P26" s="600"/>
    </row>
    <row r="27" spans="2:20" ht="15.6" x14ac:dyDescent="0.3">
      <c r="B27" s="312" t="s">
        <v>154</v>
      </c>
      <c r="C27" s="88">
        <v>5010.3438137232952</v>
      </c>
      <c r="D27" s="88">
        <v>5548.490595850426</v>
      </c>
      <c r="E27" s="88">
        <v>4164.8417251075844</v>
      </c>
      <c r="F27" s="88">
        <v>3548.2721900358233</v>
      </c>
      <c r="G27" s="88">
        <v>5882.172512199113</v>
      </c>
      <c r="H27" s="88">
        <v>18322.15325482823</v>
      </c>
      <c r="I27" s="88">
        <v>18750.74573663617</v>
      </c>
      <c r="J27" s="88">
        <v>5822.0700165440139</v>
      </c>
      <c r="K27" s="88">
        <v>6780.0547142757659</v>
      </c>
      <c r="L27" s="88">
        <v>6643.9518994138853</v>
      </c>
      <c r="M27" s="88">
        <v>5564.274318413637</v>
      </c>
      <c r="N27" s="314">
        <v>7090.4386361019551</v>
      </c>
      <c r="P27" s="607">
        <v>93127.8094131299</v>
      </c>
    </row>
    <row r="28" spans="2:20" x14ac:dyDescent="0.3">
      <c r="B28" s="315" t="s">
        <v>155</v>
      </c>
      <c r="C28" s="90">
        <v>0.70818581375331036</v>
      </c>
      <c r="D28" s="90">
        <v>0.75804851134108975</v>
      </c>
      <c r="E28" s="90">
        <v>0.70606525903282247</v>
      </c>
      <c r="F28" s="90">
        <v>0.46741924042399202</v>
      </c>
      <c r="G28" s="90">
        <v>0.74725386949266848</v>
      </c>
      <c r="H28" s="90">
        <v>0.74998484188721071</v>
      </c>
      <c r="I28" s="90">
        <v>0.7325076930089508</v>
      </c>
      <c r="J28" s="90">
        <v>0.65988830659939723</v>
      </c>
      <c r="K28" s="90">
        <v>0.74644008461254663</v>
      </c>
      <c r="L28" s="90">
        <v>0.72398556800898195</v>
      </c>
      <c r="M28" s="90">
        <v>0.75852533984933845</v>
      </c>
      <c r="N28" s="316">
        <v>0.76009256615613841</v>
      </c>
      <c r="O28" s="132"/>
      <c r="P28" s="608">
        <v>0.71896201481717747</v>
      </c>
    </row>
    <row r="29" spans="2:20" ht="15.6" x14ac:dyDescent="0.3">
      <c r="B29" s="320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321"/>
      <c r="O29" s="313"/>
      <c r="P29" s="610"/>
    </row>
    <row r="30" spans="2:20" x14ac:dyDescent="0.3">
      <c r="B30" s="306" t="s">
        <v>156</v>
      </c>
      <c r="C30" s="132">
        <v>0</v>
      </c>
      <c r="D30" s="132">
        <v>0</v>
      </c>
      <c r="E30" s="132">
        <v>0</v>
      </c>
      <c r="F30" s="132">
        <v>0</v>
      </c>
      <c r="G30" s="132">
        <v>0</v>
      </c>
      <c r="H30" s="132">
        <v>0</v>
      </c>
      <c r="I30" s="132">
        <v>0</v>
      </c>
      <c r="J30" s="132">
        <v>0</v>
      </c>
      <c r="K30" s="132">
        <v>0</v>
      </c>
      <c r="L30" s="132">
        <v>0</v>
      </c>
      <c r="M30" s="132">
        <v>0</v>
      </c>
      <c r="N30" s="598">
        <v>0</v>
      </c>
      <c r="O30" s="7"/>
      <c r="P30" s="611">
        <v>0</v>
      </c>
    </row>
    <row r="31" spans="2:20" ht="15.6" x14ac:dyDescent="0.3">
      <c r="B31" s="312" t="s">
        <v>11</v>
      </c>
      <c r="C31" s="88">
        <v>5010.3438137232952</v>
      </c>
      <c r="D31" s="88">
        <v>5548.490595850426</v>
      </c>
      <c r="E31" s="88">
        <v>4164.8417251075844</v>
      </c>
      <c r="F31" s="88">
        <v>3548.2721900358233</v>
      </c>
      <c r="G31" s="88">
        <v>5882.172512199113</v>
      </c>
      <c r="H31" s="88">
        <v>18322.15325482823</v>
      </c>
      <c r="I31" s="88">
        <v>18750.74573663617</v>
      </c>
      <c r="J31" s="88">
        <v>5822.0700165440139</v>
      </c>
      <c r="K31" s="88">
        <v>6780.0547142757659</v>
      </c>
      <c r="L31" s="88">
        <v>6643.9518994138853</v>
      </c>
      <c r="M31" s="88">
        <v>5564.274318413637</v>
      </c>
      <c r="N31" s="314">
        <v>7090.4386361019551</v>
      </c>
      <c r="P31" s="607">
        <v>93127.8094131299</v>
      </c>
    </row>
    <row r="32" spans="2:20" x14ac:dyDescent="0.3">
      <c r="B32" s="315" t="s">
        <v>157</v>
      </c>
      <c r="C32" s="90">
        <v>0.70818581375331036</v>
      </c>
      <c r="D32" s="90">
        <v>0.75804851134108975</v>
      </c>
      <c r="E32" s="90">
        <v>0.70606525903282247</v>
      </c>
      <c r="F32" s="90">
        <v>0.46741924042399202</v>
      </c>
      <c r="G32" s="90">
        <v>0.74725386949266848</v>
      </c>
      <c r="H32" s="90">
        <v>0.74998484188721071</v>
      </c>
      <c r="I32" s="90">
        <v>0.7325076930089508</v>
      </c>
      <c r="J32" s="90">
        <v>0.65988830659939723</v>
      </c>
      <c r="K32" s="90">
        <v>0.74644008461254663</v>
      </c>
      <c r="L32" s="90">
        <v>0.72398556800898195</v>
      </c>
      <c r="M32" s="90">
        <v>0.75852533984933845</v>
      </c>
      <c r="N32" s="316">
        <v>0.76009256615613841</v>
      </c>
      <c r="P32" s="608">
        <v>0.71896201481717747</v>
      </c>
    </row>
    <row r="33" spans="2:16" ht="15" thickBot="1" x14ac:dyDescent="0.35">
      <c r="B33" s="306"/>
      <c r="N33" s="97"/>
      <c r="P33" s="97"/>
    </row>
    <row r="34" spans="2:16" ht="15" thickBot="1" x14ac:dyDescent="0.35">
      <c r="B34" s="415" t="s">
        <v>266</v>
      </c>
      <c r="C34" s="421">
        <v>1414.0174130016455</v>
      </c>
      <c r="D34" s="420">
        <v>1908.5604003399399</v>
      </c>
      <c r="E34" s="420">
        <v>2311.4071041329735</v>
      </c>
      <c r="F34" s="420">
        <v>2597.3828689593811</v>
      </c>
      <c r="G34" s="420">
        <v>3121.2478615955993</v>
      </c>
      <c r="H34" s="420">
        <v>4443.790450408339</v>
      </c>
      <c r="I34" s="420">
        <v>6108.3304070403619</v>
      </c>
      <c r="J34" s="420">
        <v>6963.044054070423</v>
      </c>
      <c r="K34" s="420">
        <v>7568.1156117809187</v>
      </c>
      <c r="L34" s="420">
        <v>8164.2234656665987</v>
      </c>
      <c r="M34" s="420">
        <v>8701.3091436155573</v>
      </c>
      <c r="N34" s="422">
        <v>9300.1612395569955</v>
      </c>
      <c r="P34" s="97"/>
    </row>
    <row r="35" spans="2:16" ht="15" thickBot="1" x14ac:dyDescent="0.35">
      <c r="B35" s="416" t="s">
        <v>262</v>
      </c>
      <c r="C35" s="418">
        <v>4713.3913766721516</v>
      </c>
      <c r="D35" s="417">
        <v>6361.8680011331335</v>
      </c>
      <c r="E35" s="417">
        <v>7704.6903471099113</v>
      </c>
      <c r="F35" s="417">
        <v>8657.9428965312709</v>
      </c>
      <c r="G35" s="417">
        <v>10404.159538651998</v>
      </c>
      <c r="H35" s="417">
        <v>14812.634834694465</v>
      </c>
      <c r="I35" s="417">
        <v>20361.101356801206</v>
      </c>
      <c r="J35" s="417">
        <v>23210.146846901411</v>
      </c>
      <c r="K35" s="417">
        <v>25227.052039269729</v>
      </c>
      <c r="L35" s="417">
        <v>27214.078218888662</v>
      </c>
      <c r="M35" s="417">
        <v>29004.363812051859</v>
      </c>
      <c r="N35" s="419">
        <v>31000.537465189984</v>
      </c>
      <c r="P35" s="97"/>
    </row>
    <row r="36" spans="2:16" ht="15" thickBot="1" x14ac:dyDescent="0.35">
      <c r="B36" s="85" t="s">
        <v>270</v>
      </c>
      <c r="C36" s="472">
        <v>1472.4853668795531</v>
      </c>
      <c r="D36" s="473">
        <v>1648.4766244609818</v>
      </c>
      <c r="E36" s="473">
        <v>1342.8223459767778</v>
      </c>
      <c r="F36" s="473">
        <v>953.25254942135962</v>
      </c>
      <c r="G36" s="472">
        <v>1746.2166421207285</v>
      </c>
      <c r="H36" s="473">
        <v>4408.4752960424667</v>
      </c>
      <c r="I36" s="473">
        <v>5548.4665221067407</v>
      </c>
      <c r="J36" s="473">
        <v>2849.045490100204</v>
      </c>
      <c r="K36" s="473">
        <v>2016.9051923683201</v>
      </c>
      <c r="L36" s="473">
        <v>1987.0261796189343</v>
      </c>
      <c r="M36" s="472">
        <v>1790.2855931631966</v>
      </c>
      <c r="N36" s="472">
        <v>1996.1736531381266</v>
      </c>
      <c r="P36" s="97"/>
    </row>
    <row r="37" spans="2:16" ht="15" thickBot="1" x14ac:dyDescent="0.35">
      <c r="B37" s="323" t="s">
        <v>263</v>
      </c>
      <c r="C37" s="474">
        <v>-1314.5591862767037</v>
      </c>
      <c r="D37" s="475">
        <v>-1170.9494041495743</v>
      </c>
      <c r="E37" s="475">
        <v>-1133.8222748924159</v>
      </c>
      <c r="F37" s="475">
        <v>-3328.0508819641759</v>
      </c>
      <c r="G37" s="475">
        <v>-1185.3813310008859</v>
      </c>
      <c r="H37" s="475">
        <v>-1618.07628373177</v>
      </c>
      <c r="I37" s="475">
        <v>-1798.5976469158306</v>
      </c>
      <c r="J37" s="475">
        <v>-1285.2348798655837</v>
      </c>
      <c r="K37" s="475">
        <v>-1217.0389038029532</v>
      </c>
      <c r="L37" s="475">
        <v>-1369.4880940832024</v>
      </c>
      <c r="M37" s="475">
        <v>-1171.3729251166017</v>
      </c>
      <c r="N37" s="475">
        <v>-1223.4464092490994</v>
      </c>
      <c r="P37" s="97"/>
    </row>
    <row r="38" spans="2:16" ht="15" thickBot="1" x14ac:dyDescent="0.35">
      <c r="B38" s="323" t="s">
        <v>269</v>
      </c>
      <c r="C38" s="474">
        <v>-3507.2406696063063</v>
      </c>
      <c r="D38" s="475">
        <v>-3883.9434170952977</v>
      </c>
      <c r="E38" s="475">
        <v>-2915.3892075753088</v>
      </c>
      <c r="F38" s="475">
        <v>-2483.790533025076</v>
      </c>
      <c r="G38" s="475">
        <v>-4117.5207585393791</v>
      </c>
      <c r="H38" s="475">
        <v>-12825.50727837976</v>
      </c>
      <c r="I38" s="475">
        <v>-13125.522015645318</v>
      </c>
      <c r="J38" s="475">
        <v>-4075.4490115808094</v>
      </c>
      <c r="K38" s="475">
        <v>-4746.0382999930362</v>
      </c>
      <c r="L38" s="475">
        <v>-4650.7663295897191</v>
      </c>
      <c r="M38" s="475">
        <v>-3894.9920228895458</v>
      </c>
      <c r="N38" s="475">
        <v>-4963.3070452713682</v>
      </c>
      <c r="P38" s="97"/>
    </row>
    <row r="39" spans="2:16" ht="15" thickBot="1" x14ac:dyDescent="0.35">
      <c r="B39" s="323" t="s">
        <v>265</v>
      </c>
      <c r="C39" s="472">
        <v>-18967.764418193037</v>
      </c>
      <c r="D39" s="476">
        <v>-21030.514403919595</v>
      </c>
      <c r="E39" s="476">
        <v>-23169.294998890316</v>
      </c>
      <c r="F39" s="476">
        <v>-23438.0202916177</v>
      </c>
      <c r="G39" s="476">
        <v>-25465.268043234086</v>
      </c>
      <c r="H39" s="476">
        <v>-26810.518594912093</v>
      </c>
      <c r="I39" s="476">
        <v>-27822.018014622277</v>
      </c>
      <c r="J39" s="476">
        <v>-29524.793613247755</v>
      </c>
      <c r="K39" s="476">
        <v>-31478.060674530298</v>
      </c>
      <c r="L39" s="476">
        <v>-33440.605076750289</v>
      </c>
      <c r="M39" s="476">
        <v>-35448.967399700778</v>
      </c>
      <c r="N39" s="476">
        <v>-37409.395296309587</v>
      </c>
      <c r="P39" s="97"/>
    </row>
    <row r="40" spans="2:16" x14ac:dyDescent="0.3">
      <c r="B40" s="323" t="s">
        <v>271</v>
      </c>
      <c r="C40" s="476">
        <v>-60044.059238448746</v>
      </c>
      <c r="D40" s="476">
        <v>-57820.886603880033</v>
      </c>
      <c r="E40" s="476">
        <v>-55730.016666701697</v>
      </c>
      <c r="F40" s="476">
        <v>-55421.648407647619</v>
      </c>
      <c r="G40" s="476">
        <v>-52939.270752298617</v>
      </c>
      <c r="H40" s="476">
        <v>-49814.852206100411</v>
      </c>
      <c r="I40" s="476">
        <v>-45656.021987007589</v>
      </c>
      <c r="J40" s="476">
        <v>-41982.726633683822</v>
      </c>
      <c r="K40" s="476">
        <v>-39281.985762404096</v>
      </c>
      <c r="L40" s="476">
        <v>-36681.579140286529</v>
      </c>
      <c r="M40" s="476">
        <v>-34240.628379846501</v>
      </c>
      <c r="N40" s="476">
        <v>-31435.941473486389</v>
      </c>
      <c r="P40" s="97"/>
    </row>
    <row r="41" spans="2:16" ht="15" thickBot="1" x14ac:dyDescent="0.35">
      <c r="B41" s="323" t="s">
        <v>267</v>
      </c>
      <c r="C41" s="455">
        <v>1.075658994865528</v>
      </c>
      <c r="D41" s="455">
        <v>1.6299255916408024</v>
      </c>
      <c r="E41" s="455">
        <v>2.0385973669041686</v>
      </c>
      <c r="F41" s="455">
        <v>0.78045167008577609</v>
      </c>
      <c r="G41" s="455">
        <v>2.633117107521973</v>
      </c>
      <c r="H41" s="455">
        <v>2.7463417485853161</v>
      </c>
      <c r="I41" s="455">
        <v>3.3961627924481625</v>
      </c>
      <c r="J41" s="455">
        <v>5.4177210431751224</v>
      </c>
      <c r="K41" s="455">
        <v>6.2184664665462881</v>
      </c>
      <c r="L41" s="455">
        <v>5.9615147447719146</v>
      </c>
      <c r="M41" s="455">
        <v>7.4282996960591392</v>
      </c>
      <c r="N41" s="455">
        <v>7.6016090032623893</v>
      </c>
      <c r="P41" s="97"/>
    </row>
    <row r="42" spans="2:16" x14ac:dyDescent="0.3">
      <c r="B42" s="323" t="s">
        <v>268</v>
      </c>
      <c r="C42" s="414">
        <v>1.3439030339486904</v>
      </c>
      <c r="D42" s="455">
        <v>1.6379919370429481</v>
      </c>
      <c r="E42" s="455">
        <v>2.6427656132807744</v>
      </c>
      <c r="F42" s="455">
        <v>3.4857782012666449</v>
      </c>
      <c r="G42" s="455">
        <v>2.526801963796947</v>
      </c>
      <c r="H42" s="455">
        <v>1.1549355914884123</v>
      </c>
      <c r="I42" s="455">
        <v>1.5512603104494622</v>
      </c>
      <c r="J42" s="455">
        <v>5.6951140306129169</v>
      </c>
      <c r="K42" s="455">
        <v>5.3153915844519721</v>
      </c>
      <c r="L42" s="455">
        <v>5.8515255960600863</v>
      </c>
      <c r="M42" s="455">
        <v>7.4465784888911353</v>
      </c>
      <c r="N42" s="455">
        <v>6.2459439205407916</v>
      </c>
      <c r="P42" s="97"/>
    </row>
    <row r="43" spans="2:16" x14ac:dyDescent="0.3">
      <c r="B43" s="96"/>
      <c r="E43" s="9"/>
      <c r="P43" s="97"/>
    </row>
    <row r="44" spans="2:16" x14ac:dyDescent="0.3">
      <c r="B44" s="96"/>
      <c r="P44" s="97"/>
    </row>
    <row r="45" spans="2:16" x14ac:dyDescent="0.3">
      <c r="B45" s="96"/>
      <c r="P45" s="97"/>
    </row>
    <row r="46" spans="2:16" x14ac:dyDescent="0.3">
      <c r="B46" s="96"/>
      <c r="P46" s="97"/>
    </row>
    <row r="47" spans="2:16" x14ac:dyDescent="0.3">
      <c r="B47" s="96"/>
      <c r="P47" s="97"/>
    </row>
    <row r="48" spans="2:16" x14ac:dyDescent="0.3">
      <c r="B48" s="96"/>
      <c r="P48" s="97"/>
    </row>
    <row r="49" spans="2:16" x14ac:dyDescent="0.3">
      <c r="B49" s="96"/>
      <c r="P49" s="97"/>
    </row>
    <row r="50" spans="2:16" x14ac:dyDescent="0.3">
      <c r="B50" s="96"/>
      <c r="P50" s="97"/>
    </row>
    <row r="51" spans="2:16" x14ac:dyDescent="0.3">
      <c r="B51" s="96"/>
      <c r="P51" s="97"/>
    </row>
    <row r="52" spans="2:16" x14ac:dyDescent="0.3">
      <c r="B52" s="96"/>
      <c r="P52" s="97"/>
    </row>
    <row r="53" spans="2:16" x14ac:dyDescent="0.3">
      <c r="B53" s="96"/>
      <c r="P53" s="97"/>
    </row>
    <row r="54" spans="2:16" x14ac:dyDescent="0.3">
      <c r="B54" s="96"/>
      <c r="P54" s="97"/>
    </row>
    <row r="55" spans="2:16" x14ac:dyDescent="0.3">
      <c r="B55" s="96"/>
      <c r="P55" s="97"/>
    </row>
    <row r="56" spans="2:16" x14ac:dyDescent="0.3">
      <c r="B56" s="96"/>
      <c r="P56" s="97"/>
    </row>
    <row r="57" spans="2:16" x14ac:dyDescent="0.3">
      <c r="B57" s="96"/>
      <c r="P57" s="97"/>
    </row>
    <row r="58" spans="2:16" ht="15" thickBot="1" x14ac:dyDescent="0.35">
      <c r="B58" s="96"/>
      <c r="O58" s="109"/>
      <c r="P58" s="97"/>
    </row>
    <row r="59" spans="2:16" x14ac:dyDescent="0.3">
      <c r="B59" s="96"/>
      <c r="P59" s="97"/>
    </row>
    <row r="60" spans="2:16" ht="99.75" customHeight="1" thickBot="1" x14ac:dyDescent="0.35">
      <c r="B60" s="107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10"/>
    </row>
  </sheetData>
  <mergeCells count="1">
    <mergeCell ref="B7:P9"/>
  </mergeCells>
  <conditionalFormatting sqref="D38:N38">
    <cfRule type="cellIs" dxfId="2" priority="1" operator="greaterThan">
      <formula>0</formula>
    </cfRule>
  </conditionalFormatting>
  <pageMargins left="0.25" right="0.25" top="0.75" bottom="0.75" header="0.3" footer="0.3"/>
  <pageSetup scale="45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57E8-D2FC-4FDC-A195-55F3A93C25AC}">
  <sheetPr>
    <tabColor theme="1"/>
    <pageSetUpPr fitToPage="1"/>
  </sheetPr>
  <dimension ref="B6:T59"/>
  <sheetViews>
    <sheetView showGridLines="0" topLeftCell="B29" zoomScale="66" zoomScaleNormal="100" workbookViewId="0">
      <selection activeCell="B1" sqref="B1:P59"/>
    </sheetView>
  </sheetViews>
  <sheetFormatPr defaultRowHeight="14.4" x14ac:dyDescent="0.3"/>
  <cols>
    <col min="2" max="2" width="52.5546875" bestFit="1" customWidth="1"/>
    <col min="3" max="3" width="14" bestFit="1" customWidth="1"/>
    <col min="4" max="14" width="18.5546875" bestFit="1" customWidth="1"/>
    <col min="15" max="15" width="0.88671875" customWidth="1"/>
    <col min="16" max="16" width="13.5546875" bestFit="1" customWidth="1"/>
    <col min="17" max="17" width="11.5546875" bestFit="1" customWidth="1"/>
  </cols>
  <sheetData>
    <row r="6" spans="2:16" ht="15" thickBot="1" x14ac:dyDescent="0.35"/>
    <row r="7" spans="2:16" ht="15" customHeight="1" x14ac:dyDescent="0.3">
      <c r="B7" s="645" t="s">
        <v>239</v>
      </c>
      <c r="C7" s="646"/>
      <c r="D7" s="646"/>
      <c r="E7" s="646"/>
      <c r="F7" s="646"/>
      <c r="G7" s="646"/>
      <c r="H7" s="646"/>
      <c r="I7" s="646"/>
      <c r="J7" s="646"/>
      <c r="K7" s="646"/>
      <c r="L7" s="646"/>
      <c r="M7" s="646"/>
      <c r="N7" s="646"/>
      <c r="O7" s="646"/>
      <c r="P7" s="647"/>
    </row>
    <row r="8" spans="2:16" ht="15" customHeight="1" x14ac:dyDescent="0.3">
      <c r="B8" s="648"/>
      <c r="C8" s="649"/>
      <c r="D8" s="649"/>
      <c r="E8" s="649"/>
      <c r="F8" s="649"/>
      <c r="G8" s="649"/>
      <c r="H8" s="649"/>
      <c r="I8" s="649"/>
      <c r="J8" s="649"/>
      <c r="K8" s="649"/>
      <c r="L8" s="649"/>
      <c r="M8" s="649"/>
      <c r="N8" s="649"/>
      <c r="O8" s="649"/>
      <c r="P8" s="650"/>
    </row>
    <row r="9" spans="2:16" x14ac:dyDescent="0.3">
      <c r="B9" s="648"/>
      <c r="C9" s="649"/>
      <c r="D9" s="649"/>
      <c r="E9" s="649"/>
      <c r="F9" s="649"/>
      <c r="G9" s="649"/>
      <c r="H9" s="649"/>
      <c r="I9" s="649"/>
      <c r="J9" s="649"/>
      <c r="K9" s="649"/>
      <c r="L9" s="649"/>
      <c r="M9" s="649"/>
      <c r="N9" s="649"/>
      <c r="O9" s="649"/>
      <c r="P9" s="650"/>
    </row>
    <row r="10" spans="2:16" ht="15.6" x14ac:dyDescent="0.3">
      <c r="B10" s="305"/>
      <c r="C10" s="69" t="str">
        <f>TEXT('Monthly Detail'!T4,"mmmm")</f>
        <v>January</v>
      </c>
      <c r="D10" s="69" t="str">
        <f>TEXT('Monthly Detail'!U4,"mmmm")</f>
        <v>February</v>
      </c>
      <c r="E10" s="69" t="str">
        <f>TEXT('Monthly Detail'!V4,"mmmm")</f>
        <v>March</v>
      </c>
      <c r="F10" s="69" t="str">
        <f>TEXT('Monthly Detail'!W4,"mmmm")</f>
        <v>April</v>
      </c>
      <c r="G10" s="69" t="str">
        <f>TEXT('Monthly Detail'!X4,"mmmm")</f>
        <v>May</v>
      </c>
      <c r="H10" s="69" t="str">
        <f>TEXT('Monthly Detail'!Y4,"mmmm")</f>
        <v>June</v>
      </c>
      <c r="I10" s="69" t="str">
        <f>TEXT('Monthly Detail'!Z4,"mmmm")</f>
        <v>July</v>
      </c>
      <c r="J10" s="69" t="str">
        <f>TEXT('Monthly Detail'!AA4,"mmmm")</f>
        <v>August</v>
      </c>
      <c r="K10" s="69" t="str">
        <f>TEXT('Monthly Detail'!AB4,"mmmm")</f>
        <v>September</v>
      </c>
      <c r="L10" s="69" t="str">
        <f>TEXT('Monthly Detail'!AC4,"mmmm")</f>
        <v>October</v>
      </c>
      <c r="M10" s="69" t="str">
        <f>TEXT('Monthly Detail'!AD4,"mmmm")</f>
        <v>November</v>
      </c>
      <c r="N10" s="593" t="str">
        <f>TEXT('Monthly Detail'!AE4,"mmmm")</f>
        <v>December</v>
      </c>
      <c r="O10" s="70"/>
      <c r="P10" s="599" t="s">
        <v>0</v>
      </c>
    </row>
    <row r="11" spans="2:16" x14ac:dyDescent="0.3">
      <c r="B11" s="306"/>
      <c r="C11" s="91">
        <v>45322</v>
      </c>
      <c r="D11" s="91">
        <v>45351</v>
      </c>
      <c r="E11" s="91">
        <v>45382</v>
      </c>
      <c r="F11" s="91">
        <v>45412</v>
      </c>
      <c r="G11" s="91">
        <v>45443</v>
      </c>
      <c r="H11" s="91">
        <v>45473</v>
      </c>
      <c r="I11" s="91">
        <v>45504</v>
      </c>
      <c r="J11" s="91">
        <v>45535</v>
      </c>
      <c r="K11" s="91">
        <v>45565</v>
      </c>
      <c r="L11" s="149">
        <v>45596</v>
      </c>
      <c r="M11" s="91">
        <v>45626</v>
      </c>
      <c r="N11" s="594">
        <v>45657</v>
      </c>
      <c r="O11" s="91">
        <v>45322</v>
      </c>
      <c r="P11" s="600"/>
    </row>
    <row r="12" spans="2:16" x14ac:dyDescent="0.3">
      <c r="B12" s="307" t="s">
        <v>339</v>
      </c>
      <c r="C12" s="73">
        <f>SUMIF('Monthly Detail'!$4:$4, '2024 Overview'!C$11, 'Monthly Detail'!10:10)</f>
        <v>0</v>
      </c>
      <c r="D12" s="73">
        <f>SUMIF('Monthly Detail'!$4:$4, '2024 Overview'!D$11, 'Monthly Detail'!10:10)</f>
        <v>370</v>
      </c>
      <c r="E12" s="73">
        <f>SUMIF('Monthly Detail'!$4:$4, '2024 Overview'!E$11, 'Monthly Detail'!10:10)</f>
        <v>510</v>
      </c>
      <c r="F12" s="73">
        <f>SUMIF('Monthly Detail'!$4:$4, '2024 Overview'!F$11, 'Monthly Detail'!10:10)</f>
        <v>0</v>
      </c>
      <c r="G12" s="73">
        <f>SUMIF('Monthly Detail'!$4:$4, '2024 Overview'!G$11, 'Monthly Detail'!10:10)</f>
        <v>1650</v>
      </c>
      <c r="H12" s="73">
        <f>SUMIF('Monthly Detail'!$4:$4, '2024 Overview'!H$11, 'Monthly Detail'!10:10)</f>
        <v>3945</v>
      </c>
      <c r="I12" s="73">
        <f>SUMIF('Monthly Detail'!$4:$4, '2024 Overview'!I$11, 'Monthly Detail'!10:10)</f>
        <v>4742.9400000000005</v>
      </c>
      <c r="J12" s="73">
        <f>SUMIF('Monthly Detail'!$4:$4, '2024 Overview'!J$11, 'Monthly Detail'!10:10)</f>
        <v>720</v>
      </c>
      <c r="K12" s="73">
        <f>SUMIF('Monthly Detail'!$4:$4, '2024 Overview'!K$11, 'Monthly Detail'!10:10)</f>
        <v>1705</v>
      </c>
      <c r="L12" s="150">
        <f>SUMIF('Monthly Detail'!$4:$4, '2024 Overview'!L$11, 'Monthly Detail'!10:10)</f>
        <v>810</v>
      </c>
      <c r="M12" s="73">
        <f>SUMIF('Monthly Detail'!$4:$4, '2024 Overview'!M$11, 'Monthly Detail'!10:10)</f>
        <v>2360</v>
      </c>
      <c r="N12" s="308">
        <f>SUMIF('Monthly Detail'!$4:$4, '2024 Overview'!N$11, 'Monthly Detail'!10:10)</f>
        <v>5180</v>
      </c>
      <c r="O12" s="73"/>
      <c r="P12" s="601">
        <f>SUM(C12:O12)</f>
        <v>21992.940000000002</v>
      </c>
    </row>
    <row r="13" spans="2:16" x14ac:dyDescent="0.3">
      <c r="B13" s="307" t="s">
        <v>160</v>
      </c>
      <c r="C13" s="73">
        <f>SUMIF('Monthly Detail'!$4:$4, '2024 Overview'!C$11, 'Monthly Detail'!11:11)</f>
        <v>0</v>
      </c>
      <c r="D13" s="73">
        <f>SUMIF('Monthly Detail'!$4:$4, '2024 Overview'!D$11, 'Monthly Detail'!11:11)</f>
        <v>0</v>
      </c>
      <c r="E13" s="73">
        <f>SUMIF('Monthly Detail'!$4:$4, '2024 Overview'!E$11, 'Monthly Detail'!11:11)</f>
        <v>0</v>
      </c>
      <c r="F13" s="73">
        <f>SUMIF('Monthly Detail'!$4:$4, '2024 Overview'!F$11, 'Monthly Detail'!11:11)</f>
        <v>0</v>
      </c>
      <c r="G13" s="73">
        <f>SUMIF('Monthly Detail'!$4:$4, '2024 Overview'!G$11, 'Monthly Detail'!11:11)</f>
        <v>0</v>
      </c>
      <c r="H13" s="73">
        <f>SUMIF('Monthly Detail'!$4:$4, '2024 Overview'!H$11, 'Monthly Detail'!11:11)</f>
        <v>0</v>
      </c>
      <c r="I13" s="73">
        <f>SUMIF('Monthly Detail'!$4:$4, '2024 Overview'!I$11, 'Monthly Detail'!11:11)</f>
        <v>0</v>
      </c>
      <c r="J13" s="73">
        <f>SUMIF('Monthly Detail'!$4:$4, '2024 Overview'!J$11, 'Monthly Detail'!11:11)</f>
        <v>0</v>
      </c>
      <c r="K13" s="73">
        <f>SUMIF('Monthly Detail'!$4:$4, '2024 Overview'!K$11, 'Monthly Detail'!11:11)</f>
        <v>0</v>
      </c>
      <c r="L13" s="150">
        <f>SUMIF('Monthly Detail'!$4:$4, '2024 Overview'!L$11, 'Monthly Detail'!11:11)</f>
        <v>0</v>
      </c>
      <c r="M13" s="73">
        <f>SUMIF('Monthly Detail'!$4:$4, '2024 Overview'!M$11, 'Monthly Detail'!11:11)</f>
        <v>0</v>
      </c>
      <c r="N13" s="308">
        <f>SUMIF('Monthly Detail'!$4:$4, '2024 Overview'!N$11, 'Monthly Detail'!11:11)</f>
        <v>0</v>
      </c>
      <c r="O13" s="73"/>
      <c r="P13" s="601"/>
    </row>
    <row r="14" spans="2:16" x14ac:dyDescent="0.3">
      <c r="B14" s="309" t="s">
        <v>2</v>
      </c>
      <c r="C14" s="74">
        <f>SUM(C12:C13)</f>
        <v>0</v>
      </c>
      <c r="D14" s="74">
        <f t="shared" ref="D14:N14" si="0">SUM(D12:D13)</f>
        <v>370</v>
      </c>
      <c r="E14" s="74">
        <f t="shared" si="0"/>
        <v>510</v>
      </c>
      <c r="F14" s="74">
        <f t="shared" si="0"/>
        <v>0</v>
      </c>
      <c r="G14" s="74">
        <f t="shared" si="0"/>
        <v>1650</v>
      </c>
      <c r="H14" s="74">
        <f t="shared" si="0"/>
        <v>3945</v>
      </c>
      <c r="I14" s="74">
        <f t="shared" si="0"/>
        <v>4742.9400000000005</v>
      </c>
      <c r="J14" s="74">
        <f t="shared" si="0"/>
        <v>720</v>
      </c>
      <c r="K14" s="74">
        <f t="shared" si="0"/>
        <v>1705</v>
      </c>
      <c r="L14" s="151">
        <f t="shared" si="0"/>
        <v>810</v>
      </c>
      <c r="M14" s="74">
        <f t="shared" si="0"/>
        <v>2360</v>
      </c>
      <c r="N14" s="310">
        <f t="shared" si="0"/>
        <v>5180</v>
      </c>
      <c r="O14" s="75"/>
      <c r="P14" s="602">
        <f>SUM(P12:P12)</f>
        <v>21992.940000000002</v>
      </c>
    </row>
    <row r="15" spans="2:16" x14ac:dyDescent="0.3">
      <c r="B15" s="425" t="s">
        <v>312</v>
      </c>
      <c r="C15" s="269">
        <f>+'Monthly Detail'!T14</f>
        <v>1</v>
      </c>
      <c r="D15" s="269">
        <f>+'Monthly Detail'!U14</f>
        <v>2</v>
      </c>
      <c r="E15" s="269">
        <f>+'Monthly Detail'!V14</f>
        <v>2</v>
      </c>
      <c r="F15" s="269">
        <f>+'Monthly Detail'!W14</f>
        <v>0</v>
      </c>
      <c r="G15" s="269">
        <f>+'Monthly Detail'!X14</f>
        <v>8</v>
      </c>
      <c r="H15" s="269">
        <f>+'Monthly Detail'!Y14</f>
        <v>38</v>
      </c>
      <c r="I15" s="269">
        <f>+'Monthly Detail'!Z14</f>
        <v>39</v>
      </c>
      <c r="J15" s="269">
        <f>+'Monthly Detail'!AA14</f>
        <v>4</v>
      </c>
      <c r="K15" s="269">
        <f>+'Monthly Detail'!AB14</f>
        <v>8</v>
      </c>
      <c r="L15" s="424">
        <f>+'Monthly Detail'!AC14</f>
        <v>7</v>
      </c>
      <c r="M15" s="269">
        <f>+'Monthly Detail'!AD14</f>
        <v>20.714285714285715</v>
      </c>
      <c r="N15" s="595">
        <f>+'Monthly Detail'!AE14</f>
        <v>44.971428571428575</v>
      </c>
      <c r="O15" s="75"/>
      <c r="P15" s="603">
        <f>+SUM(C15:N15)</f>
        <v>174.68571428571431</v>
      </c>
    </row>
    <row r="16" spans="2:16" x14ac:dyDescent="0.3">
      <c r="B16" s="423" t="s">
        <v>305</v>
      </c>
      <c r="C16" s="268">
        <f>+'Monthly Detail'!T42</f>
        <v>0</v>
      </c>
      <c r="D16" s="239">
        <f>+'Monthly Detail'!U42</f>
        <v>30.833333333333332</v>
      </c>
      <c r="E16" s="239">
        <f>+'Monthly Detail'!V42</f>
        <v>42.5</v>
      </c>
      <c r="F16" s="239">
        <f>+'Monthly Detail'!W42</f>
        <v>0</v>
      </c>
      <c r="G16" s="239">
        <f>+'Monthly Detail'!X42</f>
        <v>618.75</v>
      </c>
      <c r="H16" s="239">
        <f>+'Monthly Detail'!Y42</f>
        <v>103.81578947368421</v>
      </c>
      <c r="I16" s="239">
        <f>+'Monthly Detail'!Z42</f>
        <v>486.45538461538467</v>
      </c>
      <c r="J16" s="239">
        <f>+'Monthly Detail'!AA42</f>
        <v>720</v>
      </c>
      <c r="K16" s="239">
        <f>+'Monthly Detail'!AB42</f>
        <v>639.375</v>
      </c>
      <c r="L16" s="428">
        <f>+'Monthly Detail'!AC42</f>
        <v>347.14285714285711</v>
      </c>
      <c r="M16" s="239">
        <f>+'Monthly Detail'!AD42</f>
        <v>1350.8965517241379</v>
      </c>
      <c r="N16" s="596">
        <f>+'Monthly Detail'!AE42</f>
        <v>2201.6645489199486</v>
      </c>
      <c r="O16" s="75"/>
      <c r="P16" s="604">
        <f>+AVERAGE(C16:O16)</f>
        <v>545.11945543411218</v>
      </c>
    </row>
    <row r="17" spans="2:20" x14ac:dyDescent="0.3">
      <c r="B17" s="309" t="s">
        <v>313</v>
      </c>
      <c r="C17" s="426">
        <f>+SUM('Monthly Detail'!T18:T20)</f>
        <v>0</v>
      </c>
      <c r="D17" s="426">
        <f>+SUM('Monthly Detail'!U18:U20)</f>
        <v>0</v>
      </c>
      <c r="E17" s="426">
        <f>+SUM('Monthly Detail'!V18:V20)</f>
        <v>0</v>
      </c>
      <c r="F17" s="426">
        <f>+SUM('Monthly Detail'!W18:W20)</f>
        <v>0</v>
      </c>
      <c r="G17" s="426">
        <f>+SUM('Monthly Detail'!X18:X20)</f>
        <v>4</v>
      </c>
      <c r="H17" s="426">
        <f>+SUM('Monthly Detail'!Y18:Y20)</f>
        <v>34</v>
      </c>
      <c r="I17" s="426">
        <f>+SUM('Monthly Detail'!Z18:Z20)</f>
        <v>31</v>
      </c>
      <c r="J17" s="426">
        <f>+SUM('Monthly Detail'!AA18:AA20)</f>
        <v>0</v>
      </c>
      <c r="K17" s="426">
        <f>+SUM('Monthly Detail'!AB18:AB20)</f>
        <v>0</v>
      </c>
      <c r="L17" s="427">
        <f>+SUM('Monthly Detail'!AC18:AC20)</f>
        <v>0</v>
      </c>
      <c r="M17" s="426">
        <f>+SUM('Monthly Detail'!AD18:AD20)</f>
        <v>0</v>
      </c>
      <c r="N17" s="597">
        <f>+SUM('Monthly Detail'!AE18:AE20)</f>
        <v>18.600000000000001</v>
      </c>
      <c r="P17" s="605">
        <f t="shared" ref="P17" si="1">+SUM(C17:N17)</f>
        <v>87.6</v>
      </c>
      <c r="Q17" s="9"/>
    </row>
    <row r="18" spans="2:20" hidden="1" x14ac:dyDescent="0.3">
      <c r="B18" s="306"/>
      <c r="C18" s="76"/>
      <c r="D18" s="76"/>
      <c r="E18" s="76"/>
      <c r="F18" s="76"/>
      <c r="G18" s="76"/>
      <c r="H18" s="76"/>
      <c r="I18" s="76"/>
      <c r="J18" s="76"/>
      <c r="K18" s="76"/>
      <c r="L18" s="152"/>
      <c r="M18" s="76"/>
      <c r="N18" s="311"/>
      <c r="O18" s="7"/>
      <c r="P18" s="606"/>
    </row>
    <row r="19" spans="2:20" ht="15.6" x14ac:dyDescent="0.3">
      <c r="B19" s="312" t="s">
        <v>151</v>
      </c>
      <c r="C19" s="88">
        <f t="shared" ref="C19:N19" si="2">C14</f>
        <v>0</v>
      </c>
      <c r="D19" s="88">
        <f t="shared" si="2"/>
        <v>370</v>
      </c>
      <c r="E19" s="88">
        <f t="shared" si="2"/>
        <v>510</v>
      </c>
      <c r="F19" s="88">
        <f t="shared" si="2"/>
        <v>0</v>
      </c>
      <c r="G19" s="88">
        <f t="shared" si="2"/>
        <v>1650</v>
      </c>
      <c r="H19" s="88">
        <f t="shared" si="2"/>
        <v>3945</v>
      </c>
      <c r="I19" s="88">
        <f t="shared" si="2"/>
        <v>4742.9400000000005</v>
      </c>
      <c r="J19" s="88">
        <f t="shared" si="2"/>
        <v>720</v>
      </c>
      <c r="K19" s="88">
        <f t="shared" si="2"/>
        <v>1705</v>
      </c>
      <c r="L19" s="153">
        <f t="shared" si="2"/>
        <v>810</v>
      </c>
      <c r="M19" s="88">
        <f t="shared" si="2"/>
        <v>2360</v>
      </c>
      <c r="N19" s="314">
        <f t="shared" si="2"/>
        <v>5180</v>
      </c>
      <c r="P19" s="607">
        <f>+SUM(C19:N19)</f>
        <v>21992.940000000002</v>
      </c>
    </row>
    <row r="20" spans="2:20" hidden="1" x14ac:dyDescent="0.3">
      <c r="B20" s="315" t="s">
        <v>152</v>
      </c>
      <c r="C20" s="90">
        <f t="shared" ref="C20:N20" si="3">IFERROR(C19/C14, 0)</f>
        <v>0</v>
      </c>
      <c r="D20" s="90">
        <f t="shared" si="3"/>
        <v>1</v>
      </c>
      <c r="E20" s="90">
        <f t="shared" si="3"/>
        <v>1</v>
      </c>
      <c r="F20" s="90">
        <f t="shared" si="3"/>
        <v>0</v>
      </c>
      <c r="G20" s="90">
        <f t="shared" si="3"/>
        <v>1</v>
      </c>
      <c r="H20" s="90">
        <f t="shared" si="3"/>
        <v>1</v>
      </c>
      <c r="I20" s="90">
        <f t="shared" si="3"/>
        <v>1</v>
      </c>
      <c r="J20" s="90">
        <f t="shared" si="3"/>
        <v>1</v>
      </c>
      <c r="K20" s="90">
        <f t="shared" si="3"/>
        <v>1</v>
      </c>
      <c r="L20" s="154">
        <f t="shared" si="3"/>
        <v>1</v>
      </c>
      <c r="M20" s="90">
        <f t="shared" si="3"/>
        <v>1</v>
      </c>
      <c r="N20" s="316">
        <f t="shared" si="3"/>
        <v>1</v>
      </c>
      <c r="P20" s="608">
        <f>P14/P14</f>
        <v>1</v>
      </c>
      <c r="T20" s="1"/>
    </row>
    <row r="21" spans="2:20" x14ac:dyDescent="0.3">
      <c r="B21" s="306"/>
      <c r="L21" s="116"/>
      <c r="N21" s="97"/>
      <c r="O21" s="318"/>
      <c r="P21" s="600"/>
    </row>
    <row r="22" spans="2:20" x14ac:dyDescent="0.3">
      <c r="B22" s="306" t="s">
        <v>315</v>
      </c>
      <c r="C22" s="73">
        <f>SUMIF('Monthly Detail'!$4:$4, '2024 Overview'!C$11, 'Monthly Detail'!$64:$64)</f>
        <v>0</v>
      </c>
      <c r="D22" s="73">
        <f>SUMIF('Monthly Detail'!$4:$4, '2024 Overview'!D$11, 'Monthly Detail'!$64:$64)</f>
        <v>0</v>
      </c>
      <c r="E22" s="73">
        <f>SUMIF('Monthly Detail'!$4:$4, '2024 Overview'!E$11, 'Monthly Detail'!$64:$64)</f>
        <v>0</v>
      </c>
      <c r="F22" s="73">
        <f>SUMIF('Monthly Detail'!$4:$4, '2024 Overview'!F$11, 'Monthly Detail'!$64:$64)</f>
        <v>0</v>
      </c>
      <c r="G22" s="73">
        <f>SUMIF('Monthly Detail'!$4:$4, '2024 Overview'!G$11, 'Monthly Detail'!$64:$64)</f>
        <v>0</v>
      </c>
      <c r="H22" s="73">
        <f>SUMIF('Monthly Detail'!$4:$4, '2024 Overview'!H$11, 'Monthly Detail'!$64:$64)</f>
        <v>0</v>
      </c>
      <c r="I22" s="73">
        <f>SUMIF('Monthly Detail'!$4:$4, '2024 Overview'!I$11, 'Monthly Detail'!$64:$64)</f>
        <v>0</v>
      </c>
      <c r="J22" s="73">
        <f>SUMIF('Monthly Detail'!$4:$4, '2024 Overview'!J$11, 'Monthly Detail'!$64:$64)</f>
        <v>0</v>
      </c>
      <c r="K22" s="73">
        <f>SUMIF('Monthly Detail'!$4:$4, '2024 Overview'!K$11, 'Monthly Detail'!$64:$64)</f>
        <v>0</v>
      </c>
      <c r="L22" s="150">
        <f>SUMIF('Monthly Detail'!$4:$4, '2024 Overview'!L$11, 'Monthly Detail'!$64:$64)</f>
        <v>14</v>
      </c>
      <c r="M22" s="73">
        <f>SUMIF('Monthly Detail'!$4:$4, '2024 Overview'!M$11, 'Monthly Detail'!$64:$64)</f>
        <v>25</v>
      </c>
      <c r="N22" s="308">
        <f>SUMIF('Monthly Detail'!$4:$4, '2024 Overview'!N$11, 'Monthly Detail'!$64:$64)</f>
        <v>500</v>
      </c>
      <c r="P22" s="601">
        <f>SUM(C22:O22)</f>
        <v>539</v>
      </c>
    </row>
    <row r="23" spans="2:20" x14ac:dyDescent="0.3">
      <c r="B23" s="306" t="s">
        <v>190</v>
      </c>
      <c r="C23" s="73">
        <f>SUMIF('Monthly Detail'!$4:$4, '2024 Overview'!C$11, 'Monthly Detail'!$80:$80)</f>
        <v>571.14</v>
      </c>
      <c r="D23" s="73">
        <f>SUMIF('Monthly Detail'!$4:$4, '2024 Overview'!D$11, 'Monthly Detail'!$80:$80)</f>
        <v>1144.06</v>
      </c>
      <c r="E23" s="73">
        <f>SUMIF('Monthly Detail'!$4:$4, '2024 Overview'!E$11, 'Monthly Detail'!$80:$80)</f>
        <v>1586.0800000000002</v>
      </c>
      <c r="F23" s="73">
        <f>SUMIF('Monthly Detail'!$4:$4, '2024 Overview'!F$11, 'Monthly Detail'!$80:$80)</f>
        <v>1064.21</v>
      </c>
      <c r="G23" s="73">
        <f>SUMIF('Monthly Detail'!$4:$4, '2024 Overview'!G$11, 'Monthly Detail'!$80:$80)</f>
        <v>1032.8699999999999</v>
      </c>
      <c r="H23" s="73">
        <f>SUMIF('Monthly Detail'!$4:$4, '2024 Overview'!H$11, 'Monthly Detail'!$80:$80)</f>
        <v>585.07000000000005</v>
      </c>
      <c r="I23" s="73">
        <f>SUMIF('Monthly Detail'!$4:$4, '2024 Overview'!I$11, 'Monthly Detail'!$80:$80)</f>
        <v>1356.68</v>
      </c>
      <c r="J23" s="73">
        <f>SUMIF('Monthly Detail'!$4:$4, '2024 Overview'!J$11, 'Monthly Detail'!$80:$80)</f>
        <v>1016.6899999999999</v>
      </c>
      <c r="K23" s="73">
        <f>SUMIF('Monthly Detail'!$4:$4, '2024 Overview'!K$11, 'Monthly Detail'!$80:$80)</f>
        <v>943.14</v>
      </c>
      <c r="L23" s="150">
        <f>SUMIF('Monthly Detail'!$4:$4, '2024 Overview'!L$11, 'Monthly Detail'!$80:$80)</f>
        <v>834.44</v>
      </c>
      <c r="M23" s="73">
        <f>SUMIF('Monthly Detail'!$4:$4, '2024 Overview'!M$11, 'Monthly Detail'!$80:$80)</f>
        <v>3029.2570434004388</v>
      </c>
      <c r="N23" s="308">
        <f>SUMIF('Monthly Detail'!$4:$4, '2024 Overview'!N$11, 'Monthly Detail'!$80:$80)</f>
        <v>1142.7704596670637</v>
      </c>
      <c r="P23" s="601">
        <f>SUM(C23:O23)</f>
        <v>14306.407503067501</v>
      </c>
    </row>
    <row r="24" spans="2:20" ht="15.6" x14ac:dyDescent="0.3">
      <c r="B24" s="317" t="s">
        <v>153</v>
      </c>
      <c r="C24" s="79">
        <f>SUM(C22:C23)</f>
        <v>571.14</v>
      </c>
      <c r="D24" s="79">
        <f t="shared" ref="D24:N24" si="4">SUM(D22:D23)</f>
        <v>1144.06</v>
      </c>
      <c r="E24" s="79">
        <f t="shared" si="4"/>
        <v>1586.0800000000002</v>
      </c>
      <c r="F24" s="79">
        <f t="shared" si="4"/>
        <v>1064.21</v>
      </c>
      <c r="G24" s="79">
        <f t="shared" si="4"/>
        <v>1032.8699999999999</v>
      </c>
      <c r="H24" s="79">
        <f t="shared" si="4"/>
        <v>585.07000000000005</v>
      </c>
      <c r="I24" s="79">
        <f t="shared" si="4"/>
        <v>1356.68</v>
      </c>
      <c r="J24" s="79">
        <f t="shared" si="4"/>
        <v>1016.6899999999999</v>
      </c>
      <c r="K24" s="79">
        <f t="shared" si="4"/>
        <v>943.14</v>
      </c>
      <c r="L24" s="155">
        <f t="shared" si="4"/>
        <v>848.44</v>
      </c>
      <c r="M24" s="79">
        <f t="shared" si="4"/>
        <v>3054.2570434004388</v>
      </c>
      <c r="N24" s="319">
        <f t="shared" si="4"/>
        <v>1642.7704596670637</v>
      </c>
      <c r="O24" s="313"/>
      <c r="P24" s="609">
        <f>SUM(P22:P23)</f>
        <v>14845.407503067501</v>
      </c>
    </row>
    <row r="25" spans="2:20" x14ac:dyDescent="0.3">
      <c r="B25" s="306"/>
      <c r="L25" s="116"/>
      <c r="N25" s="97"/>
      <c r="O25" s="7"/>
      <c r="P25" s="600"/>
    </row>
    <row r="26" spans="2:20" ht="15.6" x14ac:dyDescent="0.3">
      <c r="B26" s="312" t="s">
        <v>154</v>
      </c>
      <c r="C26" s="88">
        <f t="shared" ref="C26:N26" si="5">C19-C24</f>
        <v>-571.14</v>
      </c>
      <c r="D26" s="88">
        <f t="shared" si="5"/>
        <v>-774.06</v>
      </c>
      <c r="E26" s="88">
        <f t="shared" si="5"/>
        <v>-1076.0800000000002</v>
      </c>
      <c r="F26" s="88">
        <f t="shared" si="5"/>
        <v>-1064.21</v>
      </c>
      <c r="G26" s="88">
        <f t="shared" si="5"/>
        <v>617.13000000000011</v>
      </c>
      <c r="H26" s="88">
        <f t="shared" si="5"/>
        <v>3359.93</v>
      </c>
      <c r="I26" s="88">
        <f t="shared" si="5"/>
        <v>3386.26</v>
      </c>
      <c r="J26" s="88">
        <f t="shared" si="5"/>
        <v>-296.68999999999994</v>
      </c>
      <c r="K26" s="88">
        <f t="shared" si="5"/>
        <v>761.86</v>
      </c>
      <c r="L26" s="153">
        <f t="shared" si="5"/>
        <v>-38.440000000000055</v>
      </c>
      <c r="M26" s="88">
        <f t="shared" si="5"/>
        <v>-694.25704340043876</v>
      </c>
      <c r="N26" s="314">
        <f t="shared" si="5"/>
        <v>3537.2295403329363</v>
      </c>
      <c r="P26" s="607">
        <f>P19-P24</f>
        <v>7147.5324969325011</v>
      </c>
    </row>
    <row r="27" spans="2:20" x14ac:dyDescent="0.3">
      <c r="B27" s="315" t="s">
        <v>155</v>
      </c>
      <c r="C27" s="90">
        <f t="shared" ref="C27:N27" si="6">IFERROR(C26/C14, 0)</f>
        <v>0</v>
      </c>
      <c r="D27" s="90">
        <f t="shared" si="6"/>
        <v>-2.0920540540540538</v>
      </c>
      <c r="E27" s="90">
        <f t="shared" si="6"/>
        <v>-2.1099607843137256</v>
      </c>
      <c r="F27" s="90">
        <f t="shared" si="6"/>
        <v>0</v>
      </c>
      <c r="G27" s="90">
        <f t="shared" si="6"/>
        <v>0.37401818181818186</v>
      </c>
      <c r="H27" s="90">
        <f t="shared" si="6"/>
        <v>0.85169328263624833</v>
      </c>
      <c r="I27" s="90">
        <f t="shared" si="6"/>
        <v>0.71395800916730967</v>
      </c>
      <c r="J27" s="90">
        <f t="shared" si="6"/>
        <v>-0.41206944444444438</v>
      </c>
      <c r="K27" s="90">
        <f t="shared" si="6"/>
        <v>0.44683870967741934</v>
      </c>
      <c r="L27" s="154">
        <f t="shared" si="6"/>
        <v>-4.7456790123456855E-2</v>
      </c>
      <c r="M27" s="90">
        <f t="shared" si="6"/>
        <v>-0.29417671330527068</v>
      </c>
      <c r="N27" s="316">
        <f t="shared" si="6"/>
        <v>0.68286284562411892</v>
      </c>
      <c r="O27" s="132"/>
      <c r="P27" s="608">
        <f>P26/P14</f>
        <v>0.32499213369983732</v>
      </c>
    </row>
    <row r="28" spans="2:20" ht="15.6" x14ac:dyDescent="0.3">
      <c r="B28" s="320"/>
      <c r="C28" s="82"/>
      <c r="D28" s="82"/>
      <c r="E28" s="82"/>
      <c r="F28" s="82"/>
      <c r="G28" s="82"/>
      <c r="H28" s="82"/>
      <c r="I28" s="82"/>
      <c r="J28" s="82"/>
      <c r="K28" s="82"/>
      <c r="L28" s="156"/>
      <c r="M28" s="82"/>
      <c r="N28" s="321"/>
      <c r="O28" s="313"/>
      <c r="P28" s="610"/>
    </row>
    <row r="29" spans="2:20" x14ac:dyDescent="0.3">
      <c r="B29" s="306" t="s">
        <v>156</v>
      </c>
      <c r="C29" s="132">
        <f>SUMIF('Monthly Detail'!$4:$4, '2024 Overview'!C$11, 'Monthly Detail'!89:89)</f>
        <v>0</v>
      </c>
      <c r="D29" s="132">
        <f>SUMIF('Monthly Detail'!$4:$4, '2024 Overview'!D$11, 'Monthly Detail'!89:89)</f>
        <v>0</v>
      </c>
      <c r="E29" s="132">
        <f>SUMIF('Monthly Detail'!$4:$4, '2024 Overview'!E$11, 'Monthly Detail'!89:89)</f>
        <v>0</v>
      </c>
      <c r="F29" s="132">
        <f>SUMIF('Monthly Detail'!$4:$4, '2024 Overview'!F$11, 'Monthly Detail'!89:89)</f>
        <v>0</v>
      </c>
      <c r="G29" s="132">
        <f>SUMIF('Monthly Detail'!$4:$4, '2024 Overview'!G$11, 'Monthly Detail'!89:89)</f>
        <v>0</v>
      </c>
      <c r="H29" s="132">
        <f>SUMIF('Monthly Detail'!$4:$4, '2024 Overview'!H$11, 'Monthly Detail'!89:89)</f>
        <v>0</v>
      </c>
      <c r="I29" s="132">
        <f>SUMIF('Monthly Detail'!$4:$4, '2024 Overview'!I$11, 'Monthly Detail'!89:89)</f>
        <v>0</v>
      </c>
      <c r="J29" s="132">
        <f>SUMIF('Monthly Detail'!$4:$4, '2024 Overview'!J$11, 'Monthly Detail'!89:89)</f>
        <v>0</v>
      </c>
      <c r="K29" s="132">
        <f>SUMIF('Monthly Detail'!$4:$4, '2024 Overview'!K$11, 'Monthly Detail'!89:89)</f>
        <v>0</v>
      </c>
      <c r="L29" s="157">
        <f>SUMIF('Monthly Detail'!$4:$4, '2024 Overview'!L$11, 'Monthly Detail'!89:89)</f>
        <v>0</v>
      </c>
      <c r="M29" s="132">
        <f>SUMIF('Monthly Detail'!$4:$4, '2024 Overview'!M$11, 'Monthly Detail'!89:89)</f>
        <v>0</v>
      </c>
      <c r="N29" s="598">
        <f>SUMIF('Monthly Detail'!$4:$4, '2024 Overview'!N$11, 'Monthly Detail'!89:89)</f>
        <v>0</v>
      </c>
      <c r="O29" s="7"/>
      <c r="P29" s="611">
        <f>SUM(C29:O29)</f>
        <v>0</v>
      </c>
    </row>
    <row r="30" spans="2:20" ht="15.6" x14ac:dyDescent="0.3">
      <c r="B30" s="312" t="s">
        <v>11</v>
      </c>
      <c r="C30" s="88">
        <f t="shared" ref="C30:N30" si="7">C26+SUM(C29:C29)</f>
        <v>-571.14</v>
      </c>
      <c r="D30" s="88">
        <f t="shared" si="7"/>
        <v>-774.06</v>
      </c>
      <c r="E30" s="88">
        <f t="shared" si="7"/>
        <v>-1076.0800000000002</v>
      </c>
      <c r="F30" s="88">
        <f t="shared" si="7"/>
        <v>-1064.21</v>
      </c>
      <c r="G30" s="88">
        <f t="shared" si="7"/>
        <v>617.13000000000011</v>
      </c>
      <c r="H30" s="88">
        <f t="shared" si="7"/>
        <v>3359.93</v>
      </c>
      <c r="I30" s="88">
        <f t="shared" si="7"/>
        <v>3386.26</v>
      </c>
      <c r="J30" s="88">
        <f t="shared" si="7"/>
        <v>-296.68999999999994</v>
      </c>
      <c r="K30" s="88">
        <f t="shared" si="7"/>
        <v>761.86</v>
      </c>
      <c r="L30" s="153">
        <f t="shared" si="7"/>
        <v>-38.440000000000055</v>
      </c>
      <c r="M30" s="88">
        <f t="shared" si="7"/>
        <v>-694.25704340043876</v>
      </c>
      <c r="N30" s="314">
        <f t="shared" si="7"/>
        <v>3537.2295403329363</v>
      </c>
      <c r="P30" s="607">
        <f>P26+SUM(P29:P29)</f>
        <v>7147.5324969325011</v>
      </c>
    </row>
    <row r="31" spans="2:20" x14ac:dyDescent="0.3">
      <c r="B31" s="315" t="s">
        <v>157</v>
      </c>
      <c r="C31" s="90">
        <f t="shared" ref="C31:N31" si="8">IFERROR(C30/C14, 0)</f>
        <v>0</v>
      </c>
      <c r="D31" s="90">
        <f t="shared" si="8"/>
        <v>-2.0920540540540538</v>
      </c>
      <c r="E31" s="90">
        <f t="shared" si="8"/>
        <v>-2.1099607843137256</v>
      </c>
      <c r="F31" s="90">
        <f t="shared" si="8"/>
        <v>0</v>
      </c>
      <c r="G31" s="90">
        <f t="shared" si="8"/>
        <v>0.37401818181818186</v>
      </c>
      <c r="H31" s="90">
        <f t="shared" si="8"/>
        <v>0.85169328263624833</v>
      </c>
      <c r="I31" s="90">
        <f t="shared" si="8"/>
        <v>0.71395800916730967</v>
      </c>
      <c r="J31" s="90">
        <f t="shared" si="8"/>
        <v>-0.41206944444444438</v>
      </c>
      <c r="K31" s="90">
        <f t="shared" si="8"/>
        <v>0.44683870967741934</v>
      </c>
      <c r="L31" s="154">
        <f t="shared" si="8"/>
        <v>-4.7456790123456855E-2</v>
      </c>
      <c r="M31" s="90">
        <f t="shared" si="8"/>
        <v>-0.29417671330527068</v>
      </c>
      <c r="N31" s="316">
        <f t="shared" si="8"/>
        <v>0.68286284562411892</v>
      </c>
      <c r="P31" s="608">
        <f>P30/P14</f>
        <v>0.32499213369983732</v>
      </c>
    </row>
    <row r="32" spans="2:20" ht="15" thickBot="1" x14ac:dyDescent="0.35">
      <c r="B32" s="306"/>
      <c r="L32" s="109"/>
      <c r="N32" s="97"/>
      <c r="P32" s="97"/>
    </row>
    <row r="33" spans="2:16" ht="15" thickBot="1" x14ac:dyDescent="0.35">
      <c r="B33" s="415" t="s">
        <v>266</v>
      </c>
      <c r="C33" s="421">
        <f>+'Monthly Detail'!T104</f>
        <v>0</v>
      </c>
      <c r="D33" s="420">
        <f>+'Monthly Detail'!U104</f>
        <v>383.517</v>
      </c>
      <c r="E33" s="420">
        <f>+'Monthly Detail'!V104</f>
        <v>-66.795000000000002</v>
      </c>
      <c r="F33" s="420">
        <f>+'Monthly Detail'!W104</f>
        <v>165.43800000000002</v>
      </c>
      <c r="G33" s="420">
        <f>+'Monthly Detail'!X104</f>
        <v>92.271000000000001</v>
      </c>
      <c r="H33" s="420">
        <f>+'Monthly Detail'!Y104</f>
        <v>438.16799999999995</v>
      </c>
      <c r="I33" s="420">
        <f>+'Monthly Detail'!Z104</f>
        <v>685.89</v>
      </c>
      <c r="J33" s="420">
        <f>+'Monthly Detail'!AA104</f>
        <v>3.2160000000000002</v>
      </c>
      <c r="K33" s="420">
        <f>+'Monthly Detail'!AB104</f>
        <v>36.137999999999998</v>
      </c>
      <c r="L33" s="420">
        <f>+'Monthly Detail'!AC104</f>
        <v>180.48599999999999</v>
      </c>
      <c r="M33" s="420">
        <f>+'Monthly Detail'!AD104</f>
        <v>39.680906116800614</v>
      </c>
      <c r="N33" s="422">
        <f>+'Monthly Detail'!AE104</f>
        <v>302.43457066462491</v>
      </c>
      <c r="P33" s="97"/>
    </row>
    <row r="34" spans="2:16" ht="15" thickBot="1" x14ac:dyDescent="0.35">
      <c r="B34" s="416" t="s">
        <v>262</v>
      </c>
      <c r="C34" s="418">
        <f>+'Monthly Detail'!T103</f>
        <v>0</v>
      </c>
      <c r="D34" s="417">
        <f>+'Monthly Detail'!U103</f>
        <v>1278.3900000000001</v>
      </c>
      <c r="E34" s="417">
        <f>+'Monthly Detail'!V103</f>
        <v>-222.65</v>
      </c>
      <c r="F34" s="417">
        <f>+'Monthly Detail'!W103</f>
        <v>551.46</v>
      </c>
      <c r="G34" s="417">
        <f>+'Monthly Detail'!X103</f>
        <v>307.57</v>
      </c>
      <c r="H34" s="417">
        <f>+'Monthly Detail'!Y103</f>
        <v>1460.56</v>
      </c>
      <c r="I34" s="417">
        <f>+'Monthly Detail'!Z103</f>
        <v>2286.3000000000002</v>
      </c>
      <c r="J34" s="417">
        <f>+'Monthly Detail'!AA103</f>
        <v>10.72</v>
      </c>
      <c r="K34" s="417">
        <f>+'Monthly Detail'!AB103</f>
        <v>120.46</v>
      </c>
      <c r="L34" s="417">
        <f>+'Monthly Detail'!AC103</f>
        <v>601.62</v>
      </c>
      <c r="M34" s="417">
        <f>+'Monthly Detail'!AD103</f>
        <v>132.26968705600206</v>
      </c>
      <c r="N34" s="419">
        <f>+'Monthly Detail'!AE103</f>
        <v>1008.1152355487498</v>
      </c>
      <c r="P34" s="97"/>
    </row>
    <row r="35" spans="2:16" ht="15" thickBot="1" x14ac:dyDescent="0.35">
      <c r="B35" s="85" t="s">
        <v>270</v>
      </c>
      <c r="C35" s="472">
        <f>SUMIF('Monthly Detail'!$4:$4, '2024 Overview'!C$11, 'Monthly Detail'!146:146)</f>
        <v>0</v>
      </c>
      <c r="D35" s="473">
        <f>SUMIF('Monthly Detail'!$4:$4, '2024 Overview'!D$11, 'Monthly Detail'!146:146)</f>
        <v>1278.3900000000003</v>
      </c>
      <c r="E35" s="473">
        <f>SUMIF('Monthly Detail'!$4:$4, '2024 Overview'!E$11, 'Monthly Detail'!146:146)</f>
        <v>-1501.0400000000002</v>
      </c>
      <c r="F35" s="473">
        <f>SUMIF('Monthly Detail'!$4:$4, '2024 Overview'!F$11, 'Monthly Detail'!146:146)</f>
        <v>774.10999999999876</v>
      </c>
      <c r="G35" s="472">
        <f>SUMIF('Monthly Detail'!$4:$4, '2024 Overview'!G$11, 'Monthly Detail'!146:146)</f>
        <v>-243.88999999999851</v>
      </c>
      <c r="H35" s="473">
        <f>SUMIF('Monthly Detail'!$4:$4, '2024 Overview'!H$11, 'Monthly Detail'!146:146)</f>
        <v>1152.9899999999993</v>
      </c>
      <c r="I35" s="473">
        <f>SUMIF('Monthly Detail'!$4:$4, '2024 Overview'!I$11, 'Monthly Detail'!146:146)</f>
        <v>825.73999999999978</v>
      </c>
      <c r="J35" s="473">
        <f>SUMIF('Monthly Detail'!$4:$4, '2024 Overview'!J$11, 'Monthly Detail'!146:146)</f>
        <v>-2275.5800000000004</v>
      </c>
      <c r="K35" s="473">
        <f>SUMIF('Monthly Detail'!$4:$4, '2024 Overview'!K$11, 'Monthly Detail'!146:146)</f>
        <v>109.74000000000103</v>
      </c>
      <c r="L35" s="644">
        <f>SUMIF('Monthly Detail'!$4:$4, '2024 Overview'!L$11, 'Monthly Detail'!146:146)</f>
        <v>481.16000000000031</v>
      </c>
      <c r="M35" s="473">
        <f>SUMIF('Monthly Detail'!$4:$4, '2024 Overview'!M$11, 'Monthly Detail'!146:146)</f>
        <v>-469.35031294399795</v>
      </c>
      <c r="N35" s="472">
        <f>SUMIF('Monthly Detail'!$4:$4, '2024 Overview'!N$11, 'Monthly Detail'!146:146)</f>
        <v>875.84554849274764</v>
      </c>
      <c r="P35" s="97"/>
    </row>
    <row r="36" spans="2:16" ht="15" thickBot="1" x14ac:dyDescent="0.35">
      <c r="B36" s="323" t="s">
        <v>263</v>
      </c>
      <c r="C36" s="474">
        <f>+'Monthly Detail'!T87</f>
        <v>-571.14</v>
      </c>
      <c r="D36" s="475">
        <f>+'Monthly Detail'!U87</f>
        <v>-1144.06</v>
      </c>
      <c r="E36" s="475">
        <f>+'Monthly Detail'!V87</f>
        <v>-1586.0800000000002</v>
      </c>
      <c r="F36" s="475">
        <f>+'Monthly Detail'!W87</f>
        <v>-1064.21</v>
      </c>
      <c r="G36" s="475">
        <f>+'Monthly Detail'!X87</f>
        <v>-1032.8699999999999</v>
      </c>
      <c r="H36" s="475">
        <f>+'Monthly Detail'!Y87</f>
        <v>-585.07000000000005</v>
      </c>
      <c r="I36" s="475">
        <f>+'Monthly Detail'!Z87</f>
        <v>-1356.68</v>
      </c>
      <c r="J36" s="475">
        <f>+'Monthly Detail'!AA87</f>
        <v>-1016.6899999999999</v>
      </c>
      <c r="K36" s="475">
        <f>+'Monthly Detail'!AB87</f>
        <v>-943.14</v>
      </c>
      <c r="L36" s="475">
        <f>+'Monthly Detail'!AC87</f>
        <v>-834.44</v>
      </c>
      <c r="M36" s="475">
        <f>+'Monthly Detail'!AD87</f>
        <v>-3029.2570434004388</v>
      </c>
      <c r="N36" s="475">
        <f>+'Monthly Detail'!AE87</f>
        <v>-1142.7704596670637</v>
      </c>
      <c r="P36" s="97"/>
    </row>
    <row r="37" spans="2:16" ht="15" thickBot="1" x14ac:dyDescent="0.35">
      <c r="B37" s="323" t="s">
        <v>269</v>
      </c>
      <c r="C37" s="474">
        <f>+'Monthly Detail'!T132</f>
        <v>-1907.08</v>
      </c>
      <c r="D37" s="475">
        <f>+'Monthly Detail'!U132</f>
        <v>-5195.53</v>
      </c>
      <c r="E37" s="475">
        <f>+'Monthly Detail'!V132</f>
        <v>-1858.4100000000008</v>
      </c>
      <c r="F37" s="475">
        <f>+'Monthly Detail'!W132</f>
        <v>-893.65999999999985</v>
      </c>
      <c r="G37" s="475">
        <f>+'Monthly Detail'!X132</f>
        <v>-890.77999999999884</v>
      </c>
      <c r="H37" s="475">
        <f>+'Monthly Detail'!Y132</f>
        <v>-2205.59</v>
      </c>
      <c r="I37" s="475">
        <f>+'Monthly Detail'!Z132</f>
        <v>-2421.5500000000011</v>
      </c>
      <c r="J37" s="475">
        <f>+'Monthly Detail'!AA132</f>
        <v>-1794.8099999999995</v>
      </c>
      <c r="K37" s="475">
        <f>+'Monthly Detail'!AB132</f>
        <v>-642.97999999999956</v>
      </c>
      <c r="L37" s="475">
        <f>+'Monthly Detail'!AC132</f>
        <v>217.77000000000044</v>
      </c>
      <c r="M37" s="475">
        <f>+'Monthly Detail'!AD132</f>
        <v>0</v>
      </c>
      <c r="N37" s="475">
        <f>+'Monthly Detail'!AE132</f>
        <v>-2476.0606782330551</v>
      </c>
      <c r="P37" s="97"/>
    </row>
    <row r="38" spans="2:16" ht="15" thickBot="1" x14ac:dyDescent="0.35">
      <c r="B38" s="323" t="s">
        <v>265</v>
      </c>
      <c r="C38" s="472">
        <f>+C33+SUM('Monthly Detail'!U87:AG87)</f>
        <v>-16253.073446807339</v>
      </c>
      <c r="D38" s="476">
        <f>+D33+SUM('Monthly Detail'!V87:AH87)</f>
        <v>-15865.993417910313</v>
      </c>
      <c r="E38" s="476">
        <f>+E33+SUM('Monthly Detail'!W87:AI87)</f>
        <v>-18091.752483423479</v>
      </c>
      <c r="F38" s="476">
        <f>+F33+SUM('Monthly Detail'!X87:AJ87)</f>
        <v>-18019.868661981363</v>
      </c>
      <c r="G38" s="476">
        <f>+G33+SUM('Monthly Detail'!Y87:AK87)</f>
        <v>-18952.290524185213</v>
      </c>
      <c r="H38" s="476">
        <f>+H33+SUM('Monthly Detail'!Z87:AL87)</f>
        <v>-20111.089881537813</v>
      </c>
      <c r="I38" s="476">
        <f>+I33+SUM('Monthly Detail'!AA87:AM87)</f>
        <v>-19846.57797900253</v>
      </c>
      <c r="J38" s="476">
        <f>+J33+SUM('Monthly Detail'!AB87:AN87)</f>
        <v>-20788.158511903668</v>
      </c>
      <c r="K38" s="476">
        <f>+K33+SUM('Monthly Detail'!AC87:AO87)</f>
        <v>-21241.601094535934</v>
      </c>
      <c r="L38" s="476">
        <f>+L33+SUM('Monthly Detail'!AD87:AP87)</f>
        <v>-21468.282468933849</v>
      </c>
      <c r="M38" s="476">
        <f>+M33+SUM('Monthly Detail'!AE87:AQ87)</f>
        <v>-19865.562388336988</v>
      </c>
      <c r="N38" s="476">
        <f>+N33+SUM('Monthly Detail'!AF87:AR87)</f>
        <v>-22406.391721717449</v>
      </c>
      <c r="P38" s="97"/>
    </row>
    <row r="39" spans="2:16" ht="15" thickBot="1" x14ac:dyDescent="0.35">
      <c r="B39" s="323" t="s">
        <v>271</v>
      </c>
      <c r="C39" s="476">
        <f>+C34+SUM('Monthly Detail'!V132:AG132)</f>
        <v>-18964.21701761517</v>
      </c>
      <c r="D39" s="476">
        <f>+D34+SUM('Monthly Detail'!W132:AH132)</f>
        <v>-18195.533137843086</v>
      </c>
      <c r="E39" s="476">
        <f>+E34+SUM('Monthly Detail'!X132:AI132)</f>
        <v>-20775.865663983866</v>
      </c>
      <c r="F39" s="476">
        <f>+F34+SUM('Monthly Detail'!Y132:AJ132)</f>
        <v>-22742.029122193351</v>
      </c>
      <c r="G39" s="476">
        <f>+G34+SUM('Monthly Detail'!Z132:AK132)</f>
        <v>-32971.898889210657</v>
      </c>
      <c r="H39" s="476">
        <f>+H34+SUM('Monthly Detail'!AA132:AL132)</f>
        <v>-41887.247397015832</v>
      </c>
      <c r="I39" s="476">
        <f>+I34+SUM('Monthly Detail'!AB132:AM132)</f>
        <v>-42876.209374320133</v>
      </c>
      <c r="J39" s="476">
        <f>+J34+SUM('Monthly Detail'!AC132:AN132)</f>
        <v>-48791.843786152051</v>
      </c>
      <c r="K39" s="476">
        <f>+K34+SUM('Monthly Detail'!AD132:AO132)</f>
        <v>-53088.830530840154</v>
      </c>
      <c r="L39" s="476">
        <f>+L34+SUM('Monthly Detail'!AE132:AP132)</f>
        <v>-56060.177030019848</v>
      </c>
      <c r="M39" s="476">
        <f>+M34+SUM('Monthly Detail'!AF132:AQ132)</f>
        <v>-58555.479331036178</v>
      </c>
      <c r="N39" s="476">
        <f>+N34+SUM('Monthly Detail'!AG132:AR132)</f>
        <v>-57535.218864002629</v>
      </c>
      <c r="P39" s="97"/>
    </row>
    <row r="40" spans="2:16" ht="15" thickBot="1" x14ac:dyDescent="0.35">
      <c r="B40" s="323" t="s">
        <v>267</v>
      </c>
      <c r="C40" s="414">
        <v>0</v>
      </c>
      <c r="D40" s="455">
        <f>+D33/-D36</f>
        <v>0.33522455115990424</v>
      </c>
      <c r="E40" s="455">
        <f>+E33/E36</f>
        <v>4.2113260365177034E-2</v>
      </c>
      <c r="F40" s="455">
        <f t="shared" ref="F40:J40" si="9">+F33/-F36</f>
        <v>0.15545615996842729</v>
      </c>
      <c r="G40" s="455">
        <f t="shared" ref="G40" si="10">+G33/-G36</f>
        <v>8.9334572598681355E-2</v>
      </c>
      <c r="H40" s="455">
        <f t="shared" si="9"/>
        <v>0.74891551438289417</v>
      </c>
      <c r="I40" s="455">
        <f t="shared" si="9"/>
        <v>0.50556505587168676</v>
      </c>
      <c r="J40" s="455">
        <f t="shared" si="9"/>
        <v>3.1632060903520249E-3</v>
      </c>
      <c r="K40" s="455">
        <f t="shared" ref="K40:N40" si="11">+K33/-K36</f>
        <v>3.8316686812138179E-2</v>
      </c>
      <c r="L40" s="455">
        <f t="shared" si="11"/>
        <v>0.21629595896649248</v>
      </c>
      <c r="M40" s="455">
        <f t="shared" si="11"/>
        <v>1.3099220550877226E-2</v>
      </c>
      <c r="N40" s="455">
        <f t="shared" si="11"/>
        <v>0.26465032247397835</v>
      </c>
      <c r="P40" s="97"/>
    </row>
    <row r="41" spans="2:16" x14ac:dyDescent="0.3">
      <c r="B41" s="323" t="s">
        <v>268</v>
      </c>
      <c r="C41" s="414">
        <f>+IFERROR(C34/C37, 0)</f>
        <v>0</v>
      </c>
      <c r="D41" s="455">
        <f>+IFERROR(D34/-D37, 0)</f>
        <v>0.24605574407230835</v>
      </c>
      <c r="E41" s="455">
        <f>+IFERROR(E34/E37, 0)</f>
        <v>0.11980671649420736</v>
      </c>
      <c r="F41" s="455">
        <f t="shared" ref="F41:N41" si="12">+IFERROR(F34/-F37, 0)</f>
        <v>0.61708032137501967</v>
      </c>
      <c r="G41" s="455">
        <f t="shared" ref="G41" si="13">+IFERROR(G34/-G37, 0)</f>
        <v>0.3452816632614118</v>
      </c>
      <c r="H41" s="455">
        <f t="shared" si="12"/>
        <v>0.662208298006429</v>
      </c>
      <c r="I41" s="455">
        <f t="shared" si="12"/>
        <v>0.9441473436435337</v>
      </c>
      <c r="J41" s="455">
        <f t="shared" si="12"/>
        <v>5.9727770627531623E-3</v>
      </c>
      <c r="K41" s="455">
        <f t="shared" si="12"/>
        <v>0.18734641824006978</v>
      </c>
      <c r="L41" s="455">
        <f t="shared" si="12"/>
        <v>-2.7626394820223115</v>
      </c>
      <c r="M41" s="455">
        <f t="shared" si="12"/>
        <v>0</v>
      </c>
      <c r="N41" s="455">
        <f t="shared" si="12"/>
        <v>0.40714480239157635</v>
      </c>
      <c r="P41" s="97"/>
    </row>
    <row r="42" spans="2:16" x14ac:dyDescent="0.3">
      <c r="B42" s="96"/>
      <c r="E42" s="9"/>
      <c r="P42" s="97"/>
    </row>
    <row r="43" spans="2:16" x14ac:dyDescent="0.3">
      <c r="B43" s="96"/>
      <c r="P43" s="97"/>
    </row>
    <row r="44" spans="2:16" x14ac:dyDescent="0.3">
      <c r="B44" s="96"/>
      <c r="P44" s="97"/>
    </row>
    <row r="45" spans="2:16" x14ac:dyDescent="0.3">
      <c r="B45" s="96"/>
      <c r="P45" s="97"/>
    </row>
    <row r="46" spans="2:16" x14ac:dyDescent="0.3">
      <c r="B46" s="96"/>
      <c r="P46" s="97"/>
    </row>
    <row r="47" spans="2:16" x14ac:dyDescent="0.3">
      <c r="B47" s="96"/>
      <c r="P47" s="97"/>
    </row>
    <row r="48" spans="2:16" x14ac:dyDescent="0.3">
      <c r="B48" s="96"/>
      <c r="P48" s="97"/>
    </row>
    <row r="49" spans="2:16" x14ac:dyDescent="0.3">
      <c r="B49" s="96"/>
      <c r="P49" s="97"/>
    </row>
    <row r="50" spans="2:16" x14ac:dyDescent="0.3">
      <c r="B50" s="96"/>
      <c r="P50" s="97"/>
    </row>
    <row r="51" spans="2:16" x14ac:dyDescent="0.3">
      <c r="B51" s="96"/>
      <c r="P51" s="97"/>
    </row>
    <row r="52" spans="2:16" x14ac:dyDescent="0.3">
      <c r="B52" s="96"/>
      <c r="P52" s="97"/>
    </row>
    <row r="53" spans="2:16" x14ac:dyDescent="0.3">
      <c r="B53" s="96"/>
      <c r="P53" s="97"/>
    </row>
    <row r="54" spans="2:16" x14ac:dyDescent="0.3">
      <c r="B54" s="96"/>
      <c r="P54" s="97"/>
    </row>
    <row r="55" spans="2:16" x14ac:dyDescent="0.3">
      <c r="B55" s="96"/>
      <c r="P55" s="97"/>
    </row>
    <row r="56" spans="2:16" x14ac:dyDescent="0.3">
      <c r="B56" s="96"/>
      <c r="P56" s="97"/>
    </row>
    <row r="57" spans="2:16" ht="15" thickBot="1" x14ac:dyDescent="0.35">
      <c r="B57" s="96"/>
      <c r="O57" s="109"/>
      <c r="P57" s="97"/>
    </row>
    <row r="58" spans="2:16" x14ac:dyDescent="0.3">
      <c r="B58" s="96"/>
      <c r="P58" s="97"/>
    </row>
    <row r="59" spans="2:16" ht="99.75" customHeight="1" thickBot="1" x14ac:dyDescent="0.35">
      <c r="B59" s="107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10"/>
    </row>
  </sheetData>
  <mergeCells count="1">
    <mergeCell ref="B7:P9"/>
  </mergeCells>
  <conditionalFormatting sqref="D37:N37">
    <cfRule type="cellIs" dxfId="1" priority="1" operator="greaterThan">
      <formula>0</formula>
    </cfRule>
  </conditionalFormatting>
  <pageMargins left="0.25" right="0.25" top="0.75" bottom="0.75" header="0.3" footer="0.3"/>
  <pageSetup scale="45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2A49-8412-485E-8933-B0D98A6C6446}">
  <sheetPr>
    <tabColor theme="1"/>
    <pageSetUpPr fitToPage="1"/>
  </sheetPr>
  <dimension ref="B7:T33"/>
  <sheetViews>
    <sheetView showGridLines="0" zoomScale="58" workbookViewId="0">
      <selection activeCell="B10" sqref="B10:P32"/>
    </sheetView>
  </sheetViews>
  <sheetFormatPr defaultRowHeight="14.4" x14ac:dyDescent="0.3"/>
  <cols>
    <col min="2" max="2" width="37" bestFit="1" customWidth="1"/>
    <col min="3" max="3" width="15.44140625" bestFit="1" customWidth="1"/>
    <col min="4" max="5" width="15.6640625" bestFit="1" customWidth="1"/>
    <col min="6" max="10" width="14.88671875" bestFit="1" customWidth="1"/>
    <col min="11" max="13" width="16.109375" bestFit="1" customWidth="1"/>
    <col min="14" max="14" width="16.44140625" bestFit="1" customWidth="1"/>
    <col min="15" max="15" width="2.44140625" customWidth="1"/>
    <col min="16" max="16" width="12.6640625" bestFit="1" customWidth="1"/>
  </cols>
  <sheetData>
    <row r="7" spans="2:16" x14ac:dyDescent="0.3">
      <c r="F7" s="649" t="s">
        <v>239</v>
      </c>
      <c r="G7" s="649"/>
      <c r="H7" s="649"/>
      <c r="I7" s="649"/>
      <c r="J7" s="649"/>
      <c r="K7" s="649"/>
      <c r="L7" s="649"/>
    </row>
    <row r="8" spans="2:16" x14ac:dyDescent="0.3">
      <c r="F8" s="649"/>
      <c r="G8" s="649"/>
      <c r="H8" s="649"/>
      <c r="I8" s="649"/>
      <c r="J8" s="649"/>
      <c r="K8" s="649"/>
      <c r="L8" s="649"/>
    </row>
    <row r="10" spans="2:16" ht="15.6" x14ac:dyDescent="0.3">
      <c r="B10" s="68"/>
      <c r="C10" s="69" t="s">
        <v>326</v>
      </c>
      <c r="D10" s="69" t="s">
        <v>327</v>
      </c>
      <c r="E10" s="69" t="s">
        <v>328</v>
      </c>
      <c r="F10" s="69" t="s">
        <v>329</v>
      </c>
      <c r="G10" s="69" t="s">
        <v>330</v>
      </c>
      <c r="H10" s="69" t="s">
        <v>331</v>
      </c>
      <c r="I10" s="69" t="s">
        <v>332</v>
      </c>
      <c r="J10" s="69" t="s">
        <v>333</v>
      </c>
      <c r="K10" s="69" t="s">
        <v>334</v>
      </c>
      <c r="L10" s="69" t="s">
        <v>335</v>
      </c>
      <c r="M10" s="69" t="s">
        <v>336</v>
      </c>
      <c r="N10" s="69" t="s">
        <v>337</v>
      </c>
      <c r="O10" s="70"/>
      <c r="P10" s="71" t="s">
        <v>0</v>
      </c>
    </row>
    <row r="11" spans="2:16" x14ac:dyDescent="0.3">
      <c r="B11" s="7"/>
      <c r="C11" s="91">
        <v>45322</v>
      </c>
      <c r="D11" s="91">
        <v>45351</v>
      </c>
      <c r="E11" s="91">
        <v>45382</v>
      </c>
      <c r="F11" s="91">
        <v>45412</v>
      </c>
      <c r="G11" s="91">
        <v>45443</v>
      </c>
      <c r="H11" s="91">
        <v>45473</v>
      </c>
      <c r="I11" s="91">
        <v>45504</v>
      </c>
      <c r="J11" s="91">
        <v>45535</v>
      </c>
      <c r="K11" s="91">
        <v>45565</v>
      </c>
      <c r="L11" s="91">
        <v>45596</v>
      </c>
      <c r="M11" s="91">
        <v>45626</v>
      </c>
      <c r="N11" s="91">
        <v>45657</v>
      </c>
      <c r="O11" s="91">
        <v>45322</v>
      </c>
    </row>
    <row r="12" spans="2:16" x14ac:dyDescent="0.3">
      <c r="B12" s="72" t="s">
        <v>49</v>
      </c>
      <c r="C12" s="73">
        <v>0</v>
      </c>
      <c r="D12" s="73">
        <v>0</v>
      </c>
      <c r="E12" s="73">
        <v>0</v>
      </c>
      <c r="F12" s="73">
        <v>0</v>
      </c>
      <c r="G12" s="73">
        <v>2730</v>
      </c>
      <c r="H12" s="73">
        <v>5458.1746031746025</v>
      </c>
      <c r="I12" s="73">
        <v>9557.539682539682</v>
      </c>
      <c r="J12" s="73">
        <v>10746.031746031746</v>
      </c>
      <c r="K12" s="73">
        <v>5136.8253968253975</v>
      </c>
      <c r="L12" s="73">
        <v>5569.460317460318</v>
      </c>
      <c r="M12" s="73">
        <v>4951.5682539682548</v>
      </c>
      <c r="N12" s="73">
        <v>6741.2546031746033</v>
      </c>
      <c r="O12" s="73"/>
      <c r="P12" s="73">
        <v>50890.854603174601</v>
      </c>
    </row>
    <row r="13" spans="2:16" x14ac:dyDescent="0.3">
      <c r="B13" s="72" t="s">
        <v>160</v>
      </c>
      <c r="C13" s="73">
        <v>0</v>
      </c>
      <c r="D13" s="73">
        <v>0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0</v>
      </c>
      <c r="K13" s="73">
        <v>0</v>
      </c>
      <c r="L13" s="73">
        <v>0</v>
      </c>
      <c r="M13" s="73">
        <v>0</v>
      </c>
      <c r="N13" s="73">
        <v>0</v>
      </c>
      <c r="O13" s="73"/>
      <c r="P13" s="73"/>
    </row>
    <row r="14" spans="2:16" x14ac:dyDescent="0.3">
      <c r="B14" s="74" t="s">
        <v>2</v>
      </c>
      <c r="C14" s="74">
        <v>0</v>
      </c>
      <c r="D14" s="74">
        <v>0</v>
      </c>
      <c r="E14" s="74">
        <v>0</v>
      </c>
      <c r="F14" s="74">
        <v>0</v>
      </c>
      <c r="G14" s="74">
        <v>2730</v>
      </c>
      <c r="H14" s="74">
        <v>5458.1746031746025</v>
      </c>
      <c r="I14" s="74">
        <v>9557.539682539682</v>
      </c>
      <c r="J14" s="74">
        <v>10746.031746031746</v>
      </c>
      <c r="K14" s="74">
        <v>5136.8253968253975</v>
      </c>
      <c r="L14" s="74">
        <v>5569.460317460318</v>
      </c>
      <c r="M14" s="74">
        <v>4951.5682539682548</v>
      </c>
      <c r="N14" s="74">
        <v>6741.2546031746033</v>
      </c>
      <c r="O14" s="75"/>
      <c r="P14" s="74">
        <v>50890.854603174601</v>
      </c>
    </row>
    <row r="15" spans="2:16" x14ac:dyDescent="0.3">
      <c r="B15" s="268" t="s">
        <v>233</v>
      </c>
      <c r="C15" s="269">
        <v>20</v>
      </c>
      <c r="D15" s="269">
        <v>20</v>
      </c>
      <c r="E15" s="269">
        <v>20</v>
      </c>
      <c r="F15" s="269">
        <v>20</v>
      </c>
      <c r="G15" s="269">
        <v>9</v>
      </c>
      <c r="H15" s="269">
        <v>53.206349206349202</v>
      </c>
      <c r="I15" s="269">
        <v>57.365079365079367</v>
      </c>
      <c r="J15" s="269">
        <v>61.092063492063488</v>
      </c>
      <c r="K15" s="269">
        <v>30.473650793650791</v>
      </c>
      <c r="L15" s="269">
        <v>23.578920634920635</v>
      </c>
      <c r="M15" s="269">
        <v>16.953136507936506</v>
      </c>
      <c r="N15" s="269">
        <v>26.182509206349206</v>
      </c>
      <c r="O15" s="75"/>
      <c r="P15" s="76"/>
    </row>
    <row r="16" spans="2:16" x14ac:dyDescent="0.3">
      <c r="B16" s="239" t="s">
        <v>237</v>
      </c>
      <c r="C16" s="240">
        <v>0</v>
      </c>
      <c r="D16" s="240">
        <v>0</v>
      </c>
      <c r="E16" s="240">
        <v>0</v>
      </c>
      <c r="F16" s="240">
        <v>0</v>
      </c>
      <c r="G16" s="240">
        <v>0</v>
      </c>
      <c r="H16" s="240">
        <v>43.999999999999993</v>
      </c>
      <c r="I16" s="240">
        <v>46</v>
      </c>
      <c r="J16" s="240">
        <v>48</v>
      </c>
      <c r="K16" s="240">
        <v>7.5</v>
      </c>
      <c r="L16" s="240">
        <v>7.3500000000000005</v>
      </c>
      <c r="M16" s="240">
        <v>0</v>
      </c>
      <c r="N16" s="240">
        <v>7.5</v>
      </c>
      <c r="O16" s="75"/>
      <c r="P16" s="76"/>
    </row>
    <row r="17" spans="2:20" x14ac:dyDescent="0.3">
      <c r="B17" s="7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P17" s="76"/>
    </row>
    <row r="18" spans="2:20" ht="15.6" x14ac:dyDescent="0.3">
      <c r="B18" s="87" t="s">
        <v>151</v>
      </c>
      <c r="C18" s="88">
        <v>0</v>
      </c>
      <c r="D18" s="88">
        <v>0</v>
      </c>
      <c r="E18" s="88">
        <v>0</v>
      </c>
      <c r="F18" s="88">
        <v>0</v>
      </c>
      <c r="G18" s="88">
        <v>2730</v>
      </c>
      <c r="H18" s="88">
        <v>5458.1746031746025</v>
      </c>
      <c r="I18" s="88">
        <v>9557.539682539682</v>
      </c>
      <c r="J18" s="88">
        <v>10746.031746031746</v>
      </c>
      <c r="K18" s="88">
        <v>5136.8253968253975</v>
      </c>
      <c r="L18" s="88">
        <v>5569.460317460318</v>
      </c>
      <c r="M18" s="88">
        <v>4951.5682539682548</v>
      </c>
      <c r="N18" s="88">
        <v>6741.2546031746033</v>
      </c>
      <c r="O18" s="77"/>
      <c r="P18" s="88">
        <v>50890.854603174601</v>
      </c>
    </row>
    <row r="19" spans="2:20" x14ac:dyDescent="0.3">
      <c r="B19" s="89" t="s">
        <v>152</v>
      </c>
      <c r="C19" s="90" t="e">
        <v>#DIV/0!</v>
      </c>
      <c r="D19" s="90" t="e">
        <v>#DIV/0!</v>
      </c>
      <c r="E19" s="90" t="e">
        <v>#DIV/0!</v>
      </c>
      <c r="F19" s="90" t="e">
        <v>#DIV/0!</v>
      </c>
      <c r="G19" s="90">
        <v>1</v>
      </c>
      <c r="H19" s="90">
        <v>1</v>
      </c>
      <c r="I19" s="90">
        <v>1</v>
      </c>
      <c r="J19" s="90">
        <v>1</v>
      </c>
      <c r="K19" s="90">
        <v>1</v>
      </c>
      <c r="L19" s="90">
        <v>1</v>
      </c>
      <c r="M19" s="90">
        <v>1</v>
      </c>
      <c r="N19" s="90">
        <v>1</v>
      </c>
      <c r="O19" s="7"/>
      <c r="P19" s="90">
        <v>1</v>
      </c>
    </row>
    <row r="20" spans="2:20" x14ac:dyDescent="0.3">
      <c r="B20" s="7"/>
    </row>
    <row r="21" spans="2:20" x14ac:dyDescent="0.3">
      <c r="B21" s="7" t="s">
        <v>190</v>
      </c>
      <c r="C21" s="73">
        <v>571.14</v>
      </c>
      <c r="D21" s="73">
        <v>1133.8699999999999</v>
      </c>
      <c r="E21" s="73">
        <v>1572.06</v>
      </c>
      <c r="F21" s="73">
        <v>1064.21</v>
      </c>
      <c r="G21" s="73">
        <v>1032.8699999999999</v>
      </c>
      <c r="H21" s="73">
        <v>3287.01</v>
      </c>
      <c r="I21" s="73">
        <v>3301.4480952380954</v>
      </c>
      <c r="J21" s="73">
        <v>3399.8404761904762</v>
      </c>
      <c r="K21" s="73">
        <v>3437.01</v>
      </c>
      <c r="L21" s="73">
        <v>3287.01</v>
      </c>
      <c r="M21" s="73">
        <v>3287.01</v>
      </c>
      <c r="N21" s="73">
        <v>3437.01</v>
      </c>
      <c r="P21" s="73">
        <v>28810.488571428577</v>
      </c>
      <c r="T21" s="1"/>
    </row>
    <row r="22" spans="2:20" x14ac:dyDescent="0.3">
      <c r="B22" s="78" t="s">
        <v>153</v>
      </c>
      <c r="C22" s="79">
        <v>571.14</v>
      </c>
      <c r="D22" s="79">
        <v>1133.8699999999999</v>
      </c>
      <c r="E22" s="79">
        <v>1572.06</v>
      </c>
      <c r="F22" s="79">
        <v>1064.21</v>
      </c>
      <c r="G22" s="79">
        <v>1032.8699999999999</v>
      </c>
      <c r="H22" s="79">
        <v>3287.01</v>
      </c>
      <c r="I22" s="79">
        <v>3301.4480952380954</v>
      </c>
      <c r="J22" s="79">
        <v>3399.8404761904762</v>
      </c>
      <c r="K22" s="79">
        <v>3437.01</v>
      </c>
      <c r="L22" s="79">
        <v>3287.01</v>
      </c>
      <c r="M22" s="79">
        <v>3287.01</v>
      </c>
      <c r="N22" s="79">
        <v>3437.01</v>
      </c>
      <c r="O22" s="80"/>
      <c r="P22" s="79">
        <v>28810.488571428577</v>
      </c>
    </row>
    <row r="23" spans="2:20" x14ac:dyDescent="0.3">
      <c r="B23" s="7"/>
    </row>
    <row r="24" spans="2:20" ht="15.6" x14ac:dyDescent="0.3">
      <c r="B24" s="87" t="s">
        <v>154</v>
      </c>
      <c r="C24" s="88">
        <v>-571.14</v>
      </c>
      <c r="D24" s="88">
        <v>-1133.8699999999999</v>
      </c>
      <c r="E24" s="88">
        <v>-1572.06</v>
      </c>
      <c r="F24" s="88">
        <v>-1064.21</v>
      </c>
      <c r="G24" s="88">
        <v>1697.13</v>
      </c>
      <c r="H24" s="88">
        <v>2171.1646031746022</v>
      </c>
      <c r="I24" s="88">
        <v>6256.0915873015865</v>
      </c>
      <c r="J24" s="88">
        <v>7346.1912698412689</v>
      </c>
      <c r="K24" s="88">
        <v>1699.8153968253973</v>
      </c>
      <c r="L24" s="88">
        <v>2282.4503174603178</v>
      </c>
      <c r="M24" s="88">
        <v>1664.5582539682546</v>
      </c>
      <c r="N24" s="88">
        <v>3304.2446031746031</v>
      </c>
      <c r="O24" s="77"/>
      <c r="P24" s="88">
        <v>22080.366031746024</v>
      </c>
    </row>
    <row r="25" spans="2:20" x14ac:dyDescent="0.3">
      <c r="B25" s="89" t="s">
        <v>155</v>
      </c>
      <c r="C25" s="90" t="e">
        <v>#DIV/0!</v>
      </c>
      <c r="D25" s="90" t="e">
        <v>#DIV/0!</v>
      </c>
      <c r="E25" s="90" t="e">
        <v>#DIV/0!</v>
      </c>
      <c r="F25" s="90" t="e">
        <v>#DIV/0!</v>
      </c>
      <c r="G25" s="90">
        <v>0.6216593406593407</v>
      </c>
      <c r="H25" s="90">
        <v>0.39778218196094384</v>
      </c>
      <c r="I25" s="90">
        <v>0.65457134315964294</v>
      </c>
      <c r="J25" s="90">
        <v>0.68361898079763661</v>
      </c>
      <c r="K25" s="90">
        <v>0.33090776219022316</v>
      </c>
      <c r="L25" s="90">
        <v>0.40981534787218277</v>
      </c>
      <c r="M25" s="90">
        <v>0.33616789037175338</v>
      </c>
      <c r="N25" s="90">
        <v>0.49015276794597884</v>
      </c>
      <c r="O25" s="7"/>
      <c r="P25" s="90">
        <v>0.43387689603405949</v>
      </c>
    </row>
    <row r="26" spans="2:20" x14ac:dyDescent="0.3">
      <c r="B26" s="81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P26" s="82"/>
    </row>
    <row r="27" spans="2:20" x14ac:dyDescent="0.3">
      <c r="B27" s="7" t="s">
        <v>156</v>
      </c>
      <c r="C27" s="132">
        <v>0</v>
      </c>
      <c r="D27" s="129">
        <v>0</v>
      </c>
      <c r="E27" s="132">
        <v>0</v>
      </c>
      <c r="F27" s="129">
        <v>0</v>
      </c>
      <c r="G27" s="129">
        <v>0</v>
      </c>
      <c r="H27" s="129">
        <v>0</v>
      </c>
      <c r="I27" s="132">
        <v>0</v>
      </c>
      <c r="J27" s="129">
        <v>0</v>
      </c>
      <c r="K27" s="129">
        <v>0</v>
      </c>
      <c r="L27" s="129">
        <v>0</v>
      </c>
      <c r="M27" s="129">
        <v>0</v>
      </c>
      <c r="N27" s="129">
        <v>0</v>
      </c>
      <c r="O27" s="129"/>
      <c r="P27" s="113">
        <v>0</v>
      </c>
    </row>
    <row r="28" spans="2:20" ht="15.6" x14ac:dyDescent="0.3">
      <c r="B28" s="87" t="s">
        <v>11</v>
      </c>
      <c r="C28" s="88">
        <v>-571.14</v>
      </c>
      <c r="D28" s="88">
        <v>-1133.8699999999999</v>
      </c>
      <c r="E28" s="88">
        <v>-1572.06</v>
      </c>
      <c r="F28" s="88">
        <v>-1064.21</v>
      </c>
      <c r="G28" s="88">
        <v>1697.13</v>
      </c>
      <c r="H28" s="88">
        <v>2171.1646031746022</v>
      </c>
      <c r="I28" s="88">
        <v>6256.0915873015865</v>
      </c>
      <c r="J28" s="88">
        <v>7346.1912698412689</v>
      </c>
      <c r="K28" s="88">
        <v>1699.8153968253973</v>
      </c>
      <c r="L28" s="88">
        <v>2282.4503174603178</v>
      </c>
      <c r="M28" s="88">
        <v>1664.5582539682546</v>
      </c>
      <c r="N28" s="88">
        <v>3304.2446031746031</v>
      </c>
      <c r="O28" s="77"/>
      <c r="P28" s="88">
        <v>22080.366031746024</v>
      </c>
    </row>
    <row r="29" spans="2:20" x14ac:dyDescent="0.3">
      <c r="B29" s="89" t="s">
        <v>157</v>
      </c>
      <c r="C29" s="90" t="e">
        <v>#DIV/0!</v>
      </c>
      <c r="D29" s="90" t="e">
        <v>#DIV/0!</v>
      </c>
      <c r="E29" s="90" t="e">
        <v>#DIV/0!</v>
      </c>
      <c r="F29" s="90" t="e">
        <v>#DIV/0!</v>
      </c>
      <c r="G29" s="90">
        <v>0.6216593406593407</v>
      </c>
      <c r="H29" s="90">
        <v>0.39778218196094384</v>
      </c>
      <c r="I29" s="90">
        <v>0.65457134315964294</v>
      </c>
      <c r="J29" s="90">
        <v>0.68361898079763661</v>
      </c>
      <c r="K29" s="90">
        <v>0.33090776219022316</v>
      </c>
      <c r="L29" s="90">
        <v>0.40981534787218277</v>
      </c>
      <c r="M29" s="90">
        <v>0.33616789037175338</v>
      </c>
      <c r="N29" s="90">
        <v>0.49015276794597884</v>
      </c>
      <c r="O29" s="7"/>
      <c r="P29" s="90">
        <v>0.43387689603405949</v>
      </c>
    </row>
    <row r="30" spans="2:20" ht="15" thickBot="1" x14ac:dyDescent="0.35">
      <c r="B30" s="7"/>
    </row>
    <row r="31" spans="2:20" x14ac:dyDescent="0.3">
      <c r="B31" s="83" t="s">
        <v>158</v>
      </c>
      <c r="C31" s="84">
        <v>0</v>
      </c>
      <c r="D31" s="161">
        <v>1278.3900000000008</v>
      </c>
      <c r="E31" s="84">
        <v>-222.64999999999964</v>
      </c>
      <c r="F31" s="161">
        <v>551.46</v>
      </c>
      <c r="G31" s="84">
        <v>457.57000000000153</v>
      </c>
      <c r="H31" s="84">
        <v>1492.175583340128</v>
      </c>
      <c r="I31" s="84">
        <v>2620.5031302812172</v>
      </c>
      <c r="J31" s="161">
        <v>4479.0987316217816</v>
      </c>
      <c r="K31" s="84">
        <v>5700.600715333494</v>
      </c>
      <c r="L31" s="84">
        <v>6104.2566110377047</v>
      </c>
      <c r="M31" s="84">
        <v>6495.1398714993684</v>
      </c>
      <c r="N31" s="84">
        <v>6982.3790285577988</v>
      </c>
    </row>
    <row r="32" spans="2:20" ht="15" thickBot="1" x14ac:dyDescent="0.35">
      <c r="B32" s="85" t="s">
        <v>159</v>
      </c>
      <c r="C32" s="86">
        <v>0</v>
      </c>
      <c r="D32" s="162">
        <v>1278.3900000000008</v>
      </c>
      <c r="E32" s="86">
        <v>-1501.0400000000004</v>
      </c>
      <c r="F32" s="162">
        <v>774.10999999999967</v>
      </c>
      <c r="G32" s="86">
        <v>-93.889999999998508</v>
      </c>
      <c r="H32" s="86">
        <v>1034.6055833401265</v>
      </c>
      <c r="I32" s="86">
        <v>1128.3275469410892</v>
      </c>
      <c r="J32" s="162">
        <v>1858.5956013405648</v>
      </c>
      <c r="K32" s="86">
        <v>1221.501983711712</v>
      </c>
      <c r="L32" s="86">
        <v>403.65589570421093</v>
      </c>
      <c r="M32" s="86">
        <v>390.88326046166389</v>
      </c>
      <c r="N32" s="86">
        <v>487.23915705843046</v>
      </c>
    </row>
    <row r="33" spans="5:5" x14ac:dyDescent="0.3">
      <c r="E33" s="9"/>
    </row>
  </sheetData>
  <mergeCells count="1">
    <mergeCell ref="F7:L8"/>
  </mergeCells>
  <pageMargins left="0.25" right="0.25" top="0.75" bottom="0.75" header="0.3" footer="0.3"/>
  <pageSetup scale="54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779F-A4A7-4151-BD4E-7C8B08BFACF6}">
  <sheetPr>
    <tabColor theme="1"/>
    <pageSetUpPr fitToPage="1"/>
  </sheetPr>
  <dimension ref="B7:O39"/>
  <sheetViews>
    <sheetView showGridLines="0" topLeftCell="A4" zoomScale="85" zoomScaleNormal="85" workbookViewId="0">
      <selection activeCell="B1" sqref="B1:V34"/>
    </sheetView>
  </sheetViews>
  <sheetFormatPr defaultRowHeight="14.4" outlineLevelCol="1" x14ac:dyDescent="0.3"/>
  <cols>
    <col min="2" max="2" width="34" bestFit="1" customWidth="1"/>
    <col min="3" max="4" width="11.5546875" bestFit="1" customWidth="1"/>
    <col min="5" max="5" width="11.109375" customWidth="1" outlineLevel="1"/>
    <col min="6" max="6" width="11.5546875" bestFit="1" customWidth="1"/>
    <col min="7" max="7" width="11.88671875" customWidth="1" outlineLevel="1"/>
    <col min="8" max="8" width="11.88671875" bestFit="1" customWidth="1"/>
    <col min="9" max="9" width="11.44140625" hidden="1" customWidth="1" outlineLevel="1"/>
    <col min="10" max="10" width="2.6640625" customWidth="1" collapsed="1"/>
    <col min="11" max="11" width="9.88671875" bestFit="1" customWidth="1"/>
  </cols>
  <sheetData>
    <row r="7" spans="2:11" ht="15" thickBot="1" x14ac:dyDescent="0.35"/>
    <row r="8" spans="2:11" ht="21" x14ac:dyDescent="0.4">
      <c r="B8" s="651" t="s">
        <v>246</v>
      </c>
      <c r="C8" s="652"/>
      <c r="D8" s="652"/>
      <c r="E8" s="652"/>
      <c r="F8" s="652"/>
      <c r="G8" s="652"/>
      <c r="H8" s="652"/>
      <c r="I8" s="652"/>
      <c r="J8" s="652"/>
      <c r="K8" s="653"/>
    </row>
    <row r="9" spans="2:11" x14ac:dyDescent="0.3">
      <c r="B9" s="96"/>
      <c r="C9" s="91">
        <v>45382</v>
      </c>
      <c r="D9" s="91">
        <v>45473</v>
      </c>
      <c r="E9" s="324"/>
      <c r="F9" s="91">
        <v>45565</v>
      </c>
      <c r="G9" s="324"/>
      <c r="H9" s="91">
        <v>45657</v>
      </c>
      <c r="I9" s="324"/>
      <c r="K9" s="97"/>
    </row>
    <row r="10" spans="2:11" ht="15.6" x14ac:dyDescent="0.3">
      <c r="B10" s="305"/>
      <c r="C10" s="69" t="s">
        <v>227</v>
      </c>
      <c r="D10" s="69" t="s">
        <v>228</v>
      </c>
      <c r="E10" s="69" t="s">
        <v>211</v>
      </c>
      <c r="F10" s="69" t="s">
        <v>229</v>
      </c>
      <c r="G10" s="69" t="s">
        <v>211</v>
      </c>
      <c r="H10" s="206" t="s">
        <v>230</v>
      </c>
      <c r="I10" s="206" t="s">
        <v>211</v>
      </c>
      <c r="J10" s="70"/>
      <c r="K10" s="543" t="s">
        <v>0</v>
      </c>
    </row>
    <row r="11" spans="2:11" ht="3.6" customHeight="1" x14ac:dyDescent="0.3">
      <c r="B11" s="306"/>
      <c r="C11" s="91" t="str">
        <f>+C10</f>
        <v>Q1 2024</v>
      </c>
      <c r="D11" s="91" t="str">
        <f>+D10</f>
        <v>Q2 2024</v>
      </c>
      <c r="E11" s="91"/>
      <c r="F11" s="91" t="str">
        <f>+F10</f>
        <v>Q3 2024</v>
      </c>
      <c r="G11" s="91"/>
      <c r="H11" s="207" t="str">
        <f>+H10</f>
        <v>Q4 2024</v>
      </c>
      <c r="I11" s="207"/>
      <c r="J11" s="91">
        <v>45322</v>
      </c>
      <c r="K11" s="544"/>
    </row>
    <row r="12" spans="2:11" x14ac:dyDescent="0.3">
      <c r="B12" s="307" t="s">
        <v>339</v>
      </c>
      <c r="C12" s="325">
        <f>SUMIF('Monthly Detail'!$3:$3, 'Quarterly Overview'!C$11, 'Monthly Detail'!10:10)</f>
        <v>880</v>
      </c>
      <c r="D12" s="325">
        <f>SUMIF('Monthly Detail'!$3:$3, 'Quarterly Overview'!D$11, 'Monthly Detail'!10:10)</f>
        <v>10337.94</v>
      </c>
      <c r="E12" s="520">
        <f>+D12-C12</f>
        <v>9457.94</v>
      </c>
      <c r="F12" s="325">
        <f>SUMIF('Monthly Detail'!$3:$3, 'Quarterly Overview'!F$11, 'Monthly Detail'!10:10)</f>
        <v>2425</v>
      </c>
      <c r="G12" s="520">
        <f>+F12-D12</f>
        <v>-7912.9400000000005</v>
      </c>
      <c r="H12" s="217">
        <f>SUMIF('Monthly Detail'!$3:$3, 'Quarterly Overview'!H$11, 'Monthly Detail'!10:10)</f>
        <v>8350</v>
      </c>
      <c r="I12" s="224">
        <f>+H12-F12</f>
        <v>5925</v>
      </c>
      <c r="J12" s="73"/>
      <c r="K12" s="545">
        <f>SUM(C12,D12,F12,H12)</f>
        <v>21992.940000000002</v>
      </c>
    </row>
    <row r="13" spans="2:11" x14ac:dyDescent="0.3">
      <c r="B13" s="307" t="s">
        <v>160</v>
      </c>
      <c r="C13" s="325">
        <f>SUMIF('Monthly Detail'!$3:$3, 'Quarterly Overview'!C$11, 'Monthly Detail'!11:11)</f>
        <v>0</v>
      </c>
      <c r="D13" s="325">
        <f>SUMIF('Monthly Detail'!$3:$3, 'Quarterly Overview'!D$11, 'Monthly Detail'!11:11)</f>
        <v>0</v>
      </c>
      <c r="E13" s="520">
        <f>+D13-C13</f>
        <v>0</v>
      </c>
      <c r="F13" s="325">
        <f>SUMIF('Monthly Detail'!$3:$3, 'Quarterly Overview'!F$11, 'Monthly Detail'!11:11)</f>
        <v>0</v>
      </c>
      <c r="G13" s="520">
        <f>+F13-D13</f>
        <v>0</v>
      </c>
      <c r="H13" s="217">
        <f>SUMIF('Monthly Detail'!$3:$3, 'Quarterly Overview'!H$11, 'Monthly Detail'!11:11)</f>
        <v>0</v>
      </c>
      <c r="I13" s="224">
        <f>+H13-F13</f>
        <v>0</v>
      </c>
      <c r="J13" s="73"/>
      <c r="K13" s="545"/>
    </row>
    <row r="14" spans="2:11" x14ac:dyDescent="0.3">
      <c r="B14" s="309" t="s">
        <v>2</v>
      </c>
      <c r="C14" s="74">
        <f>SUM(C12:C13)</f>
        <v>880</v>
      </c>
      <c r="D14" s="74">
        <f>SUM(D12:D13)</f>
        <v>10337.94</v>
      </c>
      <c r="E14" s="521">
        <f>+D14-C14</f>
        <v>9457.94</v>
      </c>
      <c r="F14" s="74">
        <f>SUM(F12:F13)</f>
        <v>2425</v>
      </c>
      <c r="G14" s="521">
        <f>+F14-E14</f>
        <v>-7032.9400000000005</v>
      </c>
      <c r="H14" s="208">
        <f>SUM(H12:H13)</f>
        <v>8350</v>
      </c>
      <c r="I14" s="225">
        <f>+H14-F14</f>
        <v>5925</v>
      </c>
      <c r="J14" s="75"/>
      <c r="K14" s="546">
        <f>SUM(K12:K12)</f>
        <v>21992.940000000002</v>
      </c>
    </row>
    <row r="15" spans="2:11" x14ac:dyDescent="0.3">
      <c r="B15" s="423" t="s">
        <v>312</v>
      </c>
      <c r="C15" s="240">
        <f>+SUM('2024 Overview'!C15:E15)</f>
        <v>5</v>
      </c>
      <c r="D15" s="240">
        <f>+SUM('2024 Overview'!F15:H15)</f>
        <v>46</v>
      </c>
      <c r="E15" s="537">
        <f>+D15-C15</f>
        <v>41</v>
      </c>
      <c r="F15" s="240">
        <f>+SUM('2024 Overview'!I15:K15)</f>
        <v>51</v>
      </c>
      <c r="G15" s="537">
        <f>+F15-E15</f>
        <v>10</v>
      </c>
      <c r="H15" s="538">
        <f>+SUM('2024 Overview'!L15:N15)</f>
        <v>72.685714285714283</v>
      </c>
      <c r="I15" s="539"/>
      <c r="J15" s="540"/>
      <c r="K15" s="547">
        <f>+H15+F15+D15+C15</f>
        <v>174.68571428571428</v>
      </c>
    </row>
    <row r="16" spans="2:11" x14ac:dyDescent="0.3">
      <c r="B16" s="534" t="s">
        <v>305</v>
      </c>
      <c r="C16" s="535">
        <f>+AVERAGE('2024 Overview'!C16:E16)</f>
        <v>24.444444444444443</v>
      </c>
      <c r="D16" s="535">
        <f>+AVERAGE('2024 Overview'!F16:H16)</f>
        <v>240.85526315789471</v>
      </c>
      <c r="E16" s="537">
        <f>+D16-C16</f>
        <v>216.41081871345028</v>
      </c>
      <c r="F16" s="535">
        <f>+AVERAGE('2024 Overview'!I16:K16)</f>
        <v>615.27679487179489</v>
      </c>
      <c r="G16" s="537">
        <f>+F16-E16</f>
        <v>398.86597615834461</v>
      </c>
      <c r="H16" s="536">
        <f>+AVERAGE('2024 Overview'!L16:N16)</f>
        <v>1299.9013192623145</v>
      </c>
      <c r="I16" s="533"/>
      <c r="J16" s="75"/>
      <c r="K16" s="548"/>
    </row>
    <row r="17" spans="2:15" ht="4.95" customHeight="1" x14ac:dyDescent="0.3">
      <c r="B17" s="306"/>
      <c r="C17" s="326"/>
      <c r="D17" s="326"/>
      <c r="E17" s="541"/>
      <c r="F17" s="326"/>
      <c r="G17" s="541"/>
      <c r="H17" s="218"/>
      <c r="I17" s="226"/>
      <c r="K17" s="549"/>
    </row>
    <row r="18" spans="2:15" ht="15.6" x14ac:dyDescent="0.3">
      <c r="B18" s="312" t="s">
        <v>151</v>
      </c>
      <c r="C18" s="88">
        <f>C14</f>
        <v>880</v>
      </c>
      <c r="D18" s="88">
        <f>D14</f>
        <v>10337.94</v>
      </c>
      <c r="E18" s="522">
        <f>+D18-C18</f>
        <v>9457.94</v>
      </c>
      <c r="F18" s="88">
        <f>F14</f>
        <v>2425</v>
      </c>
      <c r="G18" s="522">
        <f>+F18-D18</f>
        <v>-7912.9400000000005</v>
      </c>
      <c r="H18" s="209">
        <f>H14</f>
        <v>8350</v>
      </c>
      <c r="I18" s="227">
        <f>+H18-F18</f>
        <v>5925</v>
      </c>
      <c r="J18" s="313"/>
      <c r="K18" s="550">
        <f>K14</f>
        <v>21992.940000000002</v>
      </c>
    </row>
    <row r="19" spans="2:15" hidden="1" x14ac:dyDescent="0.3">
      <c r="B19" s="315" t="s">
        <v>152</v>
      </c>
      <c r="C19" s="327">
        <f>C18/C14</f>
        <v>1</v>
      </c>
      <c r="D19" s="327">
        <f>D18/D14</f>
        <v>1</v>
      </c>
      <c r="E19" s="523">
        <f>+D19-C19</f>
        <v>0</v>
      </c>
      <c r="F19" s="327">
        <f>F18/F14</f>
        <v>1</v>
      </c>
      <c r="G19" s="523">
        <f>+F19-D19</f>
        <v>0</v>
      </c>
      <c r="H19" s="219">
        <f>H18/H14</f>
        <v>1</v>
      </c>
      <c r="I19" s="228">
        <f>+H19-F19</f>
        <v>0</v>
      </c>
      <c r="J19" s="7"/>
      <c r="K19" s="551">
        <f>K18/K14</f>
        <v>1</v>
      </c>
    </row>
    <row r="20" spans="2:15" ht="5.4" customHeight="1" x14ac:dyDescent="0.3">
      <c r="B20" s="306"/>
      <c r="C20" s="328"/>
      <c r="D20" s="328"/>
      <c r="E20" s="524"/>
      <c r="F20" s="328"/>
      <c r="G20" s="524"/>
      <c r="H20" s="220"/>
      <c r="I20" s="229"/>
      <c r="K20" s="544"/>
    </row>
    <row r="21" spans="2:15" x14ac:dyDescent="0.3">
      <c r="B21" s="306" t="s">
        <v>315</v>
      </c>
      <c r="C21" s="325">
        <f>SUMIF('Monthly Detail'!$3:$3, 'Quarterly Overview'!C$11, 'Monthly Detail'!$64:$64)</f>
        <v>0</v>
      </c>
      <c r="D21" s="325">
        <f>SUMIF('Monthly Detail'!$3:$3, 'Quarterly Overview'!D$11, 'Monthly Detail'!$64:$64)</f>
        <v>0</v>
      </c>
      <c r="E21" s="524"/>
      <c r="F21" s="325">
        <f>SUMIF('Monthly Detail'!$3:$3, 'Quarterly Overview'!F$11, 'Monthly Detail'!$64:$64)</f>
        <v>0</v>
      </c>
      <c r="G21" s="524"/>
      <c r="H21" s="217">
        <f>SUMIF('Monthly Detail'!$3:$3, 'Quarterly Overview'!H$11, 'Monthly Detail'!$64:$64)</f>
        <v>539</v>
      </c>
      <c r="I21" s="229"/>
      <c r="K21" s="545">
        <f>SUM(C21,D21,F21,H21)</f>
        <v>539</v>
      </c>
    </row>
    <row r="22" spans="2:15" x14ac:dyDescent="0.3">
      <c r="B22" s="306" t="s">
        <v>190</v>
      </c>
      <c r="C22" s="325">
        <f>SUMIF('Monthly Detail'!$3:$3, 'Quarterly Overview'!C$11, 'Monthly Detail'!$80:$80)</f>
        <v>3301.2799999999997</v>
      </c>
      <c r="D22" s="325">
        <f>SUMIF('Monthly Detail'!$3:$3, 'Quarterly Overview'!D$11, 'Monthly Detail'!$80:$80)</f>
        <v>4038.83</v>
      </c>
      <c r="E22" s="525">
        <f>+D22-C22</f>
        <v>737.55000000000018</v>
      </c>
      <c r="F22" s="325">
        <f>SUMIF('Monthly Detail'!$3:$3, 'Quarterly Overview'!F$11, 'Monthly Detail'!$80:$80)</f>
        <v>1959.83</v>
      </c>
      <c r="G22" s="525">
        <f>+F22-D22</f>
        <v>-2079</v>
      </c>
      <c r="H22" s="217">
        <f>SUMIF('Monthly Detail'!$3:$3, 'Quarterly Overview'!H$11, 'Monthly Detail'!$80:$80)</f>
        <v>5006.4675030675025</v>
      </c>
      <c r="I22" s="230">
        <f>+H22-F22</f>
        <v>3046.6375030675026</v>
      </c>
      <c r="K22" s="545">
        <f>SUM(C22,D22,F22,H22)</f>
        <v>14306.407503067501</v>
      </c>
      <c r="O22" s="1"/>
    </row>
    <row r="23" spans="2:15" x14ac:dyDescent="0.3">
      <c r="B23" s="317" t="s">
        <v>153</v>
      </c>
      <c r="C23" s="79">
        <f>SUM(C22:C22)</f>
        <v>3301.2799999999997</v>
      </c>
      <c r="D23" s="79">
        <f>SUM(D22:D22)</f>
        <v>4038.83</v>
      </c>
      <c r="E23" s="526">
        <f>+D23-C23</f>
        <v>737.55000000000018</v>
      </c>
      <c r="F23" s="79">
        <f>SUM(F22:F22)</f>
        <v>1959.83</v>
      </c>
      <c r="G23" s="526">
        <f>+F23-D23</f>
        <v>-2079</v>
      </c>
      <c r="H23" s="212">
        <f>SUM(H22:H22)</f>
        <v>5006.4675030675025</v>
      </c>
      <c r="I23" s="231">
        <f>+H23-F23</f>
        <v>3046.6375030675026</v>
      </c>
      <c r="J23" s="318"/>
      <c r="K23" s="552">
        <f>SUM(K21:K22)</f>
        <v>14845.407503067501</v>
      </c>
    </row>
    <row r="24" spans="2:15" ht="1.95" customHeight="1" x14ac:dyDescent="0.3">
      <c r="B24" s="306"/>
      <c r="C24" s="328"/>
      <c r="D24" s="328"/>
      <c r="E24" s="524"/>
      <c r="F24" s="328"/>
      <c r="G24" s="524"/>
      <c r="H24" s="220"/>
      <c r="I24" s="229"/>
      <c r="K24" s="544"/>
    </row>
    <row r="25" spans="2:15" ht="15.6" x14ac:dyDescent="0.3">
      <c r="B25" s="312" t="s">
        <v>154</v>
      </c>
      <c r="C25" s="88">
        <f>C18-C23</f>
        <v>-2421.2799999999997</v>
      </c>
      <c r="D25" s="88">
        <f>D18-D23</f>
        <v>6299.1100000000006</v>
      </c>
      <c r="E25" s="522">
        <f>+D25-C25</f>
        <v>8720.39</v>
      </c>
      <c r="F25" s="88">
        <f>F18-F23</f>
        <v>465.17000000000007</v>
      </c>
      <c r="G25" s="522">
        <f>+F25-D25</f>
        <v>-5833.9400000000005</v>
      </c>
      <c r="H25" s="209">
        <f>H18-H23</f>
        <v>3343.5324969324975</v>
      </c>
      <c r="I25" s="227">
        <f>+H25-F25</f>
        <v>2878.3624969324974</v>
      </c>
      <c r="J25" s="313"/>
      <c r="K25" s="550">
        <f>K18-K23</f>
        <v>7147.5324969325011</v>
      </c>
    </row>
    <row r="26" spans="2:15" x14ac:dyDescent="0.3">
      <c r="B26" s="315" t="s">
        <v>155</v>
      </c>
      <c r="C26" s="327">
        <f>C25/C14</f>
        <v>-2.7514545454545454</v>
      </c>
      <c r="D26" s="327">
        <f>D25/D14</f>
        <v>0.60931965169076241</v>
      </c>
      <c r="E26" s="542">
        <f>+D26-C26</f>
        <v>3.3607741971453078</v>
      </c>
      <c r="F26" s="327">
        <f>F25/F14</f>
        <v>0.19182268041237116</v>
      </c>
      <c r="G26" s="542">
        <f>+F26-D26</f>
        <v>-0.41749697127839125</v>
      </c>
      <c r="H26" s="219">
        <f>H25/H14</f>
        <v>0.40042305352484997</v>
      </c>
      <c r="I26" s="228">
        <f>+H26-F26</f>
        <v>0.20860037311247881</v>
      </c>
      <c r="J26" s="7"/>
      <c r="K26" s="551">
        <f>K25/K14</f>
        <v>0.32499213369983732</v>
      </c>
    </row>
    <row r="27" spans="2:15" ht="4.2" customHeight="1" x14ac:dyDescent="0.3">
      <c r="B27" s="320"/>
      <c r="C27" s="329"/>
      <c r="D27" s="329"/>
      <c r="E27" s="527"/>
      <c r="F27" s="329"/>
      <c r="G27" s="527"/>
      <c r="H27" s="221"/>
      <c r="I27" s="232"/>
      <c r="K27" s="553"/>
    </row>
    <row r="28" spans="2:15" x14ac:dyDescent="0.3">
      <c r="B28" s="306" t="s">
        <v>156</v>
      </c>
      <c r="C28" s="166">
        <f>SUMIF('Monthly Detail'!$3:$3, 'Quarterly Overview'!C$11, 'Monthly Detail'!89:89)</f>
        <v>0</v>
      </c>
      <c r="D28" s="166">
        <f>SUMIF('Monthly Detail'!$3:$3, 'Quarterly Overview'!D$11, 'Monthly Detail'!89:89)</f>
        <v>0</v>
      </c>
      <c r="E28" s="528">
        <f>+D28-C28</f>
        <v>0</v>
      </c>
      <c r="F28" s="166">
        <f>SUMIF('Monthly Detail'!$3:$3, 'Quarterly Overview'!F$11, 'Monthly Detail'!89:89)</f>
        <v>0</v>
      </c>
      <c r="G28" s="528">
        <f>+F28-D28</f>
        <v>0</v>
      </c>
      <c r="H28" s="222">
        <f>SUMIF('Monthly Detail'!$3:$3, 'Quarterly Overview'!H$11, 'Monthly Detail'!89:89)</f>
        <v>0</v>
      </c>
      <c r="I28" s="233">
        <f>+H28-F28</f>
        <v>0</v>
      </c>
      <c r="J28" s="132"/>
      <c r="K28" s="554">
        <f>SUM(C28,D28,F28,H28)</f>
        <v>0</v>
      </c>
    </row>
    <row r="29" spans="2:15" ht="15.6" x14ac:dyDescent="0.3">
      <c r="B29" s="312" t="s">
        <v>11</v>
      </c>
      <c r="C29" s="88">
        <f>C25+SUM(C28:C28)</f>
        <v>-2421.2799999999997</v>
      </c>
      <c r="D29" s="88">
        <f>D25+SUM(D28:D28)</f>
        <v>6299.1100000000006</v>
      </c>
      <c r="E29" s="522">
        <f>+D29-C29</f>
        <v>8720.39</v>
      </c>
      <c r="F29" s="88">
        <f>F25+SUM(F28:F28)</f>
        <v>465.17000000000007</v>
      </c>
      <c r="G29" s="522">
        <f>+F29-D29</f>
        <v>-5833.9400000000005</v>
      </c>
      <c r="H29" s="209">
        <f>H25+SUM(H28:H28)</f>
        <v>3343.5324969324975</v>
      </c>
      <c r="I29" s="227">
        <f>+H29-F29</f>
        <v>2878.3624969324974</v>
      </c>
      <c r="J29" s="313"/>
      <c r="K29" s="550">
        <f>K25+SUM(K28:K28)</f>
        <v>7147.5324969325011</v>
      </c>
    </row>
    <row r="30" spans="2:15" x14ac:dyDescent="0.3">
      <c r="B30" s="315" t="s">
        <v>157</v>
      </c>
      <c r="C30" s="90">
        <f>C29/C14</f>
        <v>-2.7514545454545454</v>
      </c>
      <c r="D30" s="90">
        <f>D29/D14</f>
        <v>0.60931965169076241</v>
      </c>
      <c r="E30" s="529">
        <f>+D30-C30</f>
        <v>3.3607741971453078</v>
      </c>
      <c r="F30" s="90">
        <f>F29/F14</f>
        <v>0.19182268041237116</v>
      </c>
      <c r="G30" s="529">
        <f>+F30-D30</f>
        <v>-0.41749697127839125</v>
      </c>
      <c r="H30" s="210">
        <f>H29/H14</f>
        <v>0.40042305352484997</v>
      </c>
      <c r="I30" s="234">
        <f>+H30-F30</f>
        <v>0.20860037311247881</v>
      </c>
      <c r="J30" s="7"/>
      <c r="K30" s="551">
        <f>K29/K14</f>
        <v>0.32499213369983732</v>
      </c>
    </row>
    <row r="31" spans="2:15" ht="2.25" customHeight="1" thickBot="1" x14ac:dyDescent="0.35">
      <c r="B31" s="306"/>
      <c r="E31" s="530"/>
      <c r="G31" s="530"/>
      <c r="H31" s="211"/>
      <c r="I31" s="235"/>
      <c r="K31" s="97"/>
    </row>
    <row r="32" spans="2:15" x14ac:dyDescent="0.3">
      <c r="B32" s="83" t="s">
        <v>158</v>
      </c>
      <c r="C32" s="84">
        <f>SUMIF('Monthly Detail'!$4:$4, 'Quarterly Overview'!C$9, 'Monthly Detail'!149:149)</f>
        <v>-222.64999999999986</v>
      </c>
      <c r="D32" s="84">
        <f>SUMIF('Monthly Detail'!$4:$4, 'Quarterly Overview'!D$9, 'Monthly Detail'!149:149)</f>
        <v>1460.5599999999997</v>
      </c>
      <c r="E32" s="531">
        <f>+D32-C32</f>
        <v>1683.2099999999996</v>
      </c>
      <c r="F32" s="161">
        <f>SUMIF('Monthly Detail'!$4:$4, 'Quarterly Overview'!F$9, 'Monthly Detail'!149:149)</f>
        <v>120.45999999999992</v>
      </c>
      <c r="G32" s="531">
        <f>+F32-D32</f>
        <v>-1340.1</v>
      </c>
      <c r="H32" s="236">
        <f>SUMIF('Monthly Detail'!$4:$4, 'Quarterly Overview'!H$9, 'Monthly Detail'!149:149)</f>
        <v>1008.11523554875</v>
      </c>
      <c r="I32" s="213">
        <f>+H32-F32</f>
        <v>887.65523554875006</v>
      </c>
      <c r="K32" s="97"/>
    </row>
    <row r="33" spans="2:11" ht="15" thickBot="1" x14ac:dyDescent="0.35">
      <c r="B33" s="85" t="s">
        <v>159</v>
      </c>
      <c r="C33" s="86">
        <f>SUMIF('Monthly Detail'!$4:$4, 'Quarterly Overview'!C$9, 'Monthly Detail'!146:146)</f>
        <v>-1501.0400000000002</v>
      </c>
      <c r="D33" s="86">
        <f>SUMIF('Monthly Detail'!$4:$4, 'Quarterly Overview'!D$9, 'Monthly Detail'!146:146)</f>
        <v>1152.9899999999993</v>
      </c>
      <c r="E33" s="532">
        <f>+D33-C33</f>
        <v>2654.0299999999997</v>
      </c>
      <c r="F33" s="162">
        <f>SUMIF('Monthly Detail'!$4:$4, 'Quarterly Overview'!F$9, 'Monthly Detail'!146:146)</f>
        <v>109.74000000000103</v>
      </c>
      <c r="G33" s="532">
        <f>+F33-D33</f>
        <v>-1043.2499999999982</v>
      </c>
      <c r="H33" s="237">
        <f>SUMIF('Monthly Detail'!$4:$4, 'Quarterly Overview'!H$9, 'Monthly Detail'!146:146)</f>
        <v>875.84554849274764</v>
      </c>
      <c r="I33" s="214">
        <f>+H33-F33</f>
        <v>766.10554849274661</v>
      </c>
      <c r="J33" s="109"/>
      <c r="K33" s="110"/>
    </row>
    <row r="36" spans="2:11" x14ac:dyDescent="0.3">
      <c r="C36" t="s">
        <v>341</v>
      </c>
      <c r="D36" t="s">
        <v>342</v>
      </c>
      <c r="F36" t="s">
        <v>343</v>
      </c>
      <c r="H36" t="s">
        <v>344</v>
      </c>
    </row>
    <row r="37" spans="2:11" x14ac:dyDescent="0.3">
      <c r="B37" t="s">
        <v>345</v>
      </c>
      <c r="C37">
        <f>+SUM('2024 AOP'!C14:E14)</f>
        <v>0</v>
      </c>
      <c r="D37">
        <f>+SUM('2024 AOP'!F14:H14)</f>
        <v>8188.1746031746025</v>
      </c>
      <c r="F37">
        <f>0+(+SUM('2024 AOP'!I14:K14))</f>
        <v>25440.396825396827</v>
      </c>
      <c r="H37">
        <f>+SUM('2024 AOP'!L14:N14)</f>
        <v>17262.283174603177</v>
      </c>
    </row>
    <row r="38" spans="2:11" x14ac:dyDescent="0.3">
      <c r="B38" t="s">
        <v>346</v>
      </c>
      <c r="C38">
        <f>+SUM('2024 AOP'!C15:E15)</f>
        <v>60</v>
      </c>
    </row>
    <row r="39" spans="2:11" x14ac:dyDescent="0.3">
      <c r="B39" t="s">
        <v>348</v>
      </c>
      <c r="C39" s="555">
        <f>+SUM('2024 AOP'!C16:E16)</f>
        <v>0</v>
      </c>
      <c r="D39" s="555">
        <f>0+(+SUM('2024 AOP'!F16:H16))</f>
        <v>43.999999999999993</v>
      </c>
      <c r="E39" s="555"/>
      <c r="F39" s="555">
        <f>+SUM('2024 AOP'!I16:K16)</f>
        <v>101.5</v>
      </c>
      <c r="G39" s="555"/>
      <c r="H39" s="555">
        <f>+SUM('2024 AOP'!L16:N16)</f>
        <v>14.850000000000001</v>
      </c>
    </row>
  </sheetData>
  <mergeCells count="1">
    <mergeCell ref="B8:K8"/>
  </mergeCells>
  <phoneticPr fontId="39" type="noConversion"/>
  <pageMargins left="0.25" right="0.25" top="0.75" bottom="0.75" header="0.3" footer="0.3"/>
  <pageSetup scale="59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8"/>
      <c r="C10" s="69" t="e">
        <f>TEXT('Monthly Detail'!#REF!,"mmmm")</f>
        <v>#REF!</v>
      </c>
      <c r="D10" s="69" t="e">
        <f>TEXT('Monthly Detail'!#REF!,"mmmm")</f>
        <v>#REF!</v>
      </c>
      <c r="E10" s="69" t="e">
        <f>TEXT('Monthly Detail'!#REF!,"mmmm")</f>
        <v>#REF!</v>
      </c>
      <c r="F10" s="69" t="e">
        <f>TEXT('Monthly Detail'!#REF!,"mmmm")</f>
        <v>#REF!</v>
      </c>
      <c r="G10" s="69" t="e">
        <f>TEXT('Monthly Detail'!#REF!,"mmmm")</f>
        <v>#REF!</v>
      </c>
      <c r="H10" s="69" t="e">
        <f>TEXT('Monthly Detail'!#REF!,"mmmm")</f>
        <v>#REF!</v>
      </c>
      <c r="I10" s="69" t="e">
        <f>TEXT('Monthly Detail'!#REF!,"mmmm")</f>
        <v>#REF!</v>
      </c>
      <c r="J10" s="69" t="e">
        <f>TEXT('Monthly Detail'!#REF!,"mmmm")</f>
        <v>#REF!</v>
      </c>
      <c r="K10" s="69" t="str">
        <f>TEXT('Monthly Detail'!D4,"mmmm")</f>
        <v>January</v>
      </c>
      <c r="L10" s="69" t="str">
        <f>TEXT('Monthly Detail'!E4,"mmmm")</f>
        <v>October</v>
      </c>
      <c r="M10" s="69" t="str">
        <f>TEXT('Monthly Detail'!F4,"mmmm")</f>
        <v>November</v>
      </c>
      <c r="N10" s="148" t="str">
        <f>TEXT('Monthly Detail'!G4,"mmmm")</f>
        <v>December</v>
      </c>
      <c r="O10" s="70"/>
      <c r="P10" s="71" t="s">
        <v>0</v>
      </c>
    </row>
    <row r="11" spans="2:16" ht="1.5" customHeight="1" x14ac:dyDescent="0.3">
      <c r="B11" s="7"/>
      <c r="C11" s="91">
        <v>44592</v>
      </c>
      <c r="D11" s="91">
        <v>44620</v>
      </c>
      <c r="E11" s="91">
        <v>44651</v>
      </c>
      <c r="F11" s="91">
        <v>44681</v>
      </c>
      <c r="G11" s="91">
        <v>44712</v>
      </c>
      <c r="H11" s="91">
        <v>44742</v>
      </c>
      <c r="I11" s="91">
        <v>44773</v>
      </c>
      <c r="J11" s="91">
        <v>44804</v>
      </c>
      <c r="K11" s="91">
        <v>44834</v>
      </c>
      <c r="L11" s="91">
        <v>44865</v>
      </c>
      <c r="M11" s="91">
        <v>44895</v>
      </c>
      <c r="N11" s="149">
        <v>44926</v>
      </c>
    </row>
    <row r="12" spans="2:16" x14ac:dyDescent="0.3">
      <c r="B12" s="72" t="s">
        <v>49</v>
      </c>
      <c r="C12" s="73">
        <f>SUMIF('Monthly Detail'!$4:$4, '2022 Overview'!C$11, 'Monthly Detail'!10:10)</f>
        <v>0</v>
      </c>
      <c r="D12" s="73">
        <f>SUMIF('Monthly Detail'!$4:$4, '2022 Overview'!D$11, 'Monthly Detail'!10:10)</f>
        <v>0</v>
      </c>
      <c r="E12" s="73">
        <f>SUMIF('Monthly Detail'!$4:$4, '2022 Overview'!E$11, 'Monthly Detail'!10:10)</f>
        <v>0</v>
      </c>
      <c r="F12" s="73">
        <f>SUMIF('Monthly Detail'!$4:$4, '2022 Overview'!F$11, 'Monthly Detail'!10:10)</f>
        <v>0</v>
      </c>
      <c r="G12" s="73">
        <f>SUMIF('Monthly Detail'!$4:$4, '2022 Overview'!G$11, 'Monthly Detail'!10:10)</f>
        <v>0</v>
      </c>
      <c r="H12" s="73">
        <f>SUMIF('Monthly Detail'!$4:$4, '2022 Overview'!H$11, 'Monthly Detail'!10:10)</f>
        <v>0</v>
      </c>
      <c r="I12" s="73">
        <f>SUMIF('Monthly Detail'!$4:$4, '2022 Overview'!I$11, 'Monthly Detail'!10:10)</f>
        <v>0</v>
      </c>
      <c r="J12" s="73">
        <f>SUMIF('Monthly Detail'!$4:$4, '2022 Overview'!J$11, 'Monthly Detail'!10:10)</f>
        <v>0</v>
      </c>
      <c r="K12" s="73">
        <f>SUMIF('Monthly Detail'!$4:$4, '2022 Overview'!K$11, 'Monthly Detail'!10:10)</f>
        <v>0</v>
      </c>
      <c r="L12" s="73">
        <f>SUMIF('Monthly Detail'!$4:$4, '2022 Overview'!L$11, 'Monthly Detail'!10:10)</f>
        <v>0</v>
      </c>
      <c r="M12" s="73">
        <f>SUMIF('Monthly Detail'!$4:$4, '2022 Overview'!M$11, 'Monthly Detail'!10:10)</f>
        <v>0</v>
      </c>
      <c r="N12" s="150">
        <f>SUMIF('Monthly Detail'!$4:$4, '2022 Overview'!N$11, 'Monthly Detail'!10:10)</f>
        <v>0</v>
      </c>
      <c r="O12" s="73"/>
      <c r="P12" s="73">
        <f>SUM(C12:O12)</f>
        <v>0</v>
      </c>
    </row>
    <row r="13" spans="2:16" x14ac:dyDescent="0.3">
      <c r="B13" s="72" t="s">
        <v>160</v>
      </c>
      <c r="C13" s="73">
        <f>SUMIF('Monthly Detail'!$4:$4, '2022 Overview'!C$11, 'Monthly Detail'!11:11)</f>
        <v>0</v>
      </c>
      <c r="D13" s="73">
        <f>SUMIF('Monthly Detail'!$4:$4, '2022 Overview'!D$11, 'Monthly Detail'!11:11)</f>
        <v>0</v>
      </c>
      <c r="E13" s="73">
        <f>SUMIF('Monthly Detail'!$4:$4, '2022 Overview'!E$11, 'Monthly Detail'!11:11)</f>
        <v>0</v>
      </c>
      <c r="F13" s="73">
        <f>SUMIF('Monthly Detail'!$4:$4, '2022 Overview'!F$11, 'Monthly Detail'!11:11)</f>
        <v>0</v>
      </c>
      <c r="G13" s="73">
        <f>SUMIF('Monthly Detail'!$4:$4, '2022 Overview'!G$11, 'Monthly Detail'!11:11)</f>
        <v>0</v>
      </c>
      <c r="H13" s="73">
        <f>SUMIF('Monthly Detail'!$4:$4, '2022 Overview'!H$11, 'Monthly Detail'!11:11)</f>
        <v>0</v>
      </c>
      <c r="I13" s="73">
        <f>SUMIF('Monthly Detail'!$4:$4, '2022 Overview'!I$11, 'Monthly Detail'!11:11)</f>
        <v>0</v>
      </c>
      <c r="J13" s="73">
        <f>SUMIF('Monthly Detail'!$4:$4, '2022 Overview'!J$11, 'Monthly Detail'!11:11)</f>
        <v>0</v>
      </c>
      <c r="K13" s="73">
        <f>SUMIF('Monthly Detail'!$4:$4, '2022 Overview'!K$11, 'Monthly Detail'!11:11)</f>
        <v>0</v>
      </c>
      <c r="L13" s="73">
        <f>SUMIF('Monthly Detail'!$4:$4, '2022 Overview'!L$11, 'Monthly Detail'!11:11)</f>
        <v>0</v>
      </c>
      <c r="M13" s="133">
        <f>SUMIF('Monthly Detail'!$4:$4, '2022 Overview'!M$11, 'Monthly Detail'!11:11)</f>
        <v>0</v>
      </c>
      <c r="N13" s="150">
        <f>SUMIF('Monthly Detail'!$4:$4, '2022 Overview'!N$11, 'Monthly Detail'!11:11)</f>
        <v>0</v>
      </c>
      <c r="O13" s="73"/>
      <c r="P13" s="73"/>
    </row>
    <row r="14" spans="2:16" x14ac:dyDescent="0.3">
      <c r="B14" s="74" t="s">
        <v>2</v>
      </c>
      <c r="C14" s="74">
        <v>0.1</v>
      </c>
      <c r="D14" s="74">
        <v>0.1</v>
      </c>
      <c r="E14" s="74">
        <v>0.1</v>
      </c>
      <c r="F14" s="74">
        <v>0.1</v>
      </c>
      <c r="G14" s="74">
        <v>0.1</v>
      </c>
      <c r="H14" s="74">
        <v>0.1</v>
      </c>
      <c r="I14" s="74">
        <v>0.1</v>
      </c>
      <c r="J14" s="74">
        <f>SUM(J12:J13)</f>
        <v>0</v>
      </c>
      <c r="K14" s="74">
        <f>SUM(K12:K13)</f>
        <v>0</v>
      </c>
      <c r="L14" s="74">
        <f>SUM(L12:L13)</f>
        <v>0</v>
      </c>
      <c r="M14" s="74">
        <f>SUM(M12:M13)</f>
        <v>0</v>
      </c>
      <c r="N14" s="151">
        <f>SUM(N12:N13)</f>
        <v>0</v>
      </c>
      <c r="O14" s="75"/>
      <c r="P14" s="74">
        <f>SUM(P12:P12)</f>
        <v>0</v>
      </c>
    </row>
    <row r="15" spans="2:16" x14ac:dyDescent="0.3">
      <c r="B15" s="7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152"/>
      <c r="P15" s="76"/>
    </row>
    <row r="16" spans="2:16" ht="15.6" x14ac:dyDescent="0.3">
      <c r="B16" s="87" t="s">
        <v>151</v>
      </c>
      <c r="C16" s="88">
        <f>C14</f>
        <v>0.1</v>
      </c>
      <c r="D16" s="88">
        <f t="shared" ref="D16:N16" si="0">D14</f>
        <v>0.1</v>
      </c>
      <c r="E16" s="88">
        <f t="shared" si="0"/>
        <v>0.1</v>
      </c>
      <c r="F16" s="88">
        <f t="shared" si="0"/>
        <v>0.1</v>
      </c>
      <c r="G16" s="88">
        <f t="shared" si="0"/>
        <v>0.1</v>
      </c>
      <c r="H16" s="88">
        <f t="shared" si="0"/>
        <v>0.1</v>
      </c>
      <c r="I16" s="88">
        <f t="shared" si="0"/>
        <v>0.1</v>
      </c>
      <c r="J16" s="88">
        <f t="shared" si="0"/>
        <v>0</v>
      </c>
      <c r="K16" s="88">
        <f t="shared" si="0"/>
        <v>0</v>
      </c>
      <c r="L16" s="88">
        <f t="shared" si="0"/>
        <v>0</v>
      </c>
      <c r="M16" s="88">
        <f t="shared" si="0"/>
        <v>0</v>
      </c>
      <c r="N16" s="153">
        <f t="shared" si="0"/>
        <v>0</v>
      </c>
      <c r="O16" s="77"/>
      <c r="P16" s="88">
        <f>P14</f>
        <v>0</v>
      </c>
    </row>
    <row r="17" spans="2:20" x14ac:dyDescent="0.3">
      <c r="B17" s="89" t="s">
        <v>152</v>
      </c>
      <c r="C17" s="90">
        <f t="shared" ref="C17:N17" si="1">C16/C14</f>
        <v>1</v>
      </c>
      <c r="D17" s="90">
        <f t="shared" si="1"/>
        <v>1</v>
      </c>
      <c r="E17" s="90">
        <f t="shared" si="1"/>
        <v>1</v>
      </c>
      <c r="F17" s="90">
        <f t="shared" si="1"/>
        <v>1</v>
      </c>
      <c r="G17" s="90">
        <f t="shared" si="1"/>
        <v>1</v>
      </c>
      <c r="H17" s="90">
        <f t="shared" si="1"/>
        <v>1</v>
      </c>
      <c r="I17" s="90">
        <f t="shared" si="1"/>
        <v>1</v>
      </c>
      <c r="J17" s="90" t="e">
        <f t="shared" si="1"/>
        <v>#DIV/0!</v>
      </c>
      <c r="K17" s="90" t="e">
        <f t="shared" si="1"/>
        <v>#DIV/0!</v>
      </c>
      <c r="L17" s="90" t="e">
        <f t="shared" si="1"/>
        <v>#DIV/0!</v>
      </c>
      <c r="M17" s="90" t="e">
        <f t="shared" si="1"/>
        <v>#DIV/0!</v>
      </c>
      <c r="N17" s="154" t="e">
        <f t="shared" si="1"/>
        <v>#DIV/0!</v>
      </c>
      <c r="O17" s="7"/>
      <c r="P17" s="90" t="e">
        <f>P16/P14</f>
        <v>#DIV/0!</v>
      </c>
    </row>
    <row r="18" spans="2:20" x14ac:dyDescent="0.3">
      <c r="B18" s="7"/>
      <c r="N18" s="116"/>
    </row>
    <row r="19" spans="2:20" x14ac:dyDescent="0.3">
      <c r="B19" s="7" t="s">
        <v>190</v>
      </c>
      <c r="C19" s="73">
        <f>SUMIF('Monthly Detail'!$4:$4,#REF!, 'Monthly Detail'!$80:$80)</f>
        <v>0</v>
      </c>
      <c r="D19" s="73">
        <f>SUMIF('Monthly Detail'!$4:$4,#REF!, 'Monthly Detail'!$80:$80)</f>
        <v>0</v>
      </c>
      <c r="E19" s="73">
        <f>SUMIF('Monthly Detail'!$4:$4,#REF!, 'Monthly Detail'!$80:$80)</f>
        <v>0</v>
      </c>
      <c r="F19" s="73">
        <f>SUMIF('Monthly Detail'!$4:$4,#REF!, 'Monthly Detail'!$80:$80)</f>
        <v>0</v>
      </c>
      <c r="G19" s="73">
        <f>SUMIF('Monthly Detail'!$4:$4,#REF!, 'Monthly Detail'!$80:$80)</f>
        <v>0</v>
      </c>
      <c r="H19" s="73">
        <f>SUMIF('Monthly Detail'!$4:$4,#REF!, 'Monthly Detail'!$80:$80)</f>
        <v>0</v>
      </c>
      <c r="I19" s="73">
        <f>SUMIF('Monthly Detail'!$4:$4,#REF!, 'Monthly Detail'!$80:$80)</f>
        <v>0</v>
      </c>
      <c r="J19" s="73">
        <f>SUMIF('Monthly Detail'!$4:$4,#REF!, 'Monthly Detail'!$80:$80)</f>
        <v>0</v>
      </c>
      <c r="K19" s="73">
        <f>SUMIF('Monthly Detail'!$4:$4,#REF!, 'Monthly Detail'!$80:$80)</f>
        <v>0</v>
      </c>
      <c r="L19" s="73">
        <f>SUMIF('Monthly Detail'!$4:$4,#REF!, 'Monthly Detail'!$80:$80)</f>
        <v>0</v>
      </c>
      <c r="M19" s="73">
        <f>SUMIF('Monthly Detail'!$4:$4,#REF!, 'Monthly Detail'!$80:$80)</f>
        <v>0</v>
      </c>
      <c r="N19" s="150">
        <f>SUMIF('Monthly Detail'!$4:$4,#REF!, 'Monthly Detail'!$80:$80)</f>
        <v>0</v>
      </c>
      <c r="P19" s="73">
        <f>SUM(C19:O19)</f>
        <v>0</v>
      </c>
      <c r="T19" s="1"/>
    </row>
    <row r="20" spans="2:20" x14ac:dyDescent="0.3">
      <c r="B20" s="7" t="s">
        <v>189</v>
      </c>
      <c r="C20" s="73">
        <f>SUMIF('Monthly Detail'!$4:$4, '2022 Overview'!C$11, 'Monthly Detail'!48:48)</f>
        <v>0</v>
      </c>
      <c r="D20" s="73">
        <f>SUMIF('Monthly Detail'!$4:$4, '2022 Overview'!D$11, 'Monthly Detail'!48:48)</f>
        <v>0</v>
      </c>
      <c r="E20" s="73">
        <f>SUMIF('Monthly Detail'!$4:$4, '2022 Overview'!E$11, 'Monthly Detail'!48:48)</f>
        <v>0</v>
      </c>
      <c r="F20" s="73">
        <f>SUMIF('Monthly Detail'!$4:$4, '2022 Overview'!F$11, 'Monthly Detail'!48:48)</f>
        <v>0</v>
      </c>
      <c r="G20" s="73">
        <f>SUMIF('Monthly Detail'!$4:$4, '2022 Overview'!G$11, 'Monthly Detail'!48:48)</f>
        <v>0</v>
      </c>
      <c r="H20" s="73">
        <f>SUMIF('Monthly Detail'!$4:$4, '2022 Overview'!H$11, 'Monthly Detail'!48:48)</f>
        <v>0</v>
      </c>
      <c r="I20" s="73">
        <f>SUMIF('Monthly Detail'!$4:$4, '2022 Overview'!I$11, 'Monthly Detail'!48:48)</f>
        <v>0</v>
      </c>
      <c r="J20" s="73">
        <f>SUMIF('Monthly Detail'!$4:$4, '2022 Overview'!J$11, 'Monthly Detail'!48:48)</f>
        <v>0</v>
      </c>
      <c r="K20" s="73">
        <f>SUMIF('Monthly Detail'!$4:$4, '2022 Overview'!K$11, 'Monthly Detail'!48:48)</f>
        <v>0</v>
      </c>
      <c r="L20" s="73">
        <f>SUMIF('Monthly Detail'!$4:$4, '2022 Overview'!L$11, 'Monthly Detail'!48:48)</f>
        <v>0</v>
      </c>
      <c r="M20" s="73">
        <f>SUMIF('Monthly Detail'!$4:$4, '2022 Overview'!M$11, 'Monthly Detail'!48:48)</f>
        <v>0</v>
      </c>
      <c r="N20" s="150">
        <f>SUMIF('Monthly Detail'!$4:$4, '2022 Overview'!N$11, 'Monthly Detail'!48:48)</f>
        <v>0</v>
      </c>
      <c r="P20" s="73">
        <f>SUM(C20:O20)</f>
        <v>0</v>
      </c>
      <c r="T20" s="1"/>
    </row>
    <row r="21" spans="2:20" x14ac:dyDescent="0.3">
      <c r="B21" s="78" t="s">
        <v>153</v>
      </c>
      <c r="C21" s="79">
        <f>SUM(C19:C20)</f>
        <v>0</v>
      </c>
      <c r="D21" s="79">
        <f t="shared" ref="D21:N21" si="2">SUM(D19:D20)</f>
        <v>0</v>
      </c>
      <c r="E21" s="79">
        <f t="shared" si="2"/>
        <v>0</v>
      </c>
      <c r="F21" s="79">
        <f t="shared" si="2"/>
        <v>0</v>
      </c>
      <c r="G21" s="79">
        <f t="shared" si="2"/>
        <v>0</v>
      </c>
      <c r="H21" s="79">
        <f t="shared" si="2"/>
        <v>0</v>
      </c>
      <c r="I21" s="79">
        <f t="shared" si="2"/>
        <v>0</v>
      </c>
      <c r="J21" s="79">
        <f t="shared" si="2"/>
        <v>0</v>
      </c>
      <c r="K21" s="79">
        <f t="shared" si="2"/>
        <v>0</v>
      </c>
      <c r="L21" s="79">
        <f t="shared" si="2"/>
        <v>0</v>
      </c>
      <c r="M21" s="79">
        <f t="shared" si="2"/>
        <v>0</v>
      </c>
      <c r="N21" s="155">
        <f t="shared" si="2"/>
        <v>0</v>
      </c>
      <c r="O21" s="80"/>
      <c r="P21" s="79">
        <f>SUM(P19:P20)</f>
        <v>0</v>
      </c>
    </row>
    <row r="22" spans="2:20" ht="3" customHeight="1" x14ac:dyDescent="0.3">
      <c r="B22" s="7"/>
      <c r="N22" s="116"/>
    </row>
    <row r="23" spans="2:20" ht="15.6" x14ac:dyDescent="0.3">
      <c r="B23" s="87" t="s">
        <v>154</v>
      </c>
      <c r="C23" s="88">
        <f t="shared" ref="C23:N23" si="3">C16-C21</f>
        <v>0.1</v>
      </c>
      <c r="D23" s="88">
        <f t="shared" si="3"/>
        <v>0.1</v>
      </c>
      <c r="E23" s="88">
        <f t="shared" si="3"/>
        <v>0.1</v>
      </c>
      <c r="F23" s="88">
        <f t="shared" si="3"/>
        <v>0.1</v>
      </c>
      <c r="G23" s="88">
        <f t="shared" si="3"/>
        <v>0.1</v>
      </c>
      <c r="H23" s="88">
        <f t="shared" si="3"/>
        <v>0.1</v>
      </c>
      <c r="I23" s="88">
        <f t="shared" si="3"/>
        <v>0.1</v>
      </c>
      <c r="J23" s="88">
        <f t="shared" si="3"/>
        <v>0</v>
      </c>
      <c r="K23" s="88">
        <f t="shared" si="3"/>
        <v>0</v>
      </c>
      <c r="L23" s="88">
        <f t="shared" si="3"/>
        <v>0</v>
      </c>
      <c r="M23" s="88">
        <f t="shared" si="3"/>
        <v>0</v>
      </c>
      <c r="N23" s="153">
        <f t="shared" si="3"/>
        <v>0</v>
      </c>
      <c r="O23" s="77"/>
      <c r="P23" s="88">
        <f>P16-P21</f>
        <v>0</v>
      </c>
    </row>
    <row r="24" spans="2:20" x14ac:dyDescent="0.3">
      <c r="B24" s="89" t="s">
        <v>155</v>
      </c>
      <c r="C24" s="90">
        <f>C23/C14</f>
        <v>1</v>
      </c>
      <c r="D24" s="90">
        <f t="shared" ref="D24:N24" si="4">D23/D14</f>
        <v>1</v>
      </c>
      <c r="E24" s="90">
        <f t="shared" si="4"/>
        <v>1</v>
      </c>
      <c r="F24" s="90">
        <f t="shared" si="4"/>
        <v>1</v>
      </c>
      <c r="G24" s="90">
        <f t="shared" si="4"/>
        <v>1</v>
      </c>
      <c r="H24" s="90">
        <f t="shared" si="4"/>
        <v>1</v>
      </c>
      <c r="I24" s="90">
        <f t="shared" si="4"/>
        <v>1</v>
      </c>
      <c r="J24" s="90" t="e">
        <f t="shared" si="4"/>
        <v>#DIV/0!</v>
      </c>
      <c r="K24" s="90" t="e">
        <f t="shared" si="4"/>
        <v>#DIV/0!</v>
      </c>
      <c r="L24" s="90" t="e">
        <f t="shared" si="4"/>
        <v>#DIV/0!</v>
      </c>
      <c r="M24" s="90" t="e">
        <f t="shared" si="4"/>
        <v>#DIV/0!</v>
      </c>
      <c r="N24" s="154" t="e">
        <f t="shared" si="4"/>
        <v>#DIV/0!</v>
      </c>
      <c r="O24" s="7"/>
      <c r="P24" s="90" t="e">
        <f>P23/P14</f>
        <v>#DIV/0!</v>
      </c>
    </row>
    <row r="25" spans="2:20" ht="8.25" customHeight="1" x14ac:dyDescent="0.3">
      <c r="B25" s="81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56"/>
      <c r="P25" s="82"/>
    </row>
    <row r="26" spans="2:20" x14ac:dyDescent="0.3">
      <c r="B26" s="7" t="s">
        <v>156</v>
      </c>
      <c r="C26" s="73">
        <f>SUMIF('Monthly Detail'!$4:$4, '2022 Overview'!C$11, 'Monthly Detail'!71:71)</f>
        <v>0</v>
      </c>
      <c r="D26" s="73">
        <f>SUMIF('Monthly Detail'!$4:$4, '2022 Overview'!D$11, 'Monthly Detail'!71:71)</f>
        <v>0</v>
      </c>
      <c r="E26" s="73">
        <f>SUMIF('Monthly Detail'!$4:$4, '2022 Overview'!E$11, 'Monthly Detail'!71:71)</f>
        <v>0</v>
      </c>
      <c r="F26" s="73">
        <f>SUMIF('Monthly Detail'!$4:$4, '2022 Overview'!F$11, 'Monthly Detail'!71:71)</f>
        <v>0</v>
      </c>
      <c r="G26" s="73">
        <f>SUMIF('Monthly Detail'!$4:$4, '2022 Overview'!G$11, 'Monthly Detail'!71:71)</f>
        <v>0</v>
      </c>
      <c r="H26" s="73">
        <f>SUMIF('Monthly Detail'!$4:$4, '2022 Overview'!H$11, 'Monthly Detail'!71:71)</f>
        <v>0</v>
      </c>
      <c r="I26" s="73">
        <f>SUMIF('Monthly Detail'!$4:$4, '2022 Overview'!I$11, 'Monthly Detail'!71:71)</f>
        <v>0</v>
      </c>
      <c r="J26" s="73">
        <f>SUMIF('Monthly Detail'!$4:$4, '2022 Overview'!J$11, 'Monthly Detail'!71:71)</f>
        <v>0</v>
      </c>
      <c r="K26" s="73">
        <f>SUMIF('Monthly Detail'!$4:$4, '2022 Overview'!K$11, 'Monthly Detail'!71:71)</f>
        <v>0</v>
      </c>
      <c r="L26" s="129">
        <f>SUMIF('Monthly Detail'!$4:$4, '2022 Overview'!L$11, 'Monthly Detail'!71:71)</f>
        <v>0</v>
      </c>
      <c r="M26" s="132">
        <f>SUMIF('Monthly Detail'!$4:$4, '2022 Overview'!M$11, 'Monthly Detail'!71:71)</f>
        <v>0</v>
      </c>
      <c r="N26" s="157">
        <f>SUMIF('Monthly Detail'!$4:$4, '2022 Overview'!N$11, 'Monthly Detail'!71:71)</f>
        <v>0</v>
      </c>
      <c r="O26" s="73"/>
      <c r="P26" s="129">
        <f>SUM(C26:O26)</f>
        <v>0</v>
      </c>
    </row>
    <row r="27" spans="2:20" ht="15.6" x14ac:dyDescent="0.3">
      <c r="B27" s="87" t="s">
        <v>11</v>
      </c>
      <c r="C27" s="88">
        <f t="shared" ref="C27:N27" si="5">C23+SUM(C26:C26)</f>
        <v>0.1</v>
      </c>
      <c r="D27" s="88">
        <f t="shared" si="5"/>
        <v>0.1</v>
      </c>
      <c r="E27" s="88">
        <f t="shared" si="5"/>
        <v>0.1</v>
      </c>
      <c r="F27" s="88">
        <f t="shared" si="5"/>
        <v>0.1</v>
      </c>
      <c r="G27" s="88">
        <f t="shared" si="5"/>
        <v>0.1</v>
      </c>
      <c r="H27" s="88">
        <f t="shared" si="5"/>
        <v>0.1</v>
      </c>
      <c r="I27" s="88">
        <f t="shared" si="5"/>
        <v>0.1</v>
      </c>
      <c r="J27" s="88">
        <f t="shared" si="5"/>
        <v>0</v>
      </c>
      <c r="K27" s="88">
        <f t="shared" si="5"/>
        <v>0</v>
      </c>
      <c r="L27" s="88">
        <f t="shared" si="5"/>
        <v>0</v>
      </c>
      <c r="M27" s="88">
        <f t="shared" si="5"/>
        <v>0</v>
      </c>
      <c r="N27" s="153">
        <f t="shared" si="5"/>
        <v>0</v>
      </c>
      <c r="O27" s="77"/>
      <c r="P27" s="88">
        <f>P23+SUM(P26:P26)</f>
        <v>0</v>
      </c>
    </row>
    <row r="28" spans="2:20" x14ac:dyDescent="0.3">
      <c r="B28" s="89" t="s">
        <v>157</v>
      </c>
      <c r="C28" s="90">
        <f t="shared" ref="C28:N28" si="6">C27/C14</f>
        <v>1</v>
      </c>
      <c r="D28" s="90">
        <f t="shared" si="6"/>
        <v>1</v>
      </c>
      <c r="E28" s="90">
        <f t="shared" si="6"/>
        <v>1</v>
      </c>
      <c r="F28" s="90">
        <f t="shared" si="6"/>
        <v>1</v>
      </c>
      <c r="G28" s="90">
        <f t="shared" si="6"/>
        <v>1</v>
      </c>
      <c r="H28" s="90">
        <f t="shared" si="6"/>
        <v>1</v>
      </c>
      <c r="I28" s="90">
        <f t="shared" si="6"/>
        <v>1</v>
      </c>
      <c r="J28" s="90" t="e">
        <f t="shared" si="6"/>
        <v>#DIV/0!</v>
      </c>
      <c r="K28" s="90" t="e">
        <f t="shared" si="6"/>
        <v>#DIV/0!</v>
      </c>
      <c r="L28" s="90" t="e">
        <f t="shared" si="6"/>
        <v>#DIV/0!</v>
      </c>
      <c r="M28" s="90" t="e">
        <f t="shared" si="6"/>
        <v>#DIV/0!</v>
      </c>
      <c r="N28" s="154" t="e">
        <f t="shared" si="6"/>
        <v>#DIV/0!</v>
      </c>
      <c r="O28" s="7"/>
      <c r="P28" s="90" t="e">
        <f>P27/P14</f>
        <v>#DIV/0!</v>
      </c>
    </row>
    <row r="29" spans="2:20" ht="15" thickBot="1" x14ac:dyDescent="0.35">
      <c r="B29" s="7"/>
      <c r="M29" s="109"/>
      <c r="N29" s="116"/>
    </row>
    <row r="30" spans="2:20" x14ac:dyDescent="0.3">
      <c r="B30" s="83" t="s">
        <v>158</v>
      </c>
      <c r="C30" s="84">
        <f>SUMIF('Monthly Detail'!$4:$4, '2022 Overview'!C$11, 'Monthly Detail'!149:149)</f>
        <v>0</v>
      </c>
      <c r="D30" s="84">
        <f>SUMIF('Monthly Detail'!$4:$4, '2022 Overview'!D$11, 'Monthly Detail'!149:149)</f>
        <v>0</v>
      </c>
      <c r="E30" s="84">
        <f>SUMIF('Monthly Detail'!$4:$4, '2022 Overview'!E$11, 'Monthly Detail'!149:149)</f>
        <v>0</v>
      </c>
      <c r="F30" s="84">
        <f>SUMIF('Monthly Detail'!$4:$4, '2022 Overview'!F$11, 'Monthly Detail'!149:149)</f>
        <v>0</v>
      </c>
      <c r="G30" s="84">
        <f>SUMIF('Monthly Detail'!$4:$4, '2022 Overview'!G$11, 'Monthly Detail'!149:149)</f>
        <v>0</v>
      </c>
      <c r="H30" s="84">
        <f>SUMIF('Monthly Detail'!$4:$4, '2022 Overview'!H$11, 'Monthly Detail'!149:149)</f>
        <v>0</v>
      </c>
      <c r="I30" s="84">
        <f>SUMIF('Monthly Detail'!$4:$4, '2022 Overview'!I$11, 'Monthly Detail'!149:149)</f>
        <v>0</v>
      </c>
      <c r="J30" s="84">
        <f>SUMIF('Monthly Detail'!$4:$4, '2022 Overview'!J$11, 'Monthly Detail'!149:149)</f>
        <v>0</v>
      </c>
      <c r="K30" s="84">
        <f>SUMIF('Monthly Detail'!$4:$4, '2022 Overview'!K$11, 'Monthly Detail'!149:149)</f>
        <v>0</v>
      </c>
      <c r="L30" s="84">
        <f>SUMIF('Monthly Detail'!$4:$4, '2022 Overview'!L$11, 'Monthly Detail'!149:149)</f>
        <v>0</v>
      </c>
      <c r="M30" s="84">
        <f>SUMIF('Monthly Detail'!$4:$4, '2022 Overview'!M$11, 'Monthly Detail'!149:149)</f>
        <v>0</v>
      </c>
      <c r="N30" s="158">
        <f>SUMIF('Monthly Detail'!$4:$4, '2022 Overview'!N$11, 'Monthly Detail'!149:149)</f>
        <v>0</v>
      </c>
    </row>
    <row r="31" spans="2:20" ht="15" thickBot="1" x14ac:dyDescent="0.35">
      <c r="B31" s="85" t="s">
        <v>159</v>
      </c>
      <c r="C31" s="86">
        <f>SUMIF('Monthly Detail'!$4:$4, '2022 Overview'!C$11, 'Monthly Detail'!135:135)</f>
        <v>0</v>
      </c>
      <c r="D31" s="86">
        <f>D30-C30</f>
        <v>0</v>
      </c>
      <c r="E31" s="86">
        <f t="shared" ref="E31:N31" si="7">E30-D30</f>
        <v>0</v>
      </c>
      <c r="F31" s="86">
        <f t="shared" si="7"/>
        <v>0</v>
      </c>
      <c r="G31" s="86">
        <f t="shared" si="7"/>
        <v>0</v>
      </c>
      <c r="H31" s="86">
        <f t="shared" si="7"/>
        <v>0</v>
      </c>
      <c r="I31" s="86">
        <f t="shared" si="7"/>
        <v>0</v>
      </c>
      <c r="J31" s="86">
        <f t="shared" si="7"/>
        <v>0</v>
      </c>
      <c r="K31" s="86">
        <f t="shared" si="7"/>
        <v>0</v>
      </c>
      <c r="L31" s="86">
        <f t="shared" si="7"/>
        <v>0</v>
      </c>
      <c r="M31" s="86">
        <f t="shared" si="7"/>
        <v>0</v>
      </c>
      <c r="N31" s="159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B3" sqref="B3"/>
    </sheetView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</vt:i4>
      </vt:variant>
    </vt:vector>
  </HeadingPairs>
  <TitlesOfParts>
    <vt:vector size="26" baseType="lpstr">
      <vt:lpstr>1</vt:lpstr>
      <vt:lpstr>Annual Summary</vt:lpstr>
      <vt:lpstr>2025 Overview</vt:lpstr>
      <vt:lpstr>2025 AOP</vt:lpstr>
      <vt:lpstr>2024 Overview</vt:lpstr>
      <vt:lpstr>2024 AOP</vt:lpstr>
      <vt:lpstr>Quarterly Overview</vt:lpstr>
      <vt:lpstr>2022 Overview</vt:lpstr>
      <vt:lpstr>2</vt:lpstr>
      <vt:lpstr>Monthly Detail</vt:lpstr>
      <vt:lpstr>Sensitivity Analysis</vt:lpstr>
      <vt:lpstr>Revenue Build</vt:lpstr>
      <vt:lpstr>Bookings by Service Type</vt:lpstr>
      <vt:lpstr>3</vt:lpstr>
      <vt:lpstr>October</vt:lpstr>
      <vt:lpstr>September</vt:lpstr>
      <vt:lpstr>August</vt:lpstr>
      <vt:lpstr>New Trainers Plan</vt:lpstr>
      <vt:lpstr>4</vt:lpstr>
      <vt:lpstr>People Plan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2024-11-13T16:02:08Z</cp:lastPrinted>
  <dcterms:created xsi:type="dcterms:W3CDTF">2022-12-01T00:32:54Z</dcterms:created>
  <dcterms:modified xsi:type="dcterms:W3CDTF">2024-11-30T00:52:56Z</dcterms:modified>
</cp:coreProperties>
</file>