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streamlit/"/>
    </mc:Choice>
  </mc:AlternateContent>
  <xr:revisionPtr revIDLastSave="30" documentId="8_{9E6888BC-BD66-4A19-A996-26C9EF19661D}" xr6:coauthVersionLast="47" xr6:coauthVersionMax="47" xr10:uidLastSave="{E9678E77-CF30-4BA3-A342-BA9E9BE7337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" i="1" l="1"/>
  <c r="AB5" i="1"/>
  <c r="AG8" i="1"/>
  <c r="AM4" i="1"/>
  <c r="AK4" i="1"/>
  <c r="AM7" i="1"/>
  <c r="AK7" i="1"/>
  <c r="AH7" i="1"/>
  <c r="AB7" i="1"/>
  <c r="AC7" i="1"/>
  <c r="AM6" i="1"/>
  <c r="AL6" i="1"/>
  <c r="AK6" i="1"/>
  <c r="AI6" i="1"/>
  <c r="AB6" i="1"/>
  <c r="AC6" i="1"/>
  <c r="Z6" i="1"/>
  <c r="Y6" i="1"/>
  <c r="X6" i="1"/>
  <c r="AM5" i="1"/>
  <c r="AL5" i="1"/>
  <c r="AK5" i="1"/>
  <c r="AJ5" i="1"/>
  <c r="AI5" i="1"/>
  <c r="AH5" i="1"/>
  <c r="AC5" i="1"/>
  <c r="Z5" i="1"/>
  <c r="Y5" i="1"/>
  <c r="X5" i="1"/>
  <c r="AJ9" i="1"/>
  <c r="AI9" i="1"/>
  <c r="AB9" i="1"/>
  <c r="AA9" i="1"/>
  <c r="AC9" i="1"/>
  <c r="AD9" i="1"/>
  <c r="AE9" i="1" s="1"/>
  <c r="AH9" i="1"/>
  <c r="AK9" i="1"/>
  <c r="AK8" i="1"/>
  <c r="AM8" i="1" s="1"/>
  <c r="AH8" i="1"/>
  <c r="AF8" i="1"/>
  <c r="AC8" i="1"/>
  <c r="AB8" i="1"/>
  <c r="AD8" i="1"/>
  <c r="AE8" i="1" s="1"/>
  <c r="AA8" i="1"/>
  <c r="V8" i="1"/>
</calcChain>
</file>

<file path=xl/sharedStrings.xml><?xml version="1.0" encoding="utf-8"?>
<sst xmlns="http://schemas.openxmlformats.org/spreadsheetml/2006/main" count="132" uniqueCount="90">
  <si>
    <t>Employee Number</t>
  </si>
  <si>
    <t>Last Name</t>
  </si>
  <si>
    <t>First Name</t>
  </si>
  <si>
    <t>Location Code Desc</t>
  </si>
  <si>
    <t>Group/Bargaining Unit Code Desc</t>
  </si>
  <si>
    <t>Personnel Status Code Desc</t>
  </si>
  <si>
    <t>Annual Pay</t>
  </si>
  <si>
    <t>Retirement Plan</t>
  </si>
  <si>
    <t>ENGINEERING</t>
  </si>
  <si>
    <t>GENERAL SCHEDULE</t>
  </si>
  <si>
    <t>GENERAL SCHEDULE PT &amp; TEMP</t>
  </si>
  <si>
    <t>ACTIVE TEMPORARY</t>
  </si>
  <si>
    <t>ACTIVE FULL TIME</t>
  </si>
  <si>
    <t>ACTIVE PART TIME</t>
  </si>
  <si>
    <t>Hourly Pay</t>
  </si>
  <si>
    <t>VRSH - VIRGINIA RET SYS HYBRID</t>
  </si>
  <si>
    <t>VRS - VIRGINIA RETIREMENT SYST</t>
  </si>
  <si>
    <t>NNER  CITY OF NEWPORT NEWS RET</t>
  </si>
  <si>
    <t>HUMAN RESOURCES</t>
  </si>
  <si>
    <t>FINANCE</t>
  </si>
  <si>
    <t>POLICE</t>
  </si>
  <si>
    <t>FIRE</t>
  </si>
  <si>
    <t>TREASURER</t>
  </si>
  <si>
    <t>FIRE/POLICE SCHEDULE</t>
  </si>
  <si>
    <t>LIBRARIES</t>
  </si>
  <si>
    <t>INFORMATION TECHNOLOGY</t>
  </si>
  <si>
    <t>Fred</t>
  </si>
  <si>
    <t>Peter</t>
  </si>
  <si>
    <t>Smith</t>
  </si>
  <si>
    <t>Flintstone</t>
  </si>
  <si>
    <t>Mickey</t>
  </si>
  <si>
    <t>Mouse</t>
  </si>
  <si>
    <t>Donald</t>
  </si>
  <si>
    <t>Duck</t>
  </si>
  <si>
    <t>John</t>
  </si>
  <si>
    <t>Pan</t>
  </si>
  <si>
    <t>Charlie</t>
  </si>
  <si>
    <t>Brown</t>
  </si>
  <si>
    <t>Bugs</t>
  </si>
  <si>
    <t>Bunny</t>
  </si>
  <si>
    <t>George</t>
  </si>
  <si>
    <t>Jetson</t>
  </si>
  <si>
    <t>EE Rate</t>
  </si>
  <si>
    <t>Health Monthly</t>
  </si>
  <si>
    <t>OPTIMA EQUITY HDHP</t>
  </si>
  <si>
    <t>Dental Monthly</t>
  </si>
  <si>
    <t>Vision Monthly</t>
  </si>
  <si>
    <t>HSA City</t>
  </si>
  <si>
    <t>HSA Employee</t>
  </si>
  <si>
    <t>STD Employee</t>
  </si>
  <si>
    <t>LTD City</t>
  </si>
  <si>
    <t>LTD Employee</t>
  </si>
  <si>
    <t>VLDP City</t>
  </si>
  <si>
    <t>DC Plan City</t>
  </si>
  <si>
    <t>DC Plan EE</t>
  </si>
  <si>
    <t>Life City</t>
  </si>
  <si>
    <t>Life Employee</t>
  </si>
  <si>
    <t>DENTAL</t>
  </si>
  <si>
    <t>EMPLOYEE PLUS SPOUSE</t>
  </si>
  <si>
    <t>VISION SERVICE PLAN</t>
  </si>
  <si>
    <t>DB Retirement City</t>
  </si>
  <si>
    <t>DB Retirement EE</t>
  </si>
  <si>
    <t>Opt DC City</t>
  </si>
  <si>
    <t>Opt DC EE</t>
  </si>
  <si>
    <t>Voluntary Life EE</t>
  </si>
  <si>
    <t>Life Amount</t>
  </si>
  <si>
    <t>Voluntary Life Amt</t>
  </si>
  <si>
    <t>HSA Monthy (HDHP only)</t>
  </si>
  <si>
    <t>Short Term Dis. Monthly</t>
  </si>
  <si>
    <t>Long Term Dis Monthly</t>
  </si>
  <si>
    <t>VA Dis. Monthly (Hybrid only)</t>
  </si>
  <si>
    <t>Mandatory Retirement Monthly</t>
  </si>
  <si>
    <t>Hybrid Retirement Mandatory &amp; Optional</t>
  </si>
  <si>
    <t>Basic Life</t>
  </si>
  <si>
    <t>Optional Life</t>
  </si>
  <si>
    <t>.</t>
  </si>
  <si>
    <t>OPTIMA HEALTH POS</t>
  </si>
  <si>
    <t>FAMILY</t>
  </si>
  <si>
    <t>EMPLOYEE</t>
  </si>
  <si>
    <t>VISION INS CITY</t>
  </si>
  <si>
    <t>NONE</t>
  </si>
  <si>
    <t>City Rate</t>
  </si>
  <si>
    <t>OPEB City or HRA City</t>
  </si>
  <si>
    <t>Retiree Health</t>
  </si>
  <si>
    <t>Health Plan</t>
  </si>
  <si>
    <t>Dental Plan</t>
  </si>
  <si>
    <t>Dental Coverage</t>
  </si>
  <si>
    <t>Vision Plan</t>
  </si>
  <si>
    <t>Vision Coverage</t>
  </si>
  <si>
    <t>Health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</si>
</sst>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44" fontId="3" fillId="0" borderId="0" xfId="1" applyFont="1" applyAlignment="1">
      <alignment vertical="top"/>
    </xf>
    <xf numFmtId="44" fontId="4" fillId="0" borderId="0" xfId="1" applyFont="1" applyAlignment="1">
      <alignment vertical="top"/>
    </xf>
    <xf numFmtId="44" fontId="0" fillId="0" borderId="0" xfId="1" applyFont="1"/>
    <xf numFmtId="0" fontId="0" fillId="2" borderId="0" xfId="0" applyFill="1"/>
    <xf numFmtId="0" fontId="3" fillId="2" borderId="0" xfId="0" applyNumberFormat="1" applyFont="1" applyFill="1" applyAlignment="1">
      <alignment vertical="top"/>
    </xf>
    <xf numFmtId="44" fontId="0" fillId="2" borderId="0" xfId="1" applyFont="1" applyFill="1"/>
    <xf numFmtId="44" fontId="3" fillId="2" borderId="0" xfId="1" applyFont="1" applyFill="1" applyAlignment="1">
      <alignment vertical="top"/>
    </xf>
    <xf numFmtId="44" fontId="6" fillId="2" borderId="0" xfId="1" applyFont="1" applyFill="1"/>
    <xf numFmtId="0" fontId="5" fillId="2" borderId="0" xfId="0" applyFont="1" applyFill="1"/>
    <xf numFmtId="44" fontId="2" fillId="0" borderId="0" xfId="1" applyFont="1"/>
    <xf numFmtId="44" fontId="2" fillId="2" borderId="0" xfId="1" applyFont="1" applyFill="1"/>
    <xf numFmtId="44" fontId="2" fillId="0" borderId="0" xfId="1" applyFont="1" applyFill="1"/>
    <xf numFmtId="0" fontId="2" fillId="0" borderId="0" xfId="0" applyFont="1"/>
    <xf numFmtId="0" fontId="5" fillId="0" borderId="0" xfId="0" applyFont="1" applyAlignment="1">
      <alignment horizontal="center"/>
    </xf>
    <xf numFmtId="44" fontId="2" fillId="2" borderId="0" xfId="1" applyFont="1" applyFill="1" applyAlignment="1">
      <alignment horizontal="center"/>
    </xf>
    <xf numFmtId="8" fontId="0" fillId="0" borderId="0" xfId="0" applyNumberForma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6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tabSelected="1" topLeftCell="G2" zoomScale="80" zoomScaleNormal="80" workbookViewId="0">
      <selection activeCell="O3" sqref="O3"/>
    </sheetView>
  </sheetViews>
  <sheetFormatPr defaultRowHeight="14.4" x14ac:dyDescent="0.3"/>
  <cols>
    <col min="1" max="1" width="17.88671875" bestFit="1" customWidth="1"/>
    <col min="2" max="2" width="10.109375" bestFit="1" customWidth="1"/>
    <col min="3" max="3" width="10.5546875" bestFit="1" customWidth="1"/>
    <col min="4" max="4" width="26.88671875" bestFit="1" customWidth="1"/>
    <col min="5" max="5" width="31.21875" bestFit="1" customWidth="1"/>
    <col min="6" max="6" width="26" bestFit="1" customWidth="1"/>
    <col min="7" max="7" width="10.44140625" bestFit="1" customWidth="1"/>
    <col min="8" max="8" width="13.44140625" style="5" bestFit="1" customWidth="1"/>
    <col min="9" max="9" width="35.109375" bestFit="1" customWidth="1"/>
    <col min="10" max="10" width="22.109375" bestFit="1" customWidth="1"/>
    <col min="11" max="11" width="23.88671875" bestFit="1" customWidth="1"/>
    <col min="12" max="12" width="9.21875" style="5" bestFit="1" customWidth="1"/>
    <col min="13" max="13" width="11.21875" style="5" bestFit="1" customWidth="1"/>
    <col min="14" max="14" width="9.6640625" bestFit="1" customWidth="1"/>
    <col min="15" max="15" width="23.88671875" bestFit="1" customWidth="1"/>
    <col min="18" max="18" width="21.44140625" bestFit="1" customWidth="1"/>
    <col min="19" max="19" width="23.88671875" bestFit="1" customWidth="1"/>
    <col min="20" max="21" width="9.109375" style="5"/>
    <col min="22" max="22" width="12.88671875" style="5" customWidth="1"/>
    <col min="23" max="23" width="16.5546875" style="5" bestFit="1" customWidth="1"/>
    <col min="24" max="24" width="26.21875" style="5" bestFit="1" customWidth="1"/>
    <col min="25" max="25" width="25.109375" style="5" bestFit="1" customWidth="1"/>
    <col min="26" max="26" width="13.6640625" style="5" bestFit="1" customWidth="1"/>
    <col min="27" max="27" width="30" bestFit="1" customWidth="1"/>
    <col min="28" max="28" width="19.6640625" bestFit="1" customWidth="1"/>
    <col min="29" max="29" width="18.21875" bestFit="1" customWidth="1"/>
    <col min="30" max="30" width="12.5546875" bestFit="1" customWidth="1"/>
    <col min="31" max="31" width="11.44140625" bestFit="1" customWidth="1"/>
    <col min="32" max="32" width="11.6640625" bestFit="1" customWidth="1"/>
    <col min="33" max="33" width="11.21875" customWidth="1"/>
    <col min="34" max="34" width="24.21875" bestFit="1" customWidth="1"/>
    <col min="35" max="35" width="8.88671875" bestFit="1" customWidth="1"/>
    <col min="36" max="36" width="15.109375" bestFit="1" customWidth="1"/>
    <col min="37" max="37" width="15" customWidth="1"/>
    <col min="38" max="38" width="17.5546875" bestFit="1" customWidth="1"/>
    <col min="39" max="39" width="19.44140625" bestFit="1" customWidth="1"/>
  </cols>
  <sheetData>
    <row r="1" spans="1:39" hidden="1" x14ac:dyDescent="0.3">
      <c r="AA1">
        <v>2440</v>
      </c>
      <c r="AB1">
        <v>2458</v>
      </c>
      <c r="AD1">
        <v>2460</v>
      </c>
      <c r="AF1">
        <v>2468</v>
      </c>
      <c r="AG1">
        <v>2568</v>
      </c>
      <c r="AI1">
        <v>8430</v>
      </c>
      <c r="AJ1">
        <v>8431</v>
      </c>
      <c r="AL1">
        <v>8440</v>
      </c>
    </row>
    <row r="2" spans="1:39" ht="16.2" x14ac:dyDescent="0.45">
      <c r="J2" s="20" t="s">
        <v>43</v>
      </c>
      <c r="K2" s="20"/>
      <c r="L2" s="20"/>
      <c r="M2" s="20"/>
      <c r="N2" s="19" t="s">
        <v>45</v>
      </c>
      <c r="O2" s="19"/>
      <c r="P2" s="19"/>
      <c r="Q2" s="19"/>
      <c r="R2" s="20" t="s">
        <v>46</v>
      </c>
      <c r="S2" s="20"/>
      <c r="T2" s="20"/>
      <c r="U2" s="20"/>
      <c r="V2" s="21" t="s">
        <v>67</v>
      </c>
      <c r="W2" s="21"/>
      <c r="X2" s="10" t="s">
        <v>68</v>
      </c>
      <c r="Y2" s="21" t="s">
        <v>69</v>
      </c>
      <c r="Z2" s="21"/>
      <c r="AA2" s="11" t="s">
        <v>70</v>
      </c>
      <c r="AB2" s="19" t="s">
        <v>71</v>
      </c>
      <c r="AC2" s="19"/>
      <c r="AD2" s="19" t="s">
        <v>72</v>
      </c>
      <c r="AE2" s="19"/>
      <c r="AF2" s="19"/>
      <c r="AG2" s="19"/>
      <c r="AH2" s="16" t="s">
        <v>83</v>
      </c>
      <c r="AI2" s="19" t="s">
        <v>73</v>
      </c>
      <c r="AJ2" s="19"/>
      <c r="AK2" s="19"/>
      <c r="AL2" s="19" t="s">
        <v>74</v>
      </c>
      <c r="AM2" s="19"/>
    </row>
    <row r="3" spans="1:39" s="15" customForma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14</v>
      </c>
      <c r="H3" s="3" t="s">
        <v>6</v>
      </c>
      <c r="I3" s="1" t="s">
        <v>7</v>
      </c>
      <c r="J3" s="7" t="s">
        <v>84</v>
      </c>
      <c r="K3" s="7" t="s">
        <v>89</v>
      </c>
      <c r="L3" s="9" t="s">
        <v>42</v>
      </c>
      <c r="M3" s="9" t="s">
        <v>81</v>
      </c>
      <c r="N3" s="1" t="s">
        <v>85</v>
      </c>
      <c r="O3" s="1" t="s">
        <v>86</v>
      </c>
      <c r="P3" s="1" t="s">
        <v>42</v>
      </c>
      <c r="Q3" s="1" t="s">
        <v>81</v>
      </c>
      <c r="R3" s="7" t="s">
        <v>87</v>
      </c>
      <c r="S3" s="7" t="s">
        <v>88</v>
      </c>
      <c r="T3" s="9" t="s">
        <v>42</v>
      </c>
      <c r="U3" s="9" t="s">
        <v>81</v>
      </c>
      <c r="V3" s="12" t="s">
        <v>47</v>
      </c>
      <c r="W3" s="12" t="s">
        <v>48</v>
      </c>
      <c r="X3" s="13" t="s">
        <v>49</v>
      </c>
      <c r="Y3" s="12" t="s">
        <v>50</v>
      </c>
      <c r="Z3" s="12" t="s">
        <v>51</v>
      </c>
      <c r="AA3" s="17" t="s">
        <v>52</v>
      </c>
      <c r="AB3" s="12" t="s">
        <v>60</v>
      </c>
      <c r="AC3" s="12" t="s">
        <v>61</v>
      </c>
      <c r="AD3" s="13" t="s">
        <v>53</v>
      </c>
      <c r="AE3" s="13" t="s">
        <v>54</v>
      </c>
      <c r="AF3" s="13" t="s">
        <v>62</v>
      </c>
      <c r="AG3" s="13" t="s">
        <v>63</v>
      </c>
      <c r="AH3" s="12" t="s">
        <v>82</v>
      </c>
      <c r="AI3" s="13" t="s">
        <v>55</v>
      </c>
      <c r="AJ3" s="13" t="s">
        <v>56</v>
      </c>
      <c r="AK3" s="13" t="s">
        <v>65</v>
      </c>
      <c r="AL3" s="12" t="s">
        <v>64</v>
      </c>
      <c r="AM3" s="14" t="s">
        <v>66</v>
      </c>
    </row>
    <row r="4" spans="1:39" x14ac:dyDescent="0.3">
      <c r="A4" s="2">
        <v>8963</v>
      </c>
      <c r="B4" s="2" t="s">
        <v>40</v>
      </c>
      <c r="C4" s="2" t="s">
        <v>41</v>
      </c>
      <c r="D4" s="2" t="s">
        <v>22</v>
      </c>
      <c r="E4" s="2" t="s">
        <v>9</v>
      </c>
      <c r="F4" s="2" t="s">
        <v>12</v>
      </c>
      <c r="G4" s="1"/>
      <c r="H4" s="4">
        <v>80587.45</v>
      </c>
      <c r="I4" s="2" t="s">
        <v>17</v>
      </c>
      <c r="J4" s="6" t="s">
        <v>76</v>
      </c>
      <c r="K4" s="6" t="s">
        <v>78</v>
      </c>
      <c r="L4" s="8">
        <v>66.92</v>
      </c>
      <c r="M4" s="8">
        <v>546.35</v>
      </c>
      <c r="N4" t="s">
        <v>57</v>
      </c>
      <c r="O4" t="s">
        <v>78</v>
      </c>
      <c r="P4">
        <v>8.2799999999999994</v>
      </c>
      <c r="Q4">
        <v>21.42</v>
      </c>
      <c r="R4" s="6" t="s">
        <v>59</v>
      </c>
      <c r="S4" s="6" t="s">
        <v>78</v>
      </c>
      <c r="T4" s="8">
        <v>8</v>
      </c>
      <c r="U4" s="8">
        <v>1.8</v>
      </c>
      <c r="V4" s="5">
        <v>0</v>
      </c>
      <c r="W4" s="5">
        <v>0</v>
      </c>
      <c r="X4" s="8">
        <v>17.82</v>
      </c>
      <c r="Y4" s="5">
        <v>4.9000000000000004</v>
      </c>
      <c r="Z4" s="5">
        <v>7.32</v>
      </c>
      <c r="AA4" s="8">
        <v>0</v>
      </c>
      <c r="AB4" s="5">
        <v>944.12</v>
      </c>
      <c r="AC4" s="5">
        <v>309.95999999999998</v>
      </c>
      <c r="AD4" s="8">
        <v>0</v>
      </c>
      <c r="AE4" s="8">
        <v>0</v>
      </c>
      <c r="AF4" s="8">
        <v>0</v>
      </c>
      <c r="AG4" s="8">
        <v>0</v>
      </c>
      <c r="AH4" s="5">
        <v>421.54</v>
      </c>
      <c r="AI4" s="8">
        <v>15.88</v>
      </c>
      <c r="AJ4" s="8">
        <v>0</v>
      </c>
      <c r="AK4" s="8">
        <f t="shared" ref="AK4:AK9" si="0">+H4</f>
        <v>80587.45</v>
      </c>
      <c r="AL4" s="5">
        <v>163.62</v>
      </c>
      <c r="AM4" s="5">
        <f>+H4</f>
        <v>80587.45</v>
      </c>
    </row>
    <row r="5" spans="1:39" x14ac:dyDescent="0.3">
      <c r="A5">
        <v>517810</v>
      </c>
      <c r="B5" s="2" t="s">
        <v>34</v>
      </c>
      <c r="C5" s="2" t="s">
        <v>28</v>
      </c>
      <c r="D5" s="2" t="s">
        <v>21</v>
      </c>
      <c r="E5" s="2" t="s">
        <v>23</v>
      </c>
      <c r="F5" s="2" t="s">
        <v>12</v>
      </c>
      <c r="G5" s="1"/>
      <c r="H5" s="4">
        <v>67223.429999999993</v>
      </c>
      <c r="I5" s="2" t="s">
        <v>16</v>
      </c>
      <c r="J5" s="6" t="s">
        <v>80</v>
      </c>
      <c r="K5" s="6"/>
      <c r="L5" s="8"/>
      <c r="M5" s="8"/>
      <c r="N5" t="s">
        <v>80</v>
      </c>
      <c r="R5" s="6" t="s">
        <v>79</v>
      </c>
      <c r="S5" s="6" t="s">
        <v>78</v>
      </c>
      <c r="T5" s="8">
        <v>0</v>
      </c>
      <c r="U5" s="8">
        <v>0.8</v>
      </c>
      <c r="V5" s="5">
        <v>0</v>
      </c>
      <c r="W5" s="5">
        <v>0</v>
      </c>
      <c r="X5" s="8">
        <f>7.43*2</f>
        <v>14.86</v>
      </c>
      <c r="Y5" s="5">
        <f>2.04*2</f>
        <v>4.08</v>
      </c>
      <c r="Z5" s="5">
        <f>3.05*2</f>
        <v>6.1</v>
      </c>
      <c r="AA5" s="8">
        <v>0</v>
      </c>
      <c r="AB5">
        <f>177.02*2</f>
        <v>354.04</v>
      </c>
      <c r="AC5" s="5">
        <f>0.05*H5/12</f>
        <v>280.09762499999999</v>
      </c>
      <c r="AD5" s="8">
        <v>0</v>
      </c>
      <c r="AE5" s="8">
        <v>0</v>
      </c>
      <c r="AF5" s="8">
        <v>0</v>
      </c>
      <c r="AG5" s="8">
        <v>0</v>
      </c>
      <c r="AH5" s="5">
        <f>63.27*2</f>
        <v>126.54</v>
      </c>
      <c r="AI5" s="8">
        <f>15.12*2</f>
        <v>30.24</v>
      </c>
      <c r="AJ5" s="8">
        <f>22.41*2</f>
        <v>44.82</v>
      </c>
      <c r="AK5" s="8">
        <f t="shared" si="0"/>
        <v>67223.429999999993</v>
      </c>
      <c r="AL5" s="5">
        <f>9.52*2</f>
        <v>19.04</v>
      </c>
      <c r="AM5" s="5">
        <f>+H5*2</f>
        <v>134446.85999999999</v>
      </c>
    </row>
    <row r="6" spans="1:39" x14ac:dyDescent="0.3">
      <c r="A6" s="2">
        <v>4567</v>
      </c>
      <c r="B6" s="2" t="s">
        <v>27</v>
      </c>
      <c r="C6" s="2" t="s">
        <v>35</v>
      </c>
      <c r="D6" s="2" t="s">
        <v>20</v>
      </c>
      <c r="E6" s="2" t="s">
        <v>23</v>
      </c>
      <c r="F6" s="2" t="s">
        <v>12</v>
      </c>
      <c r="G6" s="1"/>
      <c r="H6" s="4">
        <v>75418.45</v>
      </c>
      <c r="I6" s="2" t="s">
        <v>17</v>
      </c>
      <c r="J6" s="6" t="s">
        <v>76</v>
      </c>
      <c r="K6" s="6" t="s">
        <v>77</v>
      </c>
      <c r="L6" s="8">
        <v>223.36</v>
      </c>
      <c r="M6" s="8">
        <v>1493.78</v>
      </c>
      <c r="N6" t="s">
        <v>57</v>
      </c>
      <c r="O6" t="s">
        <v>77</v>
      </c>
      <c r="P6">
        <v>25.87</v>
      </c>
      <c r="Q6">
        <v>66.91</v>
      </c>
      <c r="R6" s="6" t="s">
        <v>59</v>
      </c>
      <c r="S6" s="6" t="s">
        <v>77</v>
      </c>
      <c r="T6" s="8">
        <v>23</v>
      </c>
      <c r="U6" s="8">
        <v>2.8</v>
      </c>
      <c r="V6" s="5">
        <v>0</v>
      </c>
      <c r="W6" s="5">
        <v>0</v>
      </c>
      <c r="X6" s="8">
        <f>8.34*2</f>
        <v>16.68</v>
      </c>
      <c r="Y6" s="5">
        <f>2.29*2</f>
        <v>4.58</v>
      </c>
      <c r="Z6" s="5">
        <f>3.43*2</f>
        <v>6.86</v>
      </c>
      <c r="AA6" s="8">
        <v>0</v>
      </c>
      <c r="AB6" s="5">
        <f>494.24*2</f>
        <v>988.48</v>
      </c>
      <c r="AC6" s="5">
        <f>151.38*2</f>
        <v>302.76</v>
      </c>
      <c r="AD6" s="8">
        <v>0</v>
      </c>
      <c r="AE6" s="8">
        <v>0</v>
      </c>
      <c r="AF6" s="8">
        <v>0</v>
      </c>
      <c r="AG6" s="8">
        <v>0</v>
      </c>
      <c r="AH6" s="5">
        <f>220.67*2</f>
        <v>441.34</v>
      </c>
      <c r="AI6" s="8">
        <f>7.45*2</f>
        <v>14.9</v>
      </c>
      <c r="AJ6" s="8">
        <v>0</v>
      </c>
      <c r="AK6" s="8">
        <f t="shared" si="0"/>
        <v>75418.45</v>
      </c>
      <c r="AL6" s="5">
        <f>17.48*2</f>
        <v>34.96</v>
      </c>
      <c r="AM6" s="5">
        <f>+H6*2</f>
        <v>150836.9</v>
      </c>
    </row>
    <row r="7" spans="1:39" x14ac:dyDescent="0.3">
      <c r="A7" s="2">
        <v>89637</v>
      </c>
      <c r="B7" s="2" t="s">
        <v>26</v>
      </c>
      <c r="C7" s="2" t="s">
        <v>29</v>
      </c>
      <c r="D7" s="2" t="s">
        <v>19</v>
      </c>
      <c r="E7" s="2" t="s">
        <v>9</v>
      </c>
      <c r="F7" s="2" t="s">
        <v>12</v>
      </c>
      <c r="G7" s="1"/>
      <c r="H7" s="4">
        <v>52064.71</v>
      </c>
      <c r="I7" s="2" t="s">
        <v>16</v>
      </c>
      <c r="J7" s="6" t="s">
        <v>76</v>
      </c>
      <c r="K7" s="6" t="s">
        <v>78</v>
      </c>
      <c r="L7" s="8">
        <v>66.92</v>
      </c>
      <c r="M7" s="8">
        <v>546.35</v>
      </c>
      <c r="N7" t="s">
        <v>57</v>
      </c>
      <c r="O7" t="s">
        <v>78</v>
      </c>
      <c r="P7">
        <v>8.2799999999999994</v>
      </c>
      <c r="Q7">
        <v>21.42</v>
      </c>
      <c r="R7" s="6" t="s">
        <v>79</v>
      </c>
      <c r="S7" s="6" t="s">
        <v>78</v>
      </c>
      <c r="T7" s="8">
        <v>0</v>
      </c>
      <c r="U7" s="8">
        <v>0.8</v>
      </c>
      <c r="V7" s="5">
        <v>0</v>
      </c>
      <c r="W7" s="5">
        <v>0</v>
      </c>
      <c r="X7" s="8">
        <v>11.52</v>
      </c>
      <c r="Y7" s="5">
        <v>3.16</v>
      </c>
      <c r="Z7" s="5">
        <v>4.72</v>
      </c>
      <c r="AA7" s="8">
        <v>0</v>
      </c>
      <c r="AB7" s="5">
        <f>0.0632*H7/12</f>
        <v>274.20747266666666</v>
      </c>
      <c r="AC7" s="5">
        <f>0.05*H7/12</f>
        <v>216.93629166666668</v>
      </c>
      <c r="AD7" s="8">
        <v>0</v>
      </c>
      <c r="AE7" s="8">
        <v>0</v>
      </c>
      <c r="AF7" s="8">
        <v>0</v>
      </c>
      <c r="AG7" s="8">
        <v>0</v>
      </c>
      <c r="AH7" s="5">
        <f>63.27*2</f>
        <v>126.54</v>
      </c>
      <c r="AI7" s="8">
        <v>23.42</v>
      </c>
      <c r="AJ7" s="8">
        <v>34.700000000000003</v>
      </c>
      <c r="AK7" s="8">
        <f t="shared" si="0"/>
        <v>52064.71</v>
      </c>
      <c r="AL7" s="5">
        <v>8.48</v>
      </c>
      <c r="AM7" s="5">
        <f>+H7*2</f>
        <v>104129.42</v>
      </c>
    </row>
    <row r="8" spans="1:39" x14ac:dyDescent="0.3">
      <c r="A8" s="2">
        <v>524395</v>
      </c>
      <c r="B8" s="2" t="s">
        <v>30</v>
      </c>
      <c r="C8" s="2" t="s">
        <v>31</v>
      </c>
      <c r="D8" s="2" t="s">
        <v>18</v>
      </c>
      <c r="E8" s="2" t="s">
        <v>9</v>
      </c>
      <c r="F8" s="2" t="s">
        <v>12</v>
      </c>
      <c r="G8" s="1"/>
      <c r="H8" s="4">
        <v>59757.5</v>
      </c>
      <c r="I8" s="2" t="s">
        <v>15</v>
      </c>
      <c r="J8" s="6" t="s">
        <v>44</v>
      </c>
      <c r="K8" s="6" t="s">
        <v>58</v>
      </c>
      <c r="L8" s="8">
        <v>40</v>
      </c>
      <c r="M8" s="8">
        <v>1076.19</v>
      </c>
      <c r="N8" t="s">
        <v>57</v>
      </c>
      <c r="O8" t="s">
        <v>58</v>
      </c>
      <c r="P8">
        <v>15.52</v>
      </c>
      <c r="Q8">
        <v>38.92</v>
      </c>
      <c r="R8" s="6" t="s">
        <v>59</v>
      </c>
      <c r="S8" s="6" t="s">
        <v>58</v>
      </c>
      <c r="T8" s="8">
        <v>13</v>
      </c>
      <c r="U8" s="8">
        <v>2.8</v>
      </c>
      <c r="V8" s="5">
        <f>62.5*2</f>
        <v>125</v>
      </c>
      <c r="W8" s="5">
        <v>241.5</v>
      </c>
      <c r="X8" s="8">
        <v>0</v>
      </c>
      <c r="Y8" s="5">
        <v>0</v>
      </c>
      <c r="Z8" s="5">
        <v>0</v>
      </c>
      <c r="AA8" s="8">
        <f>+(H8/24)*0.0047*2</f>
        <v>23.405020833333335</v>
      </c>
      <c r="AB8" s="5">
        <f>0.0282*H8/12</f>
        <v>140.430125</v>
      </c>
      <c r="AC8" s="5">
        <f>0.04*H8/12</f>
        <v>199.19166666666669</v>
      </c>
      <c r="AD8" s="8">
        <f>0.01*H8/12</f>
        <v>49.797916666666673</v>
      </c>
      <c r="AE8" s="8">
        <f>+AD8</f>
        <v>49.797916666666673</v>
      </c>
      <c r="AF8" s="8">
        <f>0.025*H8/12</f>
        <v>124.49479166666667</v>
      </c>
      <c r="AG8" s="8">
        <f>0.04*H8/12</f>
        <v>199.19166666666669</v>
      </c>
      <c r="AH8" s="5">
        <f>63.27*2</f>
        <v>126.54</v>
      </c>
      <c r="AI8" s="8">
        <v>26.88</v>
      </c>
      <c r="AJ8" s="8">
        <v>39.83</v>
      </c>
      <c r="AK8" s="8">
        <f t="shared" si="0"/>
        <v>59757.5</v>
      </c>
      <c r="AL8" s="5">
        <v>18</v>
      </c>
      <c r="AM8" s="5">
        <f>+AK8*4</f>
        <v>239030</v>
      </c>
    </row>
    <row r="9" spans="1:39" x14ac:dyDescent="0.3">
      <c r="A9" s="2">
        <v>520810</v>
      </c>
      <c r="B9" s="2" t="s">
        <v>32</v>
      </c>
      <c r="C9" s="2" t="s">
        <v>33</v>
      </c>
      <c r="D9" s="2" t="s">
        <v>8</v>
      </c>
      <c r="E9" s="2" t="s">
        <v>9</v>
      </c>
      <c r="F9" s="2" t="s">
        <v>12</v>
      </c>
      <c r="G9" s="2"/>
      <c r="H9" s="4">
        <v>40825.74</v>
      </c>
      <c r="I9" s="2" t="s">
        <v>15</v>
      </c>
      <c r="J9" s="6" t="s">
        <v>76</v>
      </c>
      <c r="K9" s="6" t="s">
        <v>77</v>
      </c>
      <c r="L9" s="8">
        <v>223.36</v>
      </c>
      <c r="M9" s="8">
        <v>1493.78</v>
      </c>
      <c r="N9" t="s">
        <v>57</v>
      </c>
      <c r="O9" t="s">
        <v>77</v>
      </c>
      <c r="P9">
        <v>25.87</v>
      </c>
      <c r="Q9">
        <v>66.91</v>
      </c>
      <c r="R9" s="6" t="s">
        <v>59</v>
      </c>
      <c r="S9" s="6" t="s">
        <v>77</v>
      </c>
      <c r="T9" s="8">
        <v>23</v>
      </c>
      <c r="U9" s="8">
        <v>2.8</v>
      </c>
      <c r="V9" s="5">
        <v>0</v>
      </c>
      <c r="W9" s="5">
        <v>0</v>
      </c>
      <c r="X9" s="8">
        <v>0</v>
      </c>
      <c r="Y9" s="5">
        <v>0</v>
      </c>
      <c r="Z9" s="5">
        <v>0</v>
      </c>
      <c r="AA9" s="8">
        <f>+(H9/24)*0.0047*2</f>
        <v>15.990081500000001</v>
      </c>
      <c r="AB9" s="5">
        <f>0.0532*H9/12</f>
        <v>180.99411399999997</v>
      </c>
      <c r="AC9" s="5">
        <f>0.04*H9/12</f>
        <v>136.08579999999998</v>
      </c>
      <c r="AD9" s="8">
        <f>0.01*H9/12</f>
        <v>34.021449999999994</v>
      </c>
      <c r="AE9" s="8">
        <f>+AD9</f>
        <v>34.021449999999994</v>
      </c>
      <c r="AF9" s="8">
        <v>0</v>
      </c>
      <c r="AG9" s="8">
        <v>0</v>
      </c>
      <c r="AH9" s="5">
        <f>63.27*2</f>
        <v>126.54</v>
      </c>
      <c r="AI9" s="8">
        <f>+AI8/H8*H9</f>
        <v>18.364153306279544</v>
      </c>
      <c r="AJ9" s="8">
        <f>+AJ8/H8*H9</f>
        <v>27.211466748106929</v>
      </c>
      <c r="AK9" s="8">
        <f t="shared" si="0"/>
        <v>40825.74</v>
      </c>
      <c r="AL9" s="5">
        <v>0</v>
      </c>
      <c r="AM9" s="5">
        <v>0</v>
      </c>
    </row>
    <row r="10" spans="1:39" x14ac:dyDescent="0.3">
      <c r="A10" s="2">
        <v>519623</v>
      </c>
      <c r="B10" s="2" t="s">
        <v>36</v>
      </c>
      <c r="C10" s="2" t="s">
        <v>37</v>
      </c>
      <c r="D10" s="2" t="s">
        <v>24</v>
      </c>
      <c r="E10" s="2" t="s">
        <v>10</v>
      </c>
      <c r="F10" s="2" t="s">
        <v>13</v>
      </c>
      <c r="G10" s="4">
        <v>15.664400000000001</v>
      </c>
      <c r="J10" s="6"/>
      <c r="K10" s="6"/>
      <c r="L10" s="8"/>
      <c r="M10" s="8"/>
      <c r="R10" s="6"/>
      <c r="S10" s="6"/>
      <c r="T10" s="8"/>
      <c r="U10" s="8"/>
      <c r="X10" s="8"/>
      <c r="AA10" s="8"/>
      <c r="AB10" s="5"/>
      <c r="AC10" s="5"/>
      <c r="AD10" s="8"/>
      <c r="AE10" s="8"/>
      <c r="AF10" s="8"/>
      <c r="AG10" s="8"/>
      <c r="AH10" s="5"/>
      <c r="AI10" s="8"/>
      <c r="AJ10" s="8"/>
      <c r="AK10" s="8"/>
      <c r="AL10" s="5"/>
      <c r="AM10" s="5"/>
    </row>
    <row r="11" spans="1:39" x14ac:dyDescent="0.3">
      <c r="A11" s="2">
        <v>510600</v>
      </c>
      <c r="B11" s="2" t="s">
        <v>38</v>
      </c>
      <c r="C11" s="2" t="s">
        <v>39</v>
      </c>
      <c r="D11" s="2" t="s">
        <v>25</v>
      </c>
      <c r="E11" s="2" t="s">
        <v>10</v>
      </c>
      <c r="F11" s="2" t="s">
        <v>11</v>
      </c>
      <c r="G11" s="4">
        <v>17.674399999999999</v>
      </c>
      <c r="J11" s="6"/>
      <c r="K11" s="6"/>
      <c r="L11" s="8"/>
      <c r="M11" s="8"/>
      <c r="R11" s="6"/>
      <c r="S11" s="6"/>
      <c r="T11" s="8"/>
      <c r="U11" s="8"/>
      <c r="X11" s="8"/>
      <c r="AA11" s="8"/>
      <c r="AB11" s="5"/>
      <c r="AC11" s="5"/>
      <c r="AD11" s="8"/>
      <c r="AE11" s="8"/>
      <c r="AF11" s="8"/>
      <c r="AG11" s="8"/>
      <c r="AH11" s="5"/>
      <c r="AI11" s="8"/>
      <c r="AJ11" s="8"/>
      <c r="AK11" s="8"/>
      <c r="AL11" s="5"/>
      <c r="AM11" s="5"/>
    </row>
    <row r="20" spans="9:19" x14ac:dyDescent="0.3">
      <c r="I20" s="18"/>
    </row>
    <row r="21" spans="9:19" x14ac:dyDescent="0.3">
      <c r="I21" s="18"/>
      <c r="J21" s="18"/>
      <c r="K21" s="18"/>
    </row>
    <row r="22" spans="9:19" x14ac:dyDescent="0.3">
      <c r="I22" s="18"/>
    </row>
    <row r="23" spans="9:19" x14ac:dyDescent="0.3">
      <c r="I23" s="18"/>
    </row>
    <row r="24" spans="9:19" x14ac:dyDescent="0.3">
      <c r="I24" s="18"/>
    </row>
    <row r="25" spans="9:19" x14ac:dyDescent="0.3">
      <c r="J25" s="18"/>
      <c r="N25" s="18"/>
      <c r="S25" t="s">
        <v>75</v>
      </c>
    </row>
    <row r="26" spans="9:19" x14ac:dyDescent="0.3">
      <c r="J26" s="18"/>
    </row>
    <row r="27" spans="9:19" x14ac:dyDescent="0.3">
      <c r="J27" s="18"/>
    </row>
  </sheetData>
  <mergeCells count="9">
    <mergeCell ref="AD2:AG2"/>
    <mergeCell ref="AI2:AK2"/>
    <mergeCell ref="AL2:AM2"/>
    <mergeCell ref="J2:M2"/>
    <mergeCell ref="N2:Q2"/>
    <mergeCell ref="R2:U2"/>
    <mergeCell ref="V2:W2"/>
    <mergeCell ref="Y2:Z2"/>
    <mergeCell ref="AB2:A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i="http://www.w3.org/2001/XMLSchema-instance" xmlns:xsd="http://www.w3.org/2001/XMLSchema" xmlns="TagniFiModelState">
  <SerializedJson>[]</SerializedJson>
</CacheModel>
</file>

<file path=customXml/itemProps1.xml><?xml version="1.0" encoding="utf-8"?>
<ds:datastoreItem xmlns:ds="http://schemas.openxmlformats.org/officeDocument/2006/customXml" ds:itemID="{3584980D-8E9E-4620-9D47-452F5B3577CD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Newport News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Lovell, Virginia A.</dc:creator>
  <cp:lastModifiedBy>jordan lee</cp:lastModifiedBy>
  <dcterms:created xsi:type="dcterms:W3CDTF">2022-02-01T22:16:51Z</dcterms:created>
  <dcterms:modified xsi:type="dcterms:W3CDTF">2022-04-14T15:54:40Z</dcterms:modified>
</cp:coreProperties>
</file>