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echou/OneDrive - Northeastern University/NEU_Teaching/IE5400_Healthcare Systems Modeling and Analysis_20S/IE5400_Textbooks/Textbook_Analytics and Decision Support for Healthcare/sols/"/>
    </mc:Choice>
  </mc:AlternateContent>
  <xr:revisionPtr revIDLastSave="0" documentId="11_434776C399A6DED919EC645BCFFE3DBE1A3EC4E9" xr6:coauthVersionLast="45" xr6:coauthVersionMax="45" xr10:uidLastSave="{00000000-0000-0000-0000-000000000000}"/>
  <bookViews>
    <workbookView xWindow="0" yWindow="460" windowWidth="33260" windowHeight="22180" firstSheet="10" activeTab="28" xr2:uid="{00000000-000D-0000-FFFF-FFFF00000000}"/>
  </bookViews>
  <sheets>
    <sheet name="Main" sheetId="20" r:id="rId1"/>
    <sheet name="EX 2.1" sheetId="21" r:id="rId2"/>
    <sheet name="EX 2.2" sheetId="1" r:id="rId3"/>
    <sheet name="EX 2.3" sheetId="22" r:id="rId4"/>
    <sheet name="EX 2.4" sheetId="23" r:id="rId5"/>
    <sheet name="EX 2.5" sheetId="3" r:id="rId6"/>
    <sheet name="EX 2.6" sheetId="2" r:id="rId7"/>
    <sheet name="EX 2.7" sheetId="24" r:id="rId8"/>
    <sheet name="EX 2.8" sheetId="4" r:id="rId9"/>
    <sheet name="EX 2.9" sheetId="5" r:id="rId10"/>
    <sheet name="EX 2.10" sheetId="25" r:id="rId11"/>
    <sheet name="EX 2.11" sheetId="6" r:id="rId12"/>
    <sheet name="EX 2.12" sheetId="26" r:id="rId13"/>
    <sheet name="EX 2.13" sheetId="7" r:id="rId14"/>
    <sheet name="EX 2.14" sheetId="8" r:id="rId15"/>
    <sheet name="EX 2.15" sheetId="27" r:id="rId16"/>
    <sheet name="EX 2.16" sheetId="9" r:id="rId17"/>
    <sheet name="EX 2.17" sheetId="28" r:id="rId18"/>
    <sheet name="EX 2.18" sheetId="10" r:id="rId19"/>
    <sheet name="EX 2.19" sheetId="12" r:id="rId20"/>
    <sheet name="EX 2.20" sheetId="32" r:id="rId21"/>
    <sheet name="EX 2.21" sheetId="31" r:id="rId22"/>
    <sheet name="EX 2.22" sheetId="30" r:id="rId23"/>
    <sheet name="EX 2.23" sheetId="29" r:id="rId24"/>
    <sheet name="EX 2.24" sheetId="13" r:id="rId25"/>
    <sheet name="EX 2.25" sheetId="11" r:id="rId26"/>
    <sheet name="EX 2.26" sheetId="16" r:id="rId27"/>
    <sheet name="EX 2.27" sheetId="17" r:id="rId28"/>
    <sheet name="EX 2.28" sheetId="14" r:id="rId29"/>
    <sheet name="EX 2.29" sheetId="18" r:id="rId30"/>
    <sheet name="EX 2.30" sheetId="19" r:id="rId31"/>
    <sheet name="Sheet1" sheetId="33" r:id="rId32"/>
  </sheets>
  <externalReferences>
    <externalReference r:id="rId33"/>
  </externalReferences>
  <definedNames>
    <definedName name="_AMO_UniqueIdentifier" hidden="1">"'c7736e32-edcd-4ed8-93c2-1563395c642a'"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1" i="18" l="1"/>
  <c r="O12" i="14"/>
  <c r="C10" i="1"/>
  <c r="W12" i="17"/>
  <c r="AD12" i="16"/>
  <c r="I11" i="13"/>
  <c r="J28" i="12"/>
  <c r="J28" i="10"/>
  <c r="K38" i="6"/>
  <c r="K10" i="6"/>
  <c r="E10" i="21"/>
  <c r="E9" i="21"/>
  <c r="E8" i="21"/>
  <c r="D10" i="21"/>
  <c r="D9" i="21"/>
  <c r="D8" i="21"/>
  <c r="D7" i="21"/>
  <c r="C10" i="21"/>
  <c r="C6" i="21"/>
  <c r="C7" i="21"/>
  <c r="C8" i="21"/>
  <c r="C9" i="21"/>
  <c r="C5" i="21"/>
  <c r="C18" i="29" l="1"/>
  <c r="J17" i="29"/>
  <c r="I17" i="29"/>
  <c r="C17" i="29"/>
  <c r="E17" i="29" s="1"/>
  <c r="J16" i="29"/>
  <c r="I16" i="29"/>
  <c r="C16" i="29"/>
  <c r="E16" i="29" s="1"/>
  <c r="J15" i="29"/>
  <c r="I15" i="29"/>
  <c r="C15" i="29"/>
  <c r="E15" i="29" s="1"/>
  <c r="J14" i="29"/>
  <c r="I14" i="29"/>
  <c r="C14" i="29"/>
  <c r="E14" i="29" s="1"/>
  <c r="J13" i="29"/>
  <c r="I13" i="29"/>
  <c r="C13" i="29"/>
  <c r="E13" i="29" s="1"/>
  <c r="J12" i="29"/>
  <c r="I12" i="29"/>
  <c r="C12" i="29"/>
  <c r="E12" i="29" s="1"/>
  <c r="C11" i="29"/>
  <c r="E11" i="29" s="1"/>
  <c r="C10" i="29"/>
  <c r="E10" i="29" s="1"/>
  <c r="E26" i="30"/>
  <c r="B27" i="30" s="1"/>
  <c r="B26" i="30"/>
  <c r="C21" i="30"/>
  <c r="C22" i="30" s="1"/>
  <c r="D20" i="30"/>
  <c r="E12" i="30"/>
  <c r="B13" i="30" s="1"/>
  <c r="B12" i="30"/>
  <c r="C7" i="30"/>
  <c r="C8" i="30" s="1"/>
  <c r="D6" i="30"/>
  <c r="H21" i="31"/>
  <c r="F21" i="31"/>
  <c r="D21" i="31"/>
  <c r="E17" i="31"/>
  <c r="H16" i="31"/>
  <c r="E16" i="31"/>
  <c r="F16" i="31" s="1"/>
  <c r="D16" i="31"/>
  <c r="H15" i="31"/>
  <c r="E15" i="31"/>
  <c r="F15" i="31" s="1"/>
  <c r="D15" i="31"/>
  <c r="H14" i="31"/>
  <c r="E14" i="31"/>
  <c r="F14" i="31" s="1"/>
  <c r="D14" i="31"/>
  <c r="H13" i="31"/>
  <c r="E13" i="31"/>
  <c r="F13" i="31" s="1"/>
  <c r="D13" i="31"/>
  <c r="H12" i="31"/>
  <c r="E12" i="31"/>
  <c r="F12" i="31" s="1"/>
  <c r="D12" i="31"/>
  <c r="H11" i="31"/>
  <c r="H24" i="31" s="1"/>
  <c r="E11" i="31"/>
  <c r="F11" i="31" s="1"/>
  <c r="D11" i="31"/>
  <c r="E10" i="31"/>
  <c r="F10" i="31" s="1"/>
  <c r="D10" i="31"/>
  <c r="F9" i="31"/>
  <c r="E9" i="31"/>
  <c r="D9" i="31"/>
  <c r="D8" i="31"/>
  <c r="D7" i="31"/>
  <c r="D6" i="31"/>
  <c r="F66" i="28"/>
  <c r="E66" i="28"/>
  <c r="D66" i="28"/>
  <c r="C66" i="28"/>
  <c r="B66" i="28"/>
  <c r="G65" i="28"/>
  <c r="G64" i="28"/>
  <c r="G63" i="28"/>
  <c r="G62" i="28"/>
  <c r="G61" i="28"/>
  <c r="G60" i="28"/>
  <c r="G59" i="28"/>
  <c r="G58" i="28"/>
  <c r="G57" i="28"/>
  <c r="I56" i="28"/>
  <c r="G56" i="28"/>
  <c r="I55" i="28"/>
  <c r="G55" i="28"/>
  <c r="I54" i="28"/>
  <c r="G54" i="28"/>
  <c r="G17" i="28"/>
  <c r="G16" i="28"/>
  <c r="G15" i="28"/>
  <c r="G14" i="28"/>
  <c r="G13" i="28"/>
  <c r="G12" i="28"/>
  <c r="G11" i="28"/>
  <c r="G10" i="28"/>
  <c r="G9" i="28"/>
  <c r="G8" i="28"/>
  <c r="G7" i="28"/>
  <c r="G6" i="28"/>
  <c r="C33" i="26"/>
  <c r="C32" i="26"/>
  <c r="C31" i="26"/>
  <c r="C30" i="26"/>
  <c r="E30" i="25"/>
  <c r="E29" i="25"/>
  <c r="E28" i="25"/>
  <c r="E27" i="25"/>
  <c r="E26" i="25"/>
  <c r="E25" i="25"/>
  <c r="G24" i="25"/>
  <c r="E24" i="25"/>
  <c r="F24" i="25" s="1"/>
  <c r="G23" i="25"/>
  <c r="E23" i="25"/>
  <c r="F23" i="25" s="1"/>
  <c r="G22" i="25"/>
  <c r="E22" i="25"/>
  <c r="F22" i="25" s="1"/>
  <c r="G21" i="25"/>
  <c r="E21" i="25"/>
  <c r="F21" i="25" s="1"/>
  <c r="G20" i="25"/>
  <c r="E20" i="25"/>
  <c r="F20" i="25" s="1"/>
  <c r="G19" i="25"/>
  <c r="E19" i="25"/>
  <c r="F19" i="25" s="1"/>
  <c r="G18" i="25"/>
  <c r="E18" i="25"/>
  <c r="F18" i="25" s="1"/>
  <c r="G17" i="25"/>
  <c r="E17" i="25"/>
  <c r="F17" i="25" s="1"/>
  <c r="G16" i="25"/>
  <c r="E16" i="25"/>
  <c r="F16" i="25" s="1"/>
  <c r="G15" i="25"/>
  <c r="E15" i="25"/>
  <c r="F15" i="25" s="1"/>
  <c r="G14" i="25"/>
  <c r="E14" i="25"/>
  <c r="F14" i="25" s="1"/>
  <c r="G13" i="25"/>
  <c r="E13" i="25"/>
  <c r="F13" i="25" s="1"/>
  <c r="G12" i="25"/>
  <c r="E12" i="25"/>
  <c r="F12" i="25" s="1"/>
  <c r="G11" i="25"/>
  <c r="E11" i="25"/>
  <c r="F11" i="25" s="1"/>
  <c r="G10" i="25"/>
  <c r="E10" i="25"/>
  <c r="F10" i="25" s="1"/>
  <c r="G9" i="25"/>
  <c r="E9" i="25"/>
  <c r="F9" i="25" s="1"/>
  <c r="G8" i="25"/>
  <c r="E8" i="25"/>
  <c r="F8" i="25" s="1"/>
  <c r="G7" i="25"/>
  <c r="E7" i="25"/>
  <c r="F7" i="25" s="1"/>
  <c r="G6" i="25"/>
  <c r="E6" i="25"/>
  <c r="F6" i="25" s="1"/>
  <c r="F6" i="24"/>
  <c r="F7" i="24" s="1"/>
  <c r="F8" i="24" s="1"/>
  <c r="F9" i="24" s="1"/>
  <c r="F10" i="24" s="1"/>
  <c r="F11" i="24" s="1"/>
  <c r="E6" i="24"/>
  <c r="E7" i="24" s="1"/>
  <c r="E8" i="24" s="1"/>
  <c r="E9" i="24" s="1"/>
  <c r="E10" i="24" s="1"/>
  <c r="E11" i="24" s="1"/>
  <c r="D6" i="24"/>
  <c r="D7" i="24" s="1"/>
  <c r="D8" i="24" s="1"/>
  <c r="D9" i="24" s="1"/>
  <c r="D10" i="24" s="1"/>
  <c r="D11" i="24" s="1"/>
  <c r="C6" i="24"/>
  <c r="C7" i="24" s="1"/>
  <c r="C8" i="24" s="1"/>
  <c r="C9" i="24" s="1"/>
  <c r="C10" i="24" s="1"/>
  <c r="C11" i="24" s="1"/>
  <c r="D50" i="23"/>
  <c r="C50" i="23"/>
  <c r="D49" i="23"/>
  <c r="C49" i="23"/>
  <c r="D48" i="23"/>
  <c r="C48" i="23"/>
  <c r="D47" i="23"/>
  <c r="C47" i="23"/>
  <c r="D46" i="23"/>
  <c r="C46" i="23"/>
  <c r="D45" i="23"/>
  <c r="C45" i="23"/>
  <c r="D44" i="23"/>
  <c r="C44" i="23"/>
  <c r="D43" i="23"/>
  <c r="C43" i="23"/>
  <c r="C42" i="23"/>
  <c r="D33" i="23"/>
  <c r="C33" i="23"/>
  <c r="D32" i="23"/>
  <c r="C32" i="23"/>
  <c r="D31" i="23"/>
  <c r="C31" i="23"/>
  <c r="D30" i="23"/>
  <c r="C30" i="23"/>
  <c r="D29" i="23"/>
  <c r="C29" i="23"/>
  <c r="D28" i="23"/>
  <c r="C28" i="23"/>
  <c r="D27" i="23"/>
  <c r="C27" i="23"/>
  <c r="D26" i="23"/>
  <c r="C26" i="23"/>
  <c r="D25" i="23"/>
  <c r="C25" i="23"/>
  <c r="D22" i="22"/>
  <c r="C22" i="22"/>
  <c r="D21" i="22"/>
  <c r="C21" i="22"/>
  <c r="D20" i="22"/>
  <c r="C20" i="22"/>
  <c r="D19" i="22"/>
  <c r="C19" i="22"/>
  <c r="D18" i="22"/>
  <c r="C18" i="22"/>
  <c r="D17" i="22"/>
  <c r="C17" i="22"/>
  <c r="D16" i="22"/>
  <c r="C16" i="22"/>
  <c r="C15" i="22"/>
  <c r="C14" i="22"/>
  <c r="D13" i="29" l="1"/>
  <c r="D17" i="29"/>
  <c r="F23" i="31"/>
  <c r="D24" i="31"/>
  <c r="D7" i="30"/>
  <c r="B14" i="30"/>
  <c r="D21" i="30"/>
  <c r="B28" i="30"/>
  <c r="D11" i="29"/>
  <c r="K17" i="29"/>
  <c r="L17" i="29" s="1"/>
  <c r="K15" i="29"/>
  <c r="L15" i="29" s="1"/>
  <c r="D15" i="29"/>
  <c r="D10" i="29"/>
  <c r="D12" i="29"/>
  <c r="K12" i="29"/>
  <c r="L12" i="29" s="1"/>
  <c r="D14" i="29"/>
  <c r="K14" i="29"/>
  <c r="L14" i="29" s="1"/>
  <c r="D16" i="29"/>
  <c r="K16" i="29"/>
  <c r="L16" i="29" s="1"/>
  <c r="K13" i="29"/>
  <c r="L13" i="29" s="1"/>
  <c r="C9" i="30"/>
  <c r="D8" i="30"/>
  <c r="C23" i="30"/>
  <c r="D22" i="30"/>
  <c r="D19" i="31"/>
  <c r="H19" i="31"/>
  <c r="D23" i="31"/>
  <c r="H23" i="31"/>
  <c r="F24" i="31"/>
  <c r="F19" i="31"/>
  <c r="G66" i="28"/>
  <c r="H54" i="28" s="1"/>
  <c r="J54" i="28" s="1"/>
  <c r="F17" i="29" l="1"/>
  <c r="G17" i="29" s="1"/>
  <c r="F15" i="29"/>
  <c r="G15" i="29" s="1"/>
  <c r="F13" i="29"/>
  <c r="G13" i="29" s="1"/>
  <c r="F11" i="29"/>
  <c r="G11" i="29" s="1"/>
  <c r="F16" i="29"/>
  <c r="G16" i="29" s="1"/>
  <c r="F14" i="29"/>
  <c r="G14" i="29" s="1"/>
  <c r="F12" i="29"/>
  <c r="G12" i="29" s="1"/>
  <c r="F10" i="29"/>
  <c r="G10" i="29" s="1"/>
  <c r="C24" i="30"/>
  <c r="D23" i="30"/>
  <c r="C10" i="30"/>
  <c r="D9" i="30"/>
  <c r="F67" i="28"/>
  <c r="F72" i="28" s="1"/>
  <c r="B67" i="28"/>
  <c r="B72" i="28" s="1"/>
  <c r="C67" i="28"/>
  <c r="C72" i="28" s="1"/>
  <c r="H55" i="28"/>
  <c r="J55" i="28" s="1"/>
  <c r="D67" i="28"/>
  <c r="D72" i="28" s="1"/>
  <c r="E67" i="28"/>
  <c r="E72" i="28" s="1"/>
  <c r="H56" i="28"/>
  <c r="J56" i="28" s="1"/>
  <c r="F10" i="9"/>
  <c r="C11" i="30" l="1"/>
  <c r="D10" i="30"/>
  <c r="C25" i="30"/>
  <c r="D24" i="30"/>
  <c r="F74" i="28"/>
  <c r="D74" i="28"/>
  <c r="B74" i="28"/>
  <c r="E74" i="28"/>
  <c r="C74" i="28"/>
  <c r="E73" i="28"/>
  <c r="C73" i="28"/>
  <c r="F73" i="28"/>
  <c r="D73" i="28"/>
  <c r="B73" i="28"/>
  <c r="G6" i="19"/>
  <c r="G5" i="19"/>
  <c r="C180" i="19" l="1"/>
  <c r="D180" i="19" s="1"/>
  <c r="C220" i="19"/>
  <c r="D220" i="19" s="1"/>
  <c r="C212" i="19"/>
  <c r="D212" i="19" s="1"/>
  <c r="C204" i="19"/>
  <c r="D204" i="19" s="1"/>
  <c r="C196" i="19"/>
  <c r="D196" i="19" s="1"/>
  <c r="C188" i="19"/>
  <c r="D188" i="19" s="1"/>
  <c r="H39" i="19"/>
  <c r="H40" i="19"/>
  <c r="C22" i="19"/>
  <c r="C224" i="19"/>
  <c r="D224" i="19" s="1"/>
  <c r="C216" i="19"/>
  <c r="D216" i="19" s="1"/>
  <c r="C208" i="19"/>
  <c r="D208" i="19" s="1"/>
  <c r="C200" i="19"/>
  <c r="D200" i="19" s="1"/>
  <c r="C192" i="19"/>
  <c r="D192" i="19" s="1"/>
  <c r="C184" i="19"/>
  <c r="D184" i="19" s="1"/>
  <c r="H32" i="19"/>
  <c r="H28" i="19"/>
  <c r="C9" i="19"/>
  <c r="D9" i="19" s="1"/>
  <c r="C13" i="19"/>
  <c r="D13" i="19" s="1"/>
  <c r="C17" i="19"/>
  <c r="D17" i="19" s="1"/>
  <c r="C21" i="19"/>
  <c r="D21" i="19" s="1"/>
  <c r="C25" i="19"/>
  <c r="D25" i="19" s="1"/>
  <c r="C29" i="19"/>
  <c r="D29" i="19" s="1"/>
  <c r="C33" i="19"/>
  <c r="D33" i="19" s="1"/>
  <c r="C37" i="19"/>
  <c r="D37" i="19" s="1"/>
  <c r="C41" i="19"/>
  <c r="D41" i="19" s="1"/>
  <c r="C45" i="19"/>
  <c r="D45" i="19" s="1"/>
  <c r="C49" i="19"/>
  <c r="D49" i="19" s="1"/>
  <c r="C53" i="19"/>
  <c r="D53" i="19" s="1"/>
  <c r="C57" i="19"/>
  <c r="D57" i="19" s="1"/>
  <c r="C61" i="19"/>
  <c r="D61" i="19" s="1"/>
  <c r="C65" i="19"/>
  <c r="D65" i="19" s="1"/>
  <c r="C69" i="19"/>
  <c r="D69" i="19" s="1"/>
  <c r="C73" i="19"/>
  <c r="D73" i="19" s="1"/>
  <c r="C77" i="19"/>
  <c r="D77" i="19" s="1"/>
  <c r="C81" i="19"/>
  <c r="D81" i="19" s="1"/>
  <c r="C85" i="19"/>
  <c r="D85" i="19" s="1"/>
  <c r="C89" i="19"/>
  <c r="D89" i="19" s="1"/>
  <c r="C93" i="19"/>
  <c r="D93" i="19" s="1"/>
  <c r="C97" i="19"/>
  <c r="D97" i="19" s="1"/>
  <c r="C101" i="19"/>
  <c r="D101" i="19" s="1"/>
  <c r="C105" i="19"/>
  <c r="D105" i="19" s="1"/>
  <c r="C109" i="19"/>
  <c r="D109" i="19" s="1"/>
  <c r="C113" i="19"/>
  <c r="D113" i="19" s="1"/>
  <c r="H36" i="19"/>
  <c r="H31" i="19"/>
  <c r="C6" i="19"/>
  <c r="D6" i="19" s="1"/>
  <c r="C10" i="19"/>
  <c r="D10" i="19" s="1"/>
  <c r="C14" i="19"/>
  <c r="D14" i="19" s="1"/>
  <c r="C18" i="19"/>
  <c r="D18" i="19" s="1"/>
  <c r="D22" i="19"/>
  <c r="C26" i="19"/>
  <c r="D26" i="19" s="1"/>
  <c r="C30" i="19"/>
  <c r="D30" i="19" s="1"/>
  <c r="C34" i="19"/>
  <c r="D34" i="19" s="1"/>
  <c r="C38" i="19"/>
  <c r="D38" i="19" s="1"/>
  <c r="C42" i="19"/>
  <c r="D42" i="19" s="1"/>
  <c r="C46" i="19"/>
  <c r="D46" i="19" s="1"/>
  <c r="C50" i="19"/>
  <c r="D50" i="19" s="1"/>
  <c r="C54" i="19"/>
  <c r="D54" i="19" s="1"/>
  <c r="C58" i="19"/>
  <c r="D58" i="19" s="1"/>
  <c r="C62" i="19"/>
  <c r="D62" i="19" s="1"/>
  <c r="C66" i="19"/>
  <c r="D66" i="19" s="1"/>
  <c r="C70" i="19"/>
  <c r="D70" i="19" s="1"/>
  <c r="C74" i="19"/>
  <c r="D74" i="19" s="1"/>
  <c r="C78" i="19"/>
  <c r="D78" i="19" s="1"/>
  <c r="C82" i="19"/>
  <c r="D82" i="19" s="1"/>
  <c r="C86" i="19"/>
  <c r="D86" i="19" s="1"/>
  <c r="C90" i="19"/>
  <c r="D90" i="19" s="1"/>
  <c r="C94" i="19"/>
  <c r="D94" i="19" s="1"/>
  <c r="C98" i="19"/>
  <c r="D98" i="19" s="1"/>
  <c r="C102" i="19"/>
  <c r="D102" i="19" s="1"/>
  <c r="C106" i="19"/>
  <c r="D106" i="19" s="1"/>
  <c r="C110" i="19"/>
  <c r="D110" i="19" s="1"/>
  <c r="C114" i="19"/>
  <c r="D114" i="19" s="1"/>
  <c r="H35" i="19"/>
  <c r="C7" i="19"/>
  <c r="D7" i="19" s="1"/>
  <c r="C11" i="19"/>
  <c r="D11" i="19" s="1"/>
  <c r="C15" i="19"/>
  <c r="D15" i="19" s="1"/>
  <c r="C19" i="19"/>
  <c r="D19" i="19" s="1"/>
  <c r="C23" i="19"/>
  <c r="D23" i="19" s="1"/>
  <c r="C27" i="19"/>
  <c r="D27" i="19" s="1"/>
  <c r="C31" i="19"/>
  <c r="D31" i="19" s="1"/>
  <c r="C35" i="19"/>
  <c r="D35" i="19" s="1"/>
  <c r="C39" i="19"/>
  <c r="D39" i="19" s="1"/>
  <c r="C43" i="19"/>
  <c r="D43" i="19" s="1"/>
  <c r="C47" i="19"/>
  <c r="D47" i="19" s="1"/>
  <c r="C51" i="19"/>
  <c r="D51" i="19" s="1"/>
  <c r="C55" i="19"/>
  <c r="D55" i="19" s="1"/>
  <c r="C59" i="19"/>
  <c r="D59" i="19" s="1"/>
  <c r="C63" i="19"/>
  <c r="D63" i="19" s="1"/>
  <c r="C67" i="19"/>
  <c r="D67" i="19" s="1"/>
  <c r="C71" i="19"/>
  <c r="D71" i="19" s="1"/>
  <c r="C75" i="19"/>
  <c r="D75" i="19" s="1"/>
  <c r="C79" i="19"/>
  <c r="D79" i="19" s="1"/>
  <c r="C83" i="19"/>
  <c r="D83" i="19" s="1"/>
  <c r="C87" i="19"/>
  <c r="D87" i="19" s="1"/>
  <c r="C91" i="19"/>
  <c r="D91" i="19" s="1"/>
  <c r="C95" i="19"/>
  <c r="D95" i="19" s="1"/>
  <c r="C99" i="19"/>
  <c r="D99" i="19" s="1"/>
  <c r="C103" i="19"/>
  <c r="D103" i="19" s="1"/>
  <c r="C223" i="19"/>
  <c r="D223" i="19" s="1"/>
  <c r="C219" i="19"/>
  <c r="D219" i="19" s="1"/>
  <c r="C215" i="19"/>
  <c r="D215" i="19" s="1"/>
  <c r="C211" i="19"/>
  <c r="D211" i="19" s="1"/>
  <c r="C207" i="19"/>
  <c r="D207" i="19" s="1"/>
  <c r="C203" i="19"/>
  <c r="D203" i="19" s="1"/>
  <c r="C199" i="19"/>
  <c r="D199" i="19" s="1"/>
  <c r="C195" i="19"/>
  <c r="D195" i="19" s="1"/>
  <c r="C191" i="19"/>
  <c r="D191" i="19" s="1"/>
  <c r="C187" i="19"/>
  <c r="D187" i="19" s="1"/>
  <c r="C183" i="19"/>
  <c r="D183" i="19" s="1"/>
  <c r="C179" i="19"/>
  <c r="D179" i="19" s="1"/>
  <c r="C175" i="19"/>
  <c r="D175" i="19" s="1"/>
  <c r="C171" i="19"/>
  <c r="D171" i="19" s="1"/>
  <c r="C167" i="19"/>
  <c r="D167" i="19" s="1"/>
  <c r="C163" i="19"/>
  <c r="D163" i="19" s="1"/>
  <c r="C159" i="19"/>
  <c r="D159" i="19" s="1"/>
  <c r="C155" i="19"/>
  <c r="D155" i="19" s="1"/>
  <c r="C151" i="19"/>
  <c r="D151" i="19" s="1"/>
  <c r="C147" i="19"/>
  <c r="D147" i="19" s="1"/>
  <c r="C143" i="19"/>
  <c r="D143" i="19" s="1"/>
  <c r="C139" i="19"/>
  <c r="D139" i="19" s="1"/>
  <c r="C135" i="19"/>
  <c r="D135" i="19" s="1"/>
  <c r="C131" i="19"/>
  <c r="D131" i="19" s="1"/>
  <c r="C127" i="19"/>
  <c r="D127" i="19" s="1"/>
  <c r="C123" i="19"/>
  <c r="D123" i="19" s="1"/>
  <c r="C119" i="19"/>
  <c r="D119" i="19" s="1"/>
  <c r="C115" i="19"/>
  <c r="D115" i="19" s="1"/>
  <c r="C107" i="19"/>
  <c r="D107" i="19" s="1"/>
  <c r="C92" i="19"/>
  <c r="D92" i="19" s="1"/>
  <c r="C76" i="19"/>
  <c r="D76" i="19" s="1"/>
  <c r="C60" i="19"/>
  <c r="D60" i="19" s="1"/>
  <c r="C44" i="19"/>
  <c r="D44" i="19" s="1"/>
  <c r="C28" i="19"/>
  <c r="D28" i="19" s="1"/>
  <c r="C12" i="19"/>
  <c r="D12" i="19" s="1"/>
  <c r="C176" i="19"/>
  <c r="D176" i="19" s="1"/>
  <c r="C168" i="19"/>
  <c r="D168" i="19" s="1"/>
  <c r="C136" i="19"/>
  <c r="D136" i="19" s="1"/>
  <c r="C222" i="19"/>
  <c r="D222" i="19" s="1"/>
  <c r="C218" i="19"/>
  <c r="D218" i="19" s="1"/>
  <c r="C214" i="19"/>
  <c r="D214" i="19" s="1"/>
  <c r="C210" i="19"/>
  <c r="D210" i="19" s="1"/>
  <c r="C206" i="19"/>
  <c r="D206" i="19" s="1"/>
  <c r="C202" i="19"/>
  <c r="D202" i="19" s="1"/>
  <c r="C198" i="19"/>
  <c r="D198" i="19" s="1"/>
  <c r="C194" i="19"/>
  <c r="D194" i="19" s="1"/>
  <c r="C190" i="19"/>
  <c r="D190" i="19" s="1"/>
  <c r="C186" i="19"/>
  <c r="D186" i="19" s="1"/>
  <c r="C182" i="19"/>
  <c r="D182" i="19" s="1"/>
  <c r="C178" i="19"/>
  <c r="D178" i="19" s="1"/>
  <c r="C174" i="19"/>
  <c r="D174" i="19" s="1"/>
  <c r="C170" i="19"/>
  <c r="D170" i="19" s="1"/>
  <c r="C166" i="19"/>
  <c r="D166" i="19" s="1"/>
  <c r="C162" i="19"/>
  <c r="D162" i="19" s="1"/>
  <c r="C158" i="19"/>
  <c r="D158" i="19" s="1"/>
  <c r="C154" i="19"/>
  <c r="D154" i="19" s="1"/>
  <c r="C150" i="19"/>
  <c r="D150" i="19" s="1"/>
  <c r="C146" i="19"/>
  <c r="D146" i="19" s="1"/>
  <c r="C142" i="19"/>
  <c r="D142" i="19" s="1"/>
  <c r="C138" i="19"/>
  <c r="D138" i="19" s="1"/>
  <c r="C134" i="19"/>
  <c r="D134" i="19" s="1"/>
  <c r="C130" i="19"/>
  <c r="D130" i="19" s="1"/>
  <c r="C126" i="19"/>
  <c r="D126" i="19" s="1"/>
  <c r="C122" i="19"/>
  <c r="D122" i="19" s="1"/>
  <c r="C118" i="19"/>
  <c r="D118" i="19" s="1"/>
  <c r="C112" i="19"/>
  <c r="D112" i="19" s="1"/>
  <c r="C104" i="19"/>
  <c r="D104" i="19" s="1"/>
  <c r="C88" i="19"/>
  <c r="D88" i="19" s="1"/>
  <c r="C72" i="19"/>
  <c r="D72" i="19" s="1"/>
  <c r="C56" i="19"/>
  <c r="D56" i="19" s="1"/>
  <c r="C40" i="19"/>
  <c r="D40" i="19" s="1"/>
  <c r="C24" i="19"/>
  <c r="D24" i="19" s="1"/>
  <c r="C8" i="19"/>
  <c r="D8" i="19" s="1"/>
  <c r="H27" i="19"/>
  <c r="C172" i="19"/>
  <c r="D172" i="19" s="1"/>
  <c r="C164" i="19"/>
  <c r="D164" i="19" s="1"/>
  <c r="C160" i="19"/>
  <c r="D160" i="19" s="1"/>
  <c r="C156" i="19"/>
  <c r="D156" i="19" s="1"/>
  <c r="C152" i="19"/>
  <c r="D152" i="19" s="1"/>
  <c r="C148" i="19"/>
  <c r="D148" i="19" s="1"/>
  <c r="C144" i="19"/>
  <c r="D144" i="19" s="1"/>
  <c r="C140" i="19"/>
  <c r="D140" i="19" s="1"/>
  <c r="C132" i="19"/>
  <c r="D132" i="19" s="1"/>
  <c r="C128" i="19"/>
  <c r="D128" i="19" s="1"/>
  <c r="C124" i="19"/>
  <c r="D124" i="19" s="1"/>
  <c r="C120" i="19"/>
  <c r="D120" i="19" s="1"/>
  <c r="C116" i="19"/>
  <c r="D116" i="19" s="1"/>
  <c r="C108" i="19"/>
  <c r="D108" i="19" s="1"/>
  <c r="C96" i="19"/>
  <c r="D96" i="19" s="1"/>
  <c r="C80" i="19"/>
  <c r="D80" i="19" s="1"/>
  <c r="C64" i="19"/>
  <c r="D64" i="19" s="1"/>
  <c r="C48" i="19"/>
  <c r="D48" i="19" s="1"/>
  <c r="C32" i="19"/>
  <c r="D32" i="19" s="1"/>
  <c r="C16" i="19"/>
  <c r="D16" i="19" s="1"/>
  <c r="C5" i="19"/>
  <c r="D5" i="19" s="1"/>
  <c r="C221" i="19"/>
  <c r="D221" i="19" s="1"/>
  <c r="C217" i="19"/>
  <c r="D217" i="19" s="1"/>
  <c r="C213" i="19"/>
  <c r="D213" i="19" s="1"/>
  <c r="C209" i="19"/>
  <c r="D209" i="19" s="1"/>
  <c r="C205" i="19"/>
  <c r="D205" i="19" s="1"/>
  <c r="C201" i="19"/>
  <c r="D201" i="19" s="1"/>
  <c r="C197" i="19"/>
  <c r="D197" i="19" s="1"/>
  <c r="C193" i="19"/>
  <c r="D193" i="19" s="1"/>
  <c r="C189" i="19"/>
  <c r="D189" i="19" s="1"/>
  <c r="C185" i="19"/>
  <c r="D185" i="19" s="1"/>
  <c r="C181" i="19"/>
  <c r="D181" i="19" s="1"/>
  <c r="C177" i="19"/>
  <c r="D177" i="19" s="1"/>
  <c r="C173" i="19"/>
  <c r="D173" i="19" s="1"/>
  <c r="C169" i="19"/>
  <c r="D169" i="19" s="1"/>
  <c r="C165" i="19"/>
  <c r="D165" i="19" s="1"/>
  <c r="C161" i="19"/>
  <c r="D161" i="19" s="1"/>
  <c r="C157" i="19"/>
  <c r="D157" i="19" s="1"/>
  <c r="C153" i="19"/>
  <c r="D153" i="19" s="1"/>
  <c r="C149" i="19"/>
  <c r="D149" i="19" s="1"/>
  <c r="C145" i="19"/>
  <c r="D145" i="19" s="1"/>
  <c r="C141" i="19"/>
  <c r="D141" i="19" s="1"/>
  <c r="C137" i="19"/>
  <c r="D137" i="19" s="1"/>
  <c r="C133" i="19"/>
  <c r="D133" i="19" s="1"/>
  <c r="C129" i="19"/>
  <c r="D129" i="19" s="1"/>
  <c r="C125" i="19"/>
  <c r="D125" i="19" s="1"/>
  <c r="C121" i="19"/>
  <c r="D121" i="19" s="1"/>
  <c r="C117" i="19"/>
  <c r="D117" i="19" s="1"/>
  <c r="C111" i="19"/>
  <c r="D111" i="19" s="1"/>
  <c r="C100" i="19"/>
  <c r="D100" i="19" s="1"/>
  <c r="C84" i="19"/>
  <c r="D84" i="19" s="1"/>
  <c r="C68" i="19"/>
  <c r="D68" i="19" s="1"/>
  <c r="C52" i="19"/>
  <c r="D52" i="19" s="1"/>
  <c r="C36" i="19"/>
  <c r="D36" i="19" s="1"/>
  <c r="C20" i="19"/>
  <c r="D20" i="19" s="1"/>
  <c r="H37" i="19" l="1"/>
  <c r="H29" i="19"/>
  <c r="H33" i="19"/>
  <c r="B20" i="18"/>
  <c r="B25" i="18"/>
  <c r="B24" i="18"/>
  <c r="C17" i="18" s="1"/>
  <c r="B23" i="18"/>
  <c r="C12" i="18" l="1"/>
  <c r="D12" i="18" s="1"/>
  <c r="E12" i="18" s="1"/>
  <c r="C8" i="18"/>
  <c r="D8" i="18" s="1"/>
  <c r="E8" i="18" s="1"/>
  <c r="C14" i="18"/>
  <c r="C18" i="18"/>
  <c r="C11" i="18"/>
  <c r="D11" i="18" s="1"/>
  <c r="E11" i="18" s="1"/>
  <c r="C7" i="18"/>
  <c r="D7" i="18" s="1"/>
  <c r="E7" i="18" s="1"/>
  <c r="C15" i="18"/>
  <c r="C4" i="18"/>
  <c r="D4" i="18" s="1"/>
  <c r="E4" i="18" s="1"/>
  <c r="C10" i="18"/>
  <c r="D10" i="18" s="1"/>
  <c r="E10" i="18" s="1"/>
  <c r="C6" i="18"/>
  <c r="D6" i="18" s="1"/>
  <c r="E6" i="18" s="1"/>
  <c r="C16" i="18"/>
  <c r="C13" i="18"/>
  <c r="D13" i="18" s="1"/>
  <c r="E13" i="18" s="1"/>
  <c r="C9" i="18"/>
  <c r="D9" i="18" s="1"/>
  <c r="E9" i="18" s="1"/>
  <c r="C5" i="18"/>
  <c r="D5" i="18" s="1"/>
  <c r="E5" i="18" s="1"/>
  <c r="B79" i="14"/>
  <c r="C79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C42" i="14"/>
  <c r="C41" i="14"/>
  <c r="C40" i="14"/>
  <c r="I7" i="14"/>
  <c r="C25" i="14" s="1"/>
  <c r="I8" i="14"/>
  <c r="C26" i="14" s="1"/>
  <c r="I9" i="14"/>
  <c r="C27" i="14" s="1"/>
  <c r="I10" i="14"/>
  <c r="C28" i="14" s="1"/>
  <c r="I11" i="14"/>
  <c r="C29" i="14" s="1"/>
  <c r="I12" i="14"/>
  <c r="C30" i="14" s="1"/>
  <c r="I13" i="14"/>
  <c r="C31" i="14" s="1"/>
  <c r="I14" i="14"/>
  <c r="C32" i="14" s="1"/>
  <c r="I15" i="14"/>
  <c r="C33" i="14" s="1"/>
  <c r="I16" i="14"/>
  <c r="C34" i="14" s="1"/>
  <c r="I17" i="14"/>
  <c r="C35" i="14" s="1"/>
  <c r="I6" i="14"/>
  <c r="C24" i="14" s="1"/>
  <c r="H79" i="14"/>
  <c r="G79" i="14"/>
  <c r="F79" i="14"/>
  <c r="E79" i="14"/>
  <c r="D79" i="14"/>
  <c r="B62" i="17"/>
  <c r="B61" i="17"/>
  <c r="C58" i="17"/>
  <c r="I14" i="11"/>
  <c r="B14" i="11"/>
  <c r="D59" i="16"/>
  <c r="B63" i="16"/>
  <c r="B62" i="16"/>
  <c r="G6" i="16"/>
  <c r="H6" i="16" s="1"/>
  <c r="E11" i="16"/>
  <c r="F11" i="16" s="1"/>
  <c r="E12" i="16"/>
  <c r="F12" i="16" s="1"/>
  <c r="E13" i="16"/>
  <c r="F13" i="16" s="1"/>
  <c r="E14" i="16"/>
  <c r="F14" i="16" s="1"/>
  <c r="E15" i="16"/>
  <c r="F15" i="16" s="1"/>
  <c r="E16" i="16"/>
  <c r="F16" i="16" s="1"/>
  <c r="E17" i="16"/>
  <c r="F17" i="16" s="1"/>
  <c r="E18" i="16"/>
  <c r="F18" i="16" s="1"/>
  <c r="E19" i="16"/>
  <c r="F19" i="16" s="1"/>
  <c r="E20" i="16"/>
  <c r="F20" i="16" s="1"/>
  <c r="E21" i="16"/>
  <c r="F21" i="16" s="1"/>
  <c r="E22" i="16"/>
  <c r="F22" i="16" s="1"/>
  <c r="E23" i="16"/>
  <c r="F23" i="16" s="1"/>
  <c r="E24" i="16"/>
  <c r="F24" i="16" s="1"/>
  <c r="E25" i="16"/>
  <c r="F25" i="16" s="1"/>
  <c r="E26" i="16"/>
  <c r="F26" i="16" s="1"/>
  <c r="E27" i="16"/>
  <c r="F27" i="16" s="1"/>
  <c r="E28" i="16"/>
  <c r="F28" i="16" s="1"/>
  <c r="E29" i="16"/>
  <c r="F29" i="16" s="1"/>
  <c r="E30" i="16"/>
  <c r="F30" i="16" s="1"/>
  <c r="E31" i="16"/>
  <c r="F31" i="16" s="1"/>
  <c r="E32" i="16"/>
  <c r="F32" i="16" s="1"/>
  <c r="E33" i="16"/>
  <c r="F33" i="16" s="1"/>
  <c r="E34" i="16"/>
  <c r="F34" i="16" s="1"/>
  <c r="E35" i="16"/>
  <c r="F35" i="16" s="1"/>
  <c r="E36" i="16"/>
  <c r="F36" i="16" s="1"/>
  <c r="E37" i="16"/>
  <c r="F37" i="16" s="1"/>
  <c r="E38" i="16"/>
  <c r="F38" i="16" s="1"/>
  <c r="E39" i="16"/>
  <c r="F39" i="16" s="1"/>
  <c r="E40" i="16"/>
  <c r="F40" i="16" s="1"/>
  <c r="E41" i="16"/>
  <c r="F41" i="16" s="1"/>
  <c r="E42" i="16"/>
  <c r="F42" i="16" s="1"/>
  <c r="E43" i="16"/>
  <c r="F43" i="16" s="1"/>
  <c r="E44" i="16"/>
  <c r="F44" i="16" s="1"/>
  <c r="E45" i="16"/>
  <c r="F45" i="16" s="1"/>
  <c r="E46" i="16"/>
  <c r="F46" i="16" s="1"/>
  <c r="E47" i="16"/>
  <c r="F47" i="16" s="1"/>
  <c r="E48" i="16"/>
  <c r="F48" i="16" s="1"/>
  <c r="E49" i="16"/>
  <c r="F49" i="16" s="1"/>
  <c r="E50" i="16"/>
  <c r="F50" i="16" s="1"/>
  <c r="E51" i="16"/>
  <c r="F51" i="16" s="1"/>
  <c r="E52" i="16"/>
  <c r="F52" i="16" s="1"/>
  <c r="E53" i="16"/>
  <c r="F53" i="16" s="1"/>
  <c r="E54" i="16"/>
  <c r="F54" i="16" s="1"/>
  <c r="E55" i="16"/>
  <c r="F55" i="16" s="1"/>
  <c r="E56" i="16"/>
  <c r="F56" i="16" s="1"/>
  <c r="E57" i="16"/>
  <c r="M6" i="16" s="1"/>
  <c r="E10" i="16"/>
  <c r="F10" i="16" s="1"/>
  <c r="C32" i="13"/>
  <c r="D32" i="13" s="1"/>
  <c r="E32" i="13" s="1"/>
  <c r="C33" i="13"/>
  <c r="D33" i="13" s="1"/>
  <c r="E33" i="13" s="1"/>
  <c r="C34" i="13"/>
  <c r="D34" i="13" s="1"/>
  <c r="E34" i="13" s="1"/>
  <c r="C35" i="13"/>
  <c r="D35" i="13" s="1"/>
  <c r="E35" i="13" s="1"/>
  <c r="C36" i="13"/>
  <c r="D36" i="13" s="1"/>
  <c r="E36" i="13" s="1"/>
  <c r="C37" i="13"/>
  <c r="D37" i="13" s="1"/>
  <c r="E37" i="13" s="1"/>
  <c r="C38" i="13"/>
  <c r="D38" i="13" s="1"/>
  <c r="E38" i="13" s="1"/>
  <c r="C39" i="13"/>
  <c r="D39" i="13" s="1"/>
  <c r="E39" i="13" s="1"/>
  <c r="C40" i="13"/>
  <c r="D40" i="13" s="1"/>
  <c r="E40" i="13" s="1"/>
  <c r="C41" i="13"/>
  <c r="D41" i="13" s="1"/>
  <c r="E41" i="13" s="1"/>
  <c r="C42" i="13"/>
  <c r="D42" i="13" s="1"/>
  <c r="E42" i="13" s="1"/>
  <c r="C43" i="13"/>
  <c r="D43" i="13" s="1"/>
  <c r="E43" i="13" s="1"/>
  <c r="C44" i="13"/>
  <c r="D44" i="13" s="1"/>
  <c r="E44" i="13" s="1"/>
  <c r="C31" i="13"/>
  <c r="D31" i="13" s="1"/>
  <c r="E31" i="13" s="1"/>
  <c r="B20" i="13"/>
  <c r="D5" i="13"/>
  <c r="E5" i="13" s="1"/>
  <c r="D6" i="13"/>
  <c r="E6" i="13" s="1"/>
  <c r="D7" i="13"/>
  <c r="E7" i="13" s="1"/>
  <c r="D8" i="13"/>
  <c r="E8" i="13" s="1"/>
  <c r="D9" i="13"/>
  <c r="E9" i="13" s="1"/>
  <c r="D10" i="13"/>
  <c r="E10" i="13" s="1"/>
  <c r="D11" i="13"/>
  <c r="E11" i="13" s="1"/>
  <c r="D12" i="13"/>
  <c r="E12" i="13" s="1"/>
  <c r="D13" i="13"/>
  <c r="E13" i="13" s="1"/>
  <c r="D14" i="13"/>
  <c r="E14" i="13" s="1"/>
  <c r="D15" i="13"/>
  <c r="E15" i="13" s="1"/>
  <c r="D16" i="13"/>
  <c r="E16" i="13" s="1"/>
  <c r="D17" i="13"/>
  <c r="E17" i="13" s="1"/>
  <c r="D18" i="13"/>
  <c r="E18" i="13" s="1"/>
  <c r="D4" i="13"/>
  <c r="E4" i="13" s="1"/>
  <c r="C41" i="12"/>
  <c r="C40" i="12"/>
  <c r="C39" i="12"/>
  <c r="F78" i="12"/>
  <c r="E78" i="12"/>
  <c r="D78" i="12"/>
  <c r="C78" i="12"/>
  <c r="B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17" i="12"/>
  <c r="C35" i="12" s="1"/>
  <c r="G16" i="12"/>
  <c r="C34" i="12" s="1"/>
  <c r="G15" i="12"/>
  <c r="C33" i="12" s="1"/>
  <c r="G14" i="12"/>
  <c r="C32" i="12" s="1"/>
  <c r="G13" i="12"/>
  <c r="C31" i="12" s="1"/>
  <c r="G12" i="12"/>
  <c r="C30" i="12" s="1"/>
  <c r="G11" i="12"/>
  <c r="C29" i="12" s="1"/>
  <c r="G10" i="12"/>
  <c r="C28" i="12" s="1"/>
  <c r="G9" i="12"/>
  <c r="C27" i="12" s="1"/>
  <c r="G8" i="12"/>
  <c r="C26" i="12" s="1"/>
  <c r="G7" i="12"/>
  <c r="C25" i="12" s="1"/>
  <c r="G6" i="12"/>
  <c r="C24" i="12" s="1"/>
  <c r="C41" i="10"/>
  <c r="D28" i="10" s="1"/>
  <c r="C40" i="10"/>
  <c r="C39" i="10"/>
  <c r="I9" i="16" l="1"/>
  <c r="J9" i="16" s="1"/>
  <c r="D27" i="12"/>
  <c r="C80" i="14"/>
  <c r="D37" i="10"/>
  <c r="I68" i="10" s="1"/>
  <c r="D32" i="10"/>
  <c r="D38" i="12"/>
  <c r="I68" i="12" s="1"/>
  <c r="L26" i="18"/>
  <c r="F32" i="13"/>
  <c r="G32" i="13" s="1"/>
  <c r="F36" i="13"/>
  <c r="G36" i="13" s="1"/>
  <c r="F40" i="13"/>
  <c r="G40" i="13" s="1"/>
  <c r="F44" i="13"/>
  <c r="G44" i="13" s="1"/>
  <c r="F37" i="13"/>
  <c r="G37" i="13" s="1"/>
  <c r="F41" i="13"/>
  <c r="G41" i="13" s="1"/>
  <c r="F34" i="13"/>
  <c r="G34" i="13" s="1"/>
  <c r="F39" i="13"/>
  <c r="G39" i="13" s="1"/>
  <c r="F33" i="13"/>
  <c r="G33" i="13" s="1"/>
  <c r="F31" i="13"/>
  <c r="G31" i="13" s="1"/>
  <c r="F42" i="13"/>
  <c r="G42" i="13" s="1"/>
  <c r="F35" i="13"/>
  <c r="G35" i="13" s="1"/>
  <c r="F38" i="13"/>
  <c r="G38" i="13" s="1"/>
  <c r="F43" i="13"/>
  <c r="G43" i="13" s="1"/>
  <c r="F7" i="13"/>
  <c r="G7" i="13" s="1"/>
  <c r="F11" i="13"/>
  <c r="G11" i="13" s="1"/>
  <c r="F15" i="13"/>
  <c r="G15" i="13" s="1"/>
  <c r="F4" i="13"/>
  <c r="G4" i="13" s="1"/>
  <c r="F12" i="13"/>
  <c r="G12" i="13" s="1"/>
  <c r="F16" i="13"/>
  <c r="G16" i="13" s="1"/>
  <c r="F9" i="13"/>
  <c r="G9" i="13" s="1"/>
  <c r="F17" i="13"/>
  <c r="G17" i="13" s="1"/>
  <c r="F6" i="13"/>
  <c r="G6" i="13" s="1"/>
  <c r="F18" i="13"/>
  <c r="G18" i="13" s="1"/>
  <c r="F8" i="13"/>
  <c r="G8" i="13" s="1"/>
  <c r="E20" i="13"/>
  <c r="F5" i="13"/>
  <c r="G5" i="13" s="1"/>
  <c r="F13" i="13"/>
  <c r="G13" i="13" s="1"/>
  <c r="F10" i="13"/>
  <c r="G10" i="13" s="1"/>
  <c r="F14" i="13"/>
  <c r="G14" i="13" s="1"/>
  <c r="F7" i="18"/>
  <c r="G7" i="18" s="1"/>
  <c r="F11" i="18"/>
  <c r="G11" i="18" s="1"/>
  <c r="F8" i="18"/>
  <c r="G8" i="18" s="1"/>
  <c r="F12" i="18"/>
  <c r="G12" i="18" s="1"/>
  <c r="F5" i="18"/>
  <c r="G5" i="18" s="1"/>
  <c r="F9" i="18"/>
  <c r="G9" i="18" s="1"/>
  <c r="F13" i="18"/>
  <c r="G13" i="18" s="1"/>
  <c r="E20" i="18"/>
  <c r="F6" i="18"/>
  <c r="G6" i="18" s="1"/>
  <c r="F10" i="18"/>
  <c r="G10" i="18" s="1"/>
  <c r="F4" i="18"/>
  <c r="G4" i="18" s="1"/>
  <c r="I38" i="16"/>
  <c r="J38" i="16" s="1"/>
  <c r="I14" i="16"/>
  <c r="J14" i="16" s="1"/>
  <c r="I37" i="16"/>
  <c r="J37" i="16" s="1"/>
  <c r="I56" i="16"/>
  <c r="J56" i="16" s="1"/>
  <c r="I32" i="16"/>
  <c r="J32" i="16" s="1"/>
  <c r="I50" i="16"/>
  <c r="J50" i="16" s="1"/>
  <c r="I26" i="16"/>
  <c r="J26" i="16" s="1"/>
  <c r="I49" i="16"/>
  <c r="J49" i="16" s="1"/>
  <c r="I25" i="16"/>
  <c r="J25" i="16" s="1"/>
  <c r="I13" i="16"/>
  <c r="J13" i="16" s="1"/>
  <c r="I44" i="16"/>
  <c r="J44" i="16" s="1"/>
  <c r="I20" i="16"/>
  <c r="J20" i="16" s="1"/>
  <c r="I8" i="16"/>
  <c r="J8" i="16" s="1"/>
  <c r="G7" i="16"/>
  <c r="H7" i="16" s="1"/>
  <c r="I55" i="16"/>
  <c r="J55" i="16" s="1"/>
  <c r="I43" i="16"/>
  <c r="J43" i="16" s="1"/>
  <c r="I31" i="16"/>
  <c r="J31" i="16" s="1"/>
  <c r="I19" i="16"/>
  <c r="J19" i="16" s="1"/>
  <c r="I7" i="16"/>
  <c r="J7" i="16" s="1"/>
  <c r="B80" i="14"/>
  <c r="D25" i="14"/>
  <c r="E25" i="14" s="1"/>
  <c r="D38" i="14"/>
  <c r="K69" i="14" s="1"/>
  <c r="D29" i="14"/>
  <c r="E29" i="14" s="1"/>
  <c r="D37" i="14"/>
  <c r="K68" i="14" s="1"/>
  <c r="D31" i="14"/>
  <c r="E31" i="14" s="1"/>
  <c r="I79" i="14"/>
  <c r="D80" i="14" s="1"/>
  <c r="D35" i="14"/>
  <c r="E35" i="14" s="1"/>
  <c r="D27" i="14"/>
  <c r="E27" i="14" s="1"/>
  <c r="D33" i="14"/>
  <c r="E33" i="14" s="1"/>
  <c r="D24" i="14"/>
  <c r="E24" i="14" s="1"/>
  <c r="D26" i="14"/>
  <c r="E26" i="14" s="1"/>
  <c r="D28" i="14"/>
  <c r="E28" i="14" s="1"/>
  <c r="D36" i="14"/>
  <c r="K67" i="14" s="1"/>
  <c r="D30" i="14"/>
  <c r="E30" i="14" s="1"/>
  <c r="D32" i="14"/>
  <c r="E32" i="14" s="1"/>
  <c r="D34" i="14"/>
  <c r="E34" i="14" s="1"/>
  <c r="D6" i="17"/>
  <c r="F6" i="17" s="1"/>
  <c r="D56" i="17"/>
  <c r="K9" i="17" s="1"/>
  <c r="D55" i="17"/>
  <c r="K8" i="17" s="1"/>
  <c r="D44" i="17"/>
  <c r="D54" i="17"/>
  <c r="K7" i="17" s="1"/>
  <c r="D53" i="17"/>
  <c r="K6" i="17" s="1"/>
  <c r="D26" i="17"/>
  <c r="D40" i="17"/>
  <c r="D22" i="17"/>
  <c r="D52" i="17"/>
  <c r="D34" i="17"/>
  <c r="D16" i="17"/>
  <c r="D23" i="17"/>
  <c r="D51" i="17"/>
  <c r="D33" i="17"/>
  <c r="D15" i="17"/>
  <c r="D41" i="17"/>
  <c r="D50" i="17"/>
  <c r="D32" i="17"/>
  <c r="D14" i="17"/>
  <c r="D47" i="17"/>
  <c r="D39" i="17"/>
  <c r="D29" i="17"/>
  <c r="D21" i="17"/>
  <c r="D11" i="17"/>
  <c r="D46" i="17"/>
  <c r="D38" i="17"/>
  <c r="D28" i="17"/>
  <c r="D20" i="17"/>
  <c r="D10" i="17"/>
  <c r="D5" i="17"/>
  <c r="D45" i="17"/>
  <c r="D35" i="17"/>
  <c r="D27" i="17"/>
  <c r="D17" i="17"/>
  <c r="D9" i="17"/>
  <c r="D8" i="17"/>
  <c r="D49" i="17"/>
  <c r="D43" i="17"/>
  <c r="D37" i="17"/>
  <c r="D31" i="17"/>
  <c r="D25" i="17"/>
  <c r="D19" i="17"/>
  <c r="D13" i="17"/>
  <c r="D7" i="17"/>
  <c r="D48" i="17"/>
  <c r="D42" i="17"/>
  <c r="D36" i="17"/>
  <c r="D30" i="17"/>
  <c r="D24" i="17"/>
  <c r="D18" i="17"/>
  <c r="D12" i="17"/>
  <c r="I48" i="16"/>
  <c r="J48" i="16" s="1"/>
  <c r="I30" i="16"/>
  <c r="J30" i="16" s="1"/>
  <c r="I6" i="16"/>
  <c r="J6" i="16" s="1"/>
  <c r="I53" i="16"/>
  <c r="J53" i="16" s="1"/>
  <c r="I47" i="16"/>
  <c r="J47" i="16" s="1"/>
  <c r="I41" i="16"/>
  <c r="J41" i="16" s="1"/>
  <c r="I35" i="16"/>
  <c r="J35" i="16" s="1"/>
  <c r="I29" i="16"/>
  <c r="J29" i="16" s="1"/>
  <c r="I23" i="16"/>
  <c r="J23" i="16" s="1"/>
  <c r="I17" i="16"/>
  <c r="J17" i="16" s="1"/>
  <c r="I11" i="16"/>
  <c r="J11" i="16" s="1"/>
  <c r="I54" i="16"/>
  <c r="J54" i="16" s="1"/>
  <c r="I36" i="16"/>
  <c r="J36" i="16" s="1"/>
  <c r="I18" i="16"/>
  <c r="J18" i="16" s="1"/>
  <c r="I5" i="16"/>
  <c r="J5" i="16" s="1"/>
  <c r="I52" i="16"/>
  <c r="J52" i="16" s="1"/>
  <c r="I46" i="16"/>
  <c r="J46" i="16" s="1"/>
  <c r="I40" i="16"/>
  <c r="J40" i="16" s="1"/>
  <c r="I34" i="16"/>
  <c r="J34" i="16" s="1"/>
  <c r="I28" i="16"/>
  <c r="J28" i="16" s="1"/>
  <c r="I22" i="16"/>
  <c r="J22" i="16" s="1"/>
  <c r="I16" i="16"/>
  <c r="J16" i="16" s="1"/>
  <c r="I10" i="16"/>
  <c r="J10" i="16" s="1"/>
  <c r="I42" i="16"/>
  <c r="J42" i="16" s="1"/>
  <c r="I24" i="16"/>
  <c r="J24" i="16" s="1"/>
  <c r="I12" i="16"/>
  <c r="J12" i="16" s="1"/>
  <c r="F59" i="16"/>
  <c r="I57" i="16"/>
  <c r="M10" i="16" s="1"/>
  <c r="I51" i="16"/>
  <c r="J51" i="16" s="1"/>
  <c r="I45" i="16"/>
  <c r="J45" i="16" s="1"/>
  <c r="I39" i="16"/>
  <c r="J39" i="16" s="1"/>
  <c r="I33" i="16"/>
  <c r="J33" i="16" s="1"/>
  <c r="I27" i="16"/>
  <c r="J27" i="16" s="1"/>
  <c r="I21" i="16"/>
  <c r="J21" i="16" s="1"/>
  <c r="I15" i="16"/>
  <c r="J15" i="16" s="1"/>
  <c r="G78" i="12"/>
  <c r="H66" i="12" s="1"/>
  <c r="C79" i="12"/>
  <c r="E27" i="12"/>
  <c r="D25" i="12"/>
  <c r="E25" i="12" s="1"/>
  <c r="D37" i="12"/>
  <c r="I67" i="12" s="1"/>
  <c r="F79" i="12"/>
  <c r="D29" i="12"/>
  <c r="E29" i="12" s="1"/>
  <c r="D31" i="12"/>
  <c r="E31" i="12" s="1"/>
  <c r="D33" i="12"/>
  <c r="E33" i="12" s="1"/>
  <c r="D35" i="12"/>
  <c r="E35" i="12" s="1"/>
  <c r="D24" i="12"/>
  <c r="E24" i="12" s="1"/>
  <c r="D26" i="12"/>
  <c r="E26" i="12" s="1"/>
  <c r="D28" i="12"/>
  <c r="E28" i="12" s="1"/>
  <c r="D36" i="12"/>
  <c r="I66" i="12" s="1"/>
  <c r="D30" i="12"/>
  <c r="E30" i="12" s="1"/>
  <c r="D32" i="12"/>
  <c r="E32" i="12" s="1"/>
  <c r="D34" i="12"/>
  <c r="E34" i="12" s="1"/>
  <c r="D27" i="10"/>
  <c r="D26" i="10"/>
  <c r="D34" i="10"/>
  <c r="D36" i="10"/>
  <c r="I67" i="10" s="1"/>
  <c r="D33" i="10"/>
  <c r="D31" i="10"/>
  <c r="D25" i="10"/>
  <c r="D30" i="10"/>
  <c r="D24" i="10"/>
  <c r="D35" i="10"/>
  <c r="D29" i="10"/>
  <c r="G80" i="14" l="1"/>
  <c r="G8" i="16"/>
  <c r="J67" i="14"/>
  <c r="L67" i="14" s="1"/>
  <c r="H67" i="12"/>
  <c r="J67" i="12" s="1"/>
  <c r="D79" i="12"/>
  <c r="B79" i="12"/>
  <c r="L7" i="18"/>
  <c r="L6" i="18"/>
  <c r="D23" i="13"/>
  <c r="D24" i="13"/>
  <c r="J66" i="12"/>
  <c r="E79" i="12"/>
  <c r="H68" i="12"/>
  <c r="J68" i="12" s="1"/>
  <c r="H80" i="14"/>
  <c r="J68" i="14"/>
  <c r="L68" i="14" s="1"/>
  <c r="J69" i="14"/>
  <c r="L69" i="14" s="1"/>
  <c r="F80" i="14"/>
  <c r="E80" i="14"/>
  <c r="E6" i="17"/>
  <c r="F26" i="17"/>
  <c r="E26" i="17"/>
  <c r="F5" i="17"/>
  <c r="E5" i="17"/>
  <c r="F44" i="17"/>
  <c r="E44" i="17"/>
  <c r="F12" i="17"/>
  <c r="E12" i="17"/>
  <c r="F27" i="17"/>
  <c r="E27" i="17"/>
  <c r="F39" i="17"/>
  <c r="E39" i="17"/>
  <c r="F52" i="17"/>
  <c r="E52" i="17"/>
  <c r="F7" i="17"/>
  <c r="E7" i="17"/>
  <c r="F35" i="17"/>
  <c r="E35" i="17"/>
  <c r="F47" i="17"/>
  <c r="E47" i="17"/>
  <c r="F22" i="17"/>
  <c r="E22" i="17"/>
  <c r="F24" i="17"/>
  <c r="E24" i="17"/>
  <c r="F49" i="17"/>
  <c r="E49" i="17"/>
  <c r="F45" i="17"/>
  <c r="E45" i="17"/>
  <c r="F46" i="17"/>
  <c r="E46" i="17"/>
  <c r="F14" i="17"/>
  <c r="E14" i="17"/>
  <c r="F51" i="17"/>
  <c r="E51" i="17"/>
  <c r="F40" i="17"/>
  <c r="E40" i="17"/>
  <c r="F30" i="17"/>
  <c r="E30" i="17"/>
  <c r="F19" i="17"/>
  <c r="E19" i="17"/>
  <c r="F8" i="17"/>
  <c r="E8" i="17"/>
  <c r="F11" i="17"/>
  <c r="E11" i="17"/>
  <c r="F32" i="17"/>
  <c r="E32" i="17"/>
  <c r="F23" i="17"/>
  <c r="E23" i="17"/>
  <c r="F37" i="17"/>
  <c r="E37" i="17"/>
  <c r="F28" i="17"/>
  <c r="E28" i="17"/>
  <c r="F15" i="17"/>
  <c r="E15" i="17"/>
  <c r="F18" i="17"/>
  <c r="E18" i="17"/>
  <c r="F43" i="17"/>
  <c r="E43" i="17"/>
  <c r="F38" i="17"/>
  <c r="E38" i="17"/>
  <c r="F33" i="17"/>
  <c r="E33" i="17"/>
  <c r="F13" i="17"/>
  <c r="E13" i="17"/>
  <c r="F36" i="17"/>
  <c r="E36" i="17"/>
  <c r="F25" i="17"/>
  <c r="E25" i="17"/>
  <c r="F9" i="17"/>
  <c r="E9" i="17"/>
  <c r="F10" i="17"/>
  <c r="E10" i="17"/>
  <c r="F21" i="17"/>
  <c r="E21" i="17"/>
  <c r="F50" i="17"/>
  <c r="E50" i="17"/>
  <c r="F16" i="17"/>
  <c r="E16" i="17"/>
  <c r="F48" i="17"/>
  <c r="E48" i="17"/>
  <c r="F42" i="17"/>
  <c r="E42" i="17"/>
  <c r="F31" i="17"/>
  <c r="E31" i="17"/>
  <c r="F17" i="17"/>
  <c r="E17" i="17"/>
  <c r="F20" i="17"/>
  <c r="E20" i="17"/>
  <c r="F29" i="17"/>
  <c r="E29" i="17"/>
  <c r="F41" i="17"/>
  <c r="E41" i="17"/>
  <c r="F34" i="17"/>
  <c r="E34" i="17"/>
  <c r="N14" i="16"/>
  <c r="N13" i="16"/>
  <c r="G9" i="16"/>
  <c r="H8" i="16"/>
  <c r="J59" i="16"/>
  <c r="E86" i="14" l="1"/>
  <c r="G86" i="14"/>
  <c r="H86" i="14"/>
  <c r="F86" i="14"/>
  <c r="D86" i="14"/>
  <c r="B86" i="14"/>
  <c r="C86" i="14"/>
  <c r="D85" i="14"/>
  <c r="H85" i="14"/>
  <c r="E85" i="14"/>
  <c r="F85" i="14"/>
  <c r="G85" i="14"/>
  <c r="B85" i="14"/>
  <c r="C85" i="14"/>
  <c r="G84" i="14"/>
  <c r="D84" i="14"/>
  <c r="H84" i="14"/>
  <c r="E84" i="14"/>
  <c r="F84" i="14"/>
  <c r="B84" i="14"/>
  <c r="C84" i="14"/>
  <c r="F58" i="17"/>
  <c r="L32" i="17" s="1"/>
  <c r="G5" i="17"/>
  <c r="H5" i="17" s="1"/>
  <c r="G6" i="17"/>
  <c r="H6" i="17" s="1"/>
  <c r="G8" i="17"/>
  <c r="H8" i="17" s="1"/>
  <c r="G20" i="17"/>
  <c r="H20" i="17" s="1"/>
  <c r="G32" i="17"/>
  <c r="H32" i="17" s="1"/>
  <c r="G44" i="17"/>
  <c r="H44" i="17" s="1"/>
  <c r="G14" i="17"/>
  <c r="H14" i="17" s="1"/>
  <c r="G26" i="17"/>
  <c r="H26" i="17" s="1"/>
  <c r="G38" i="17"/>
  <c r="H38" i="17" s="1"/>
  <c r="G50" i="17"/>
  <c r="H50" i="17" s="1"/>
  <c r="G43" i="17"/>
  <c r="H43" i="17" s="1"/>
  <c r="G17" i="17"/>
  <c r="H17" i="17" s="1"/>
  <c r="G7" i="17"/>
  <c r="H7" i="17" s="1"/>
  <c r="G22" i="17"/>
  <c r="H22" i="17" s="1"/>
  <c r="G33" i="17"/>
  <c r="H33" i="17" s="1"/>
  <c r="G19" i="17"/>
  <c r="H19" i="17" s="1"/>
  <c r="G24" i="17"/>
  <c r="H24" i="17" s="1"/>
  <c r="G45" i="17"/>
  <c r="H45" i="17" s="1"/>
  <c r="G47" i="17"/>
  <c r="H47" i="17" s="1"/>
  <c r="G11" i="17"/>
  <c r="H11" i="17" s="1"/>
  <c r="G52" i="17"/>
  <c r="H52" i="17" s="1"/>
  <c r="G16" i="17"/>
  <c r="H16" i="17" s="1"/>
  <c r="G27" i="17"/>
  <c r="H27" i="17" s="1"/>
  <c r="G18" i="17"/>
  <c r="H18" i="17" s="1"/>
  <c r="G25" i="17"/>
  <c r="H25" i="17" s="1"/>
  <c r="G36" i="17"/>
  <c r="H36" i="17" s="1"/>
  <c r="G13" i="17"/>
  <c r="H13" i="17" s="1"/>
  <c r="G39" i="17"/>
  <c r="H39" i="17" s="1"/>
  <c r="G30" i="17"/>
  <c r="H30" i="17" s="1"/>
  <c r="G41" i="17"/>
  <c r="H41" i="17" s="1"/>
  <c r="G49" i="17"/>
  <c r="H49" i="17" s="1"/>
  <c r="G46" i="17"/>
  <c r="H46" i="17" s="1"/>
  <c r="G10" i="17"/>
  <c r="H10" i="17" s="1"/>
  <c r="G21" i="17"/>
  <c r="H21" i="17" s="1"/>
  <c r="G48" i="17"/>
  <c r="H48" i="17" s="1"/>
  <c r="G12" i="17"/>
  <c r="H12" i="17" s="1"/>
  <c r="G35" i="17"/>
  <c r="H35" i="17" s="1"/>
  <c r="G31" i="17"/>
  <c r="H31" i="17" s="1"/>
  <c r="G40" i="17"/>
  <c r="H40" i="17" s="1"/>
  <c r="G51" i="17"/>
  <c r="H51" i="17" s="1"/>
  <c r="G15" i="17"/>
  <c r="H15" i="17" s="1"/>
  <c r="G42" i="17"/>
  <c r="H42" i="17" s="1"/>
  <c r="G29" i="17"/>
  <c r="H29" i="17" s="1"/>
  <c r="G34" i="17"/>
  <c r="H34" i="17" s="1"/>
  <c r="G9" i="17"/>
  <c r="H9" i="17" s="1"/>
  <c r="G23" i="17"/>
  <c r="H23" i="17" s="1"/>
  <c r="G28" i="17"/>
  <c r="H28" i="17" s="1"/>
  <c r="G37" i="17"/>
  <c r="H37" i="17" s="1"/>
  <c r="G10" i="16"/>
  <c r="H9" i="16"/>
  <c r="P14" i="16"/>
  <c r="P13" i="16"/>
  <c r="L31" i="17" l="1"/>
  <c r="G11" i="16"/>
  <c r="H10" i="16"/>
  <c r="G12" i="16" l="1"/>
  <c r="H11" i="16"/>
  <c r="F29" i="6"/>
  <c r="F28" i="6"/>
  <c r="G13" i="16" l="1"/>
  <c r="H12" i="16"/>
  <c r="J7" i="11"/>
  <c r="C7" i="11"/>
  <c r="C8" i="11" l="1"/>
  <c r="C9" i="11" s="1"/>
  <c r="E7" i="11"/>
  <c r="F7" i="11" s="1"/>
  <c r="D7" i="11"/>
  <c r="J8" i="11"/>
  <c r="J9" i="11" s="1"/>
  <c r="K7" i="11"/>
  <c r="L7" i="11" s="1"/>
  <c r="M7" i="11" s="1"/>
  <c r="N7" i="11" s="1"/>
  <c r="H13" i="16"/>
  <c r="G14" i="16"/>
  <c r="D8" i="11"/>
  <c r="E8" i="11"/>
  <c r="F79" i="10"/>
  <c r="E79" i="10"/>
  <c r="D79" i="10"/>
  <c r="C79" i="10"/>
  <c r="B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17" i="10"/>
  <c r="C35" i="10" s="1"/>
  <c r="E35" i="10" s="1"/>
  <c r="G16" i="10"/>
  <c r="C34" i="10" s="1"/>
  <c r="E34" i="10" s="1"/>
  <c r="G15" i="10"/>
  <c r="C33" i="10" s="1"/>
  <c r="E33" i="10" s="1"/>
  <c r="G14" i="10"/>
  <c r="C32" i="10" s="1"/>
  <c r="E32" i="10" s="1"/>
  <c r="G13" i="10"/>
  <c r="C31" i="10" s="1"/>
  <c r="E31" i="10" s="1"/>
  <c r="G12" i="10"/>
  <c r="C30" i="10" s="1"/>
  <c r="E30" i="10" s="1"/>
  <c r="G11" i="10"/>
  <c r="C29" i="10" s="1"/>
  <c r="E29" i="10" s="1"/>
  <c r="G10" i="10"/>
  <c r="C28" i="10" s="1"/>
  <c r="E28" i="10" s="1"/>
  <c r="G9" i="10"/>
  <c r="C27" i="10" s="1"/>
  <c r="E27" i="10" s="1"/>
  <c r="G8" i="10"/>
  <c r="C26" i="10" s="1"/>
  <c r="E26" i="10" s="1"/>
  <c r="G7" i="10"/>
  <c r="C25" i="10" s="1"/>
  <c r="E25" i="10" s="1"/>
  <c r="G6" i="10"/>
  <c r="C24" i="10" s="1"/>
  <c r="E24" i="10" s="1"/>
  <c r="E11" i="9"/>
  <c r="E12" i="9"/>
  <c r="E13" i="9"/>
  <c r="E14" i="9"/>
  <c r="E15" i="9"/>
  <c r="E16" i="9"/>
  <c r="E10" i="9"/>
  <c r="D11" i="9"/>
  <c r="D12" i="9"/>
  <c r="D13" i="9"/>
  <c r="D14" i="9"/>
  <c r="D15" i="9"/>
  <c r="D16" i="9"/>
  <c r="D10" i="9"/>
  <c r="H10" i="9"/>
  <c r="B24" i="8"/>
  <c r="B23" i="8"/>
  <c r="B32" i="7"/>
  <c r="B31" i="7"/>
  <c r="B25" i="6"/>
  <c r="B24" i="6"/>
  <c r="E7" i="5"/>
  <c r="E8" i="5" s="1"/>
  <c r="E9" i="5" s="1"/>
  <c r="E10" i="5" s="1"/>
  <c r="E11" i="5" s="1"/>
  <c r="E12" i="5" s="1"/>
  <c r="B18" i="5" s="1"/>
  <c r="D7" i="5"/>
  <c r="D8" i="5" s="1"/>
  <c r="D9" i="5" s="1"/>
  <c r="D10" i="5" s="1"/>
  <c r="D11" i="5" s="1"/>
  <c r="D12" i="5" s="1"/>
  <c r="B16" i="5" s="1"/>
  <c r="C7" i="5"/>
  <c r="C8" i="5" s="1"/>
  <c r="C9" i="5" s="1"/>
  <c r="C10" i="5" s="1"/>
  <c r="C11" i="5" s="1"/>
  <c r="C12" i="5" s="1"/>
  <c r="B14" i="5" s="1"/>
  <c r="K8" i="11" l="1"/>
  <c r="L8" i="11" s="1"/>
  <c r="G7" i="11"/>
  <c r="G10" i="9"/>
  <c r="F11" i="9" s="1"/>
  <c r="G11" i="9" s="1"/>
  <c r="H14" i="16"/>
  <c r="G15" i="16"/>
  <c r="F8" i="11"/>
  <c r="G8" i="11" s="1"/>
  <c r="C10" i="11"/>
  <c r="D9" i="11"/>
  <c r="E9" i="11"/>
  <c r="F9" i="11" s="1"/>
  <c r="J10" i="11"/>
  <c r="K9" i="11"/>
  <c r="L9" i="11" s="1"/>
  <c r="G79" i="10"/>
  <c r="C80" i="10" s="1"/>
  <c r="E9" i="7"/>
  <c r="F9" i="7" s="1"/>
  <c r="E25" i="7"/>
  <c r="D8" i="6"/>
  <c r="E8" i="6" s="1"/>
  <c r="H69" i="10"/>
  <c r="E20" i="8"/>
  <c r="E21" i="8"/>
  <c r="E6" i="8"/>
  <c r="F6" i="8" s="1"/>
  <c r="E8" i="8"/>
  <c r="F8" i="8" s="1"/>
  <c r="E10" i="8"/>
  <c r="F10" i="8" s="1"/>
  <c r="E12" i="8"/>
  <c r="F12" i="8" s="1"/>
  <c r="E14" i="8"/>
  <c r="F14" i="8" s="1"/>
  <c r="E16" i="8"/>
  <c r="F16" i="8" s="1"/>
  <c r="E5" i="8"/>
  <c r="F5" i="8" s="1"/>
  <c r="E7" i="8"/>
  <c r="F7" i="8" s="1"/>
  <c r="E9" i="8"/>
  <c r="F9" i="8" s="1"/>
  <c r="E11" i="8"/>
  <c r="F11" i="8" s="1"/>
  <c r="E13" i="8"/>
  <c r="F13" i="8" s="1"/>
  <c r="E15" i="8"/>
  <c r="F15" i="8" s="1"/>
  <c r="E21" i="7"/>
  <c r="F21" i="7" s="1"/>
  <c r="E17" i="7"/>
  <c r="F17" i="7" s="1"/>
  <c r="E13" i="7"/>
  <c r="F13" i="7" s="1"/>
  <c r="E20" i="7"/>
  <c r="F20" i="7" s="1"/>
  <c r="E16" i="7"/>
  <c r="F16" i="7" s="1"/>
  <c r="E12" i="7"/>
  <c r="F12" i="7" s="1"/>
  <c r="E8" i="7"/>
  <c r="F8" i="7" s="1"/>
  <c r="E27" i="7"/>
  <c r="E5" i="7"/>
  <c r="F5" i="7" s="1"/>
  <c r="E19" i="7"/>
  <c r="F19" i="7" s="1"/>
  <c r="E15" i="7"/>
  <c r="F15" i="7" s="1"/>
  <c r="E11" i="7"/>
  <c r="F11" i="7" s="1"/>
  <c r="E7" i="7"/>
  <c r="F7" i="7" s="1"/>
  <c r="E26" i="7"/>
  <c r="E22" i="7"/>
  <c r="F22" i="7" s="1"/>
  <c r="E18" i="7"/>
  <c r="F18" i="7" s="1"/>
  <c r="E14" i="7"/>
  <c r="F14" i="7" s="1"/>
  <c r="E10" i="7"/>
  <c r="F10" i="7" s="1"/>
  <c r="E6" i="7"/>
  <c r="F6" i="7" s="1"/>
  <c r="D9" i="6"/>
  <c r="E9" i="6" s="1"/>
  <c r="D12" i="6"/>
  <c r="E12" i="6" s="1"/>
  <c r="D20" i="6"/>
  <c r="E28" i="6" s="1"/>
  <c r="D16" i="6"/>
  <c r="E16" i="6" s="1"/>
  <c r="D19" i="6"/>
  <c r="E19" i="6" s="1"/>
  <c r="D15" i="6"/>
  <c r="E15" i="6" s="1"/>
  <c r="D11" i="6"/>
  <c r="E11" i="6" s="1"/>
  <c r="D7" i="6"/>
  <c r="E7" i="6" s="1"/>
  <c r="D5" i="6"/>
  <c r="E5" i="6" s="1"/>
  <c r="D18" i="6"/>
  <c r="E18" i="6" s="1"/>
  <c r="D14" i="6"/>
  <c r="E14" i="6" s="1"/>
  <c r="D10" i="6"/>
  <c r="E10" i="6" s="1"/>
  <c r="D6" i="6"/>
  <c r="E6" i="6" s="1"/>
  <c r="D21" i="6"/>
  <c r="E29" i="6" s="1"/>
  <c r="D17" i="6"/>
  <c r="E17" i="6" s="1"/>
  <c r="D13" i="6"/>
  <c r="E13" i="6" s="1"/>
  <c r="E7" i="4"/>
  <c r="E8" i="4" s="1"/>
  <c r="E9" i="4" s="1"/>
  <c r="E10" i="4" s="1"/>
  <c r="E11" i="4" s="1"/>
  <c r="E12" i="4" s="1"/>
  <c r="B18" i="4" s="1"/>
  <c r="D7" i="4"/>
  <c r="D8" i="4" s="1"/>
  <c r="D9" i="4" s="1"/>
  <c r="D10" i="4" s="1"/>
  <c r="D11" i="4" s="1"/>
  <c r="D12" i="4" s="1"/>
  <c r="B16" i="4" s="1"/>
  <c r="C7" i="4"/>
  <c r="C8" i="4" s="1"/>
  <c r="C9" i="4" s="1"/>
  <c r="C10" i="4" s="1"/>
  <c r="C11" i="4" s="1"/>
  <c r="C12" i="4" s="1"/>
  <c r="B14" i="4" s="1"/>
  <c r="D36" i="3"/>
  <c r="D35" i="3"/>
  <c r="D34" i="3"/>
  <c r="D33" i="3"/>
  <c r="D32" i="3"/>
  <c r="D31" i="3"/>
  <c r="D30" i="3"/>
  <c r="D29" i="3"/>
  <c r="C36" i="3"/>
  <c r="C35" i="3"/>
  <c r="C34" i="3"/>
  <c r="C33" i="3"/>
  <c r="C32" i="3"/>
  <c r="C31" i="3"/>
  <c r="C30" i="3"/>
  <c r="C29" i="3"/>
  <c r="C17" i="3"/>
  <c r="C16" i="3"/>
  <c r="C15" i="3"/>
  <c r="C14" i="3"/>
  <c r="C13" i="3"/>
  <c r="C12" i="3"/>
  <c r="C11" i="3"/>
  <c r="C10" i="3"/>
  <c r="C9" i="3"/>
  <c r="D17" i="3"/>
  <c r="D16" i="3"/>
  <c r="D15" i="3"/>
  <c r="D14" i="3"/>
  <c r="D13" i="3"/>
  <c r="D12" i="3"/>
  <c r="D11" i="3"/>
  <c r="D10" i="3"/>
  <c r="D9" i="3"/>
  <c r="D14" i="2"/>
  <c r="B19" i="2" s="1"/>
  <c r="D13" i="2"/>
  <c r="D12" i="2"/>
  <c r="D11" i="2"/>
  <c r="D10" i="2"/>
  <c r="D9" i="2"/>
  <c r="C14" i="2"/>
  <c r="B17" i="2" s="1"/>
  <c r="C13" i="2"/>
  <c r="C12" i="2"/>
  <c r="C11" i="2"/>
  <c r="C10" i="2"/>
  <c r="C9" i="2"/>
  <c r="C8" i="2"/>
  <c r="C7" i="2"/>
  <c r="B19" i="1"/>
  <c r="E10" i="1"/>
  <c r="B17" i="1" s="1"/>
  <c r="E9" i="1"/>
  <c r="D10" i="1"/>
  <c r="B15" i="1" s="1"/>
  <c r="D9" i="1"/>
  <c r="D8" i="1"/>
  <c r="B13" i="1"/>
  <c r="G9" i="11" l="1"/>
  <c r="H11" i="9"/>
  <c r="F12" i="9" s="1"/>
  <c r="G12" i="9" s="1"/>
  <c r="E80" i="10"/>
  <c r="H67" i="10"/>
  <c r="J67" i="10" s="1"/>
  <c r="C85" i="10" s="1"/>
  <c r="H68" i="10"/>
  <c r="J68" i="10" s="1"/>
  <c r="H15" i="16"/>
  <c r="G16" i="16"/>
  <c r="C11" i="11"/>
  <c r="D10" i="11"/>
  <c r="E10" i="11"/>
  <c r="M9" i="11"/>
  <c r="N9" i="11" s="1"/>
  <c r="M8" i="11"/>
  <c r="N8" i="11" s="1"/>
  <c r="J11" i="11"/>
  <c r="K10" i="11"/>
  <c r="B80" i="10"/>
  <c r="D80" i="10"/>
  <c r="F80" i="10"/>
  <c r="F86" i="10" s="1"/>
  <c r="C86" i="10"/>
  <c r="B85" i="10"/>
  <c r="E85" i="10" l="1"/>
  <c r="B86" i="10"/>
  <c r="H12" i="9"/>
  <c r="D86" i="10"/>
  <c r="E86" i="10"/>
  <c r="H16" i="16"/>
  <c r="G17" i="16"/>
  <c r="F10" i="11"/>
  <c r="G10" i="11" s="1"/>
  <c r="C12" i="11"/>
  <c r="D11" i="11"/>
  <c r="E11" i="11"/>
  <c r="F11" i="11" s="1"/>
  <c r="L10" i="11"/>
  <c r="J12" i="11"/>
  <c r="K12" i="11" s="1"/>
  <c r="L12" i="11" s="1"/>
  <c r="K11" i="11"/>
  <c r="L11" i="11" s="1"/>
  <c r="D85" i="10"/>
  <c r="F85" i="10"/>
  <c r="F13" i="9" l="1"/>
  <c r="G13" i="9" s="1"/>
  <c r="G18" i="16"/>
  <c r="H17" i="16"/>
  <c r="G11" i="11"/>
  <c r="D12" i="11"/>
  <c r="E12" i="11"/>
  <c r="M10" i="11"/>
  <c r="N10" i="11" s="1"/>
  <c r="L14" i="11"/>
  <c r="M11" i="11"/>
  <c r="N11" i="11" s="1"/>
  <c r="M12" i="11"/>
  <c r="N12" i="11" s="1"/>
  <c r="H13" i="9" l="1"/>
  <c r="F14" i="9" s="1"/>
  <c r="G14" i="9" s="1"/>
  <c r="D20" i="11"/>
  <c r="D19" i="11"/>
  <c r="G19" i="16"/>
  <c r="H18" i="16"/>
  <c r="E14" i="11"/>
  <c r="F12" i="11"/>
  <c r="G12" i="11" s="1"/>
  <c r="H14" i="9" l="1"/>
  <c r="D17" i="11"/>
  <c r="D16" i="11"/>
  <c r="H19" i="16"/>
  <c r="G20" i="16"/>
  <c r="F15" i="9" l="1"/>
  <c r="G15" i="9" s="1"/>
  <c r="H20" i="16"/>
  <c r="G21" i="16"/>
  <c r="H15" i="9" l="1"/>
  <c r="G22" i="16"/>
  <c r="H21" i="16"/>
  <c r="F16" i="9" l="1"/>
  <c r="G16" i="9" s="1"/>
  <c r="H22" i="16"/>
  <c r="G23" i="16"/>
  <c r="H16" i="9" l="1"/>
  <c r="F17" i="9" s="1"/>
  <c r="G24" i="16"/>
  <c r="H23" i="16"/>
  <c r="H24" i="16" l="1"/>
  <c r="G25" i="16"/>
  <c r="H25" i="16" l="1"/>
  <c r="G26" i="16"/>
  <c r="G27" i="16" l="1"/>
  <c r="H26" i="16"/>
  <c r="G28" i="16" l="1"/>
  <c r="H27" i="16"/>
  <c r="H28" i="16" l="1"/>
  <c r="G29" i="16"/>
  <c r="G30" i="16" l="1"/>
  <c r="H29" i="16"/>
  <c r="G31" i="16" l="1"/>
  <c r="H30" i="16"/>
  <c r="H31" i="16" l="1"/>
  <c r="G32" i="16"/>
  <c r="G33" i="16" l="1"/>
  <c r="H32" i="16"/>
  <c r="H33" i="16" l="1"/>
  <c r="G34" i="16"/>
  <c r="H34" i="16" l="1"/>
  <c r="G35" i="16"/>
  <c r="G36" i="16" l="1"/>
  <c r="H35" i="16"/>
  <c r="G37" i="16" l="1"/>
  <c r="H36" i="16"/>
  <c r="G38" i="16" l="1"/>
  <c r="H37" i="16"/>
  <c r="H38" i="16" l="1"/>
  <c r="G39" i="16"/>
  <c r="G40" i="16" l="1"/>
  <c r="H39" i="16"/>
  <c r="G41" i="16" l="1"/>
  <c r="H40" i="16"/>
  <c r="H41" i="16" l="1"/>
  <c r="G42" i="16"/>
  <c r="H42" i="16" l="1"/>
  <c r="G43" i="16"/>
  <c r="G44" i="16" l="1"/>
  <c r="H43" i="16"/>
  <c r="H44" i="16" l="1"/>
  <c r="G45" i="16"/>
  <c r="H45" i="16" l="1"/>
  <c r="G46" i="16"/>
  <c r="G47" i="16" l="1"/>
  <c r="H46" i="16"/>
  <c r="H47" i="16" l="1"/>
  <c r="G48" i="16"/>
  <c r="G49" i="16" l="1"/>
  <c r="H48" i="16"/>
  <c r="H49" i="16" l="1"/>
  <c r="G50" i="16"/>
  <c r="G51" i="16" l="1"/>
  <c r="H50" i="16"/>
  <c r="G52" i="16" l="1"/>
  <c r="H51" i="16"/>
  <c r="G53" i="16" l="1"/>
  <c r="H52" i="16"/>
  <c r="H53" i="16" l="1"/>
  <c r="G54" i="16"/>
  <c r="G55" i="16" l="1"/>
  <c r="H54" i="16"/>
  <c r="G56" i="16" l="1"/>
  <c r="H55" i="16"/>
  <c r="H56" i="16" l="1"/>
  <c r="H59" i="16" s="1"/>
  <c r="G57" i="16"/>
  <c r="M8" i="16" s="1"/>
  <c r="O13" i="16" l="1"/>
  <c r="O14" i="16"/>
</calcChain>
</file>

<file path=xl/sharedStrings.xml><?xml version="1.0" encoding="utf-8"?>
<sst xmlns="http://schemas.openxmlformats.org/spreadsheetml/2006/main" count="2255" uniqueCount="331">
  <si>
    <t>Months</t>
  </si>
  <si>
    <t>Visits</t>
  </si>
  <si>
    <t>Naïve</t>
  </si>
  <si>
    <t>4-MA</t>
  </si>
  <si>
    <t>July</t>
  </si>
  <si>
    <t>August</t>
  </si>
  <si>
    <t>September</t>
  </si>
  <si>
    <t>October</t>
  </si>
  <si>
    <t>November</t>
  </si>
  <si>
    <t>December</t>
  </si>
  <si>
    <t>January</t>
  </si>
  <si>
    <t>a.</t>
  </si>
  <si>
    <t>b.</t>
  </si>
  <si>
    <t>c.</t>
  </si>
  <si>
    <t>April</t>
  </si>
  <si>
    <t>May</t>
  </si>
  <si>
    <t>June</t>
  </si>
  <si>
    <t>5-MA</t>
  </si>
  <si>
    <t>Naïve (seas)</t>
  </si>
  <si>
    <t>d.</t>
  </si>
  <si>
    <t>b</t>
  </si>
  <si>
    <t>c</t>
  </si>
  <si>
    <t>Month</t>
  </si>
  <si>
    <t>February</t>
  </si>
  <si>
    <t>March</t>
  </si>
  <si>
    <t>d</t>
  </si>
  <si>
    <t>Year</t>
  </si>
  <si>
    <t>a</t>
  </si>
  <si>
    <t>Based on graph, 3-MA seems to be better predictor of admissions.</t>
  </si>
  <si>
    <t>Actual Admissions</t>
  </si>
  <si>
    <t>Patient Days</t>
  </si>
  <si>
    <t xml:space="preserve">January </t>
  </si>
  <si>
    <t>EX 2.3</t>
  </si>
  <si>
    <t>a. Predict the patient days for January, using a four-period moving average with weights 0.1, 0.2, 0.3, 0.4</t>
  </si>
  <si>
    <t>b. Predict the patient days for January, using a five-period moving average with weights 0.1, 0.1, 0.2, 0.3, and 0.4.</t>
  </si>
  <si>
    <t>EX 2.4</t>
  </si>
  <si>
    <t>EX 2.5</t>
  </si>
  <si>
    <t>Error</t>
  </si>
  <si>
    <t>Actual</t>
  </si>
  <si>
    <t>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</si>
  <si>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</si>
  <si>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</si>
  <si>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</si>
  <si>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</si>
  <si>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</si>
  <si>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</si>
  <si>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</si>
  <si>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</si>
  <si>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</si>
  <si>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</si>
  <si>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</si>
  <si>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</si>
  <si>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</si>
  <si>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</si>
  <si>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</si>
  <si>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</si>
  <si>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</si>
  <si>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</si>
  <si>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</si>
  <si>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</si>
  <si>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</si>
  <si>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</si>
  <si>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</si>
  <si>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</si>
  <si>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</si>
  <si>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EX 2.6</t>
  </si>
  <si>
    <t>August:  Year 1</t>
  </si>
  <si>
    <t>September: Year 1</t>
  </si>
  <si>
    <t>October: Year 1</t>
  </si>
  <si>
    <t>November: Year 1</t>
  </si>
  <si>
    <t>December: Year 2</t>
  </si>
  <si>
    <t>January: Year 2</t>
  </si>
  <si>
    <t>February: Year 2</t>
  </si>
  <si>
    <t>March: Year 2</t>
  </si>
  <si>
    <t>April: Year 2</t>
  </si>
  <si>
    <t>May: Year 2</t>
  </si>
  <si>
    <t>June: Year 2</t>
  </si>
  <si>
    <t>July: Year 2</t>
  </si>
  <si>
    <t>August: Year 2</t>
  </si>
  <si>
    <t>September: Year 2</t>
  </si>
  <si>
    <t>October: Year 2</t>
  </si>
  <si>
    <t>Avg. Weekly Visits</t>
  </si>
  <si>
    <t>November: Year 2</t>
  </si>
  <si>
    <t>November: Year 3</t>
  </si>
  <si>
    <t>EX 2.7</t>
  </si>
  <si>
    <t>Cost</t>
  </si>
  <si>
    <t>EX 2.8</t>
  </si>
  <si>
    <t>Travel Expenses = 124.986+4.997*Visits</t>
  </si>
  <si>
    <t>Travel Expenses</t>
  </si>
  <si>
    <t>EX 2.9</t>
  </si>
  <si>
    <t>t</t>
  </si>
  <si>
    <r>
      <t>A</t>
    </r>
    <r>
      <rPr>
        <b/>
        <vertAlign val="subscript"/>
        <sz val="12"/>
        <rFont val="Arial"/>
        <family val="2"/>
      </rPr>
      <t>t</t>
    </r>
  </si>
  <si>
    <r>
      <t>F</t>
    </r>
    <r>
      <rPr>
        <b/>
        <vertAlign val="subscript"/>
        <sz val="12"/>
        <rFont val="Arial"/>
        <family val="2"/>
      </rPr>
      <t>t</t>
    </r>
  </si>
  <si>
    <r>
      <t>SF</t>
    </r>
    <r>
      <rPr>
        <b/>
        <vertAlign val="subscript"/>
        <sz val="12"/>
        <rFont val="Arial"/>
        <family val="2"/>
      </rPr>
      <t>t</t>
    </r>
  </si>
  <si>
    <r>
      <t>T</t>
    </r>
    <r>
      <rPr>
        <b/>
        <vertAlign val="subscript"/>
        <sz val="12"/>
        <rFont val="Arial"/>
        <family val="2"/>
      </rPr>
      <t>t</t>
    </r>
  </si>
  <si>
    <r>
      <t>T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=(175-164)/(8-1)= 11/7 = 1.57  </t>
    </r>
    <r>
      <rPr>
        <i/>
        <sz val="10"/>
        <rFont val="Arial"/>
        <family val="2"/>
      </rPr>
      <t>(upward trend)</t>
    </r>
  </si>
  <si>
    <t>Test the model using periods 9 through 15</t>
  </si>
  <si>
    <r>
      <t>T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=(A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-A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)/(n-1) use first 8 periods to build the model</t>
    </r>
  </si>
  <si>
    <t>alpha = 0.3</t>
  </si>
  <si>
    <t>beta = 0.4</t>
  </si>
  <si>
    <t>Daily</t>
  </si>
  <si>
    <t>Monday</t>
  </si>
  <si>
    <t>Tuesday</t>
  </si>
  <si>
    <t>Wednesday</t>
  </si>
  <si>
    <t>Thursday</t>
  </si>
  <si>
    <t>Friday</t>
  </si>
  <si>
    <t>Average</t>
  </si>
  <si>
    <t>MAD</t>
  </si>
  <si>
    <t>R-square</t>
  </si>
  <si>
    <t>Data</t>
  </si>
  <si>
    <t>LR</t>
  </si>
  <si>
    <t>MAPE</t>
  </si>
  <si>
    <t>Adjusted</t>
  </si>
  <si>
    <t>Monthly</t>
  </si>
  <si>
    <t>Indices</t>
  </si>
  <si>
    <t>Grand Means</t>
  </si>
  <si>
    <t>Daily indices</t>
  </si>
  <si>
    <t>Demand</t>
  </si>
  <si>
    <t>Template Solutions</t>
  </si>
  <si>
    <t>Moving Average</t>
  </si>
  <si>
    <t>Periods of Moving Average =</t>
  </si>
  <si>
    <t xml:space="preserve">MAD = </t>
  </si>
  <si>
    <t>MAPE =</t>
  </si>
  <si>
    <t>Tracking Signal</t>
  </si>
  <si>
    <t/>
  </si>
  <si>
    <t>3-MA</t>
  </si>
  <si>
    <t>Weighted Moving Average</t>
  </si>
  <si>
    <t>Number Periods of Average =</t>
  </si>
  <si>
    <t>(maximum - 5)</t>
  </si>
  <si>
    <t>Weights of Average</t>
  </si>
  <si>
    <r>
      <t>ω</t>
    </r>
    <r>
      <rPr>
        <b/>
        <vertAlign val="subscript"/>
        <sz val="10"/>
        <rFont val="Arial Cyr"/>
        <charset val="204"/>
      </rPr>
      <t>1</t>
    </r>
  </si>
  <si>
    <r>
      <t>ω</t>
    </r>
    <r>
      <rPr>
        <b/>
        <vertAlign val="subscript"/>
        <sz val="10"/>
        <rFont val="Arial Cyr"/>
        <charset val="204"/>
      </rPr>
      <t>2</t>
    </r>
  </si>
  <si>
    <r>
      <t>ω</t>
    </r>
    <r>
      <rPr>
        <b/>
        <vertAlign val="subscript"/>
        <sz val="10"/>
        <rFont val="Arial Cyr"/>
        <charset val="204"/>
      </rPr>
      <t>3</t>
    </r>
  </si>
  <si>
    <r>
      <t>ω</t>
    </r>
    <r>
      <rPr>
        <b/>
        <vertAlign val="subscript"/>
        <sz val="10"/>
        <rFont val="Arial Cyr"/>
        <charset val="204"/>
      </rPr>
      <t>4</t>
    </r>
  </si>
  <si>
    <r>
      <t>ω</t>
    </r>
    <r>
      <rPr>
        <b/>
        <vertAlign val="subscript"/>
        <sz val="10"/>
        <rFont val="Arial Cyr"/>
        <charset val="204"/>
      </rPr>
      <t>5</t>
    </r>
  </si>
  <si>
    <t>4-MA, weights 0.1, 0.2, 0.3, 0.4</t>
  </si>
  <si>
    <t>a=0.3</t>
  </si>
  <si>
    <t>Single Exponential Smoothing</t>
  </si>
  <si>
    <t>Smoothing constant α =</t>
  </si>
  <si>
    <t>a=0.5</t>
  </si>
  <si>
    <t>a=1.0</t>
  </si>
  <si>
    <t>a=0.1</t>
  </si>
  <si>
    <t>a=0.6</t>
  </si>
  <si>
    <t>a=0</t>
  </si>
  <si>
    <t>Linear Trend Equation</t>
  </si>
  <si>
    <t>Slope =</t>
  </si>
  <si>
    <t>Intercept =</t>
  </si>
  <si>
    <r>
      <t>R</t>
    </r>
    <r>
      <rPr>
        <b/>
        <vertAlign val="superscript"/>
        <sz val="10"/>
        <rFont val="Arial Cyr"/>
        <charset val="204"/>
      </rPr>
      <t>2</t>
    </r>
    <r>
      <rPr>
        <b/>
        <sz val="10"/>
        <rFont val="Arial Cyr"/>
        <charset val="204"/>
      </rPr>
      <t xml:space="preserve"> =</t>
    </r>
  </si>
  <si>
    <t>F-test =</t>
  </si>
  <si>
    <t>Future Period</t>
  </si>
  <si>
    <r>
      <t>First calculate T</t>
    </r>
    <r>
      <rPr>
        <vertAlign val="subscript"/>
        <sz val="10"/>
        <rFont val="Arial"/>
        <family val="2"/>
      </rPr>
      <t xml:space="preserve">0 </t>
    </r>
    <r>
      <rPr>
        <sz val="10"/>
        <rFont val="Arial"/>
        <family val="2"/>
      </rPr>
      <t>for this problem</t>
    </r>
  </si>
  <si>
    <t>Slope</t>
  </si>
  <si>
    <t>c. Development of Indices</t>
  </si>
  <si>
    <t>a. Calculate daily averages for each month, then enter this information to Excel Template.</t>
  </si>
  <si>
    <t>Template Results - Linear Regression</t>
  </si>
  <si>
    <t>Monthly Indices</t>
  </si>
  <si>
    <t>Daily Average</t>
  </si>
  <si>
    <t>Absolute Error</t>
  </si>
  <si>
    <t>Sum</t>
  </si>
  <si>
    <t>see G4:G18</t>
  </si>
  <si>
    <t>EX 2.13</t>
  </si>
  <si>
    <t>EX 2.12</t>
  </si>
  <si>
    <t>Abs Error</t>
  </si>
  <si>
    <t>MAD (0.1)</t>
  </si>
  <si>
    <t>MAPE (0.1)</t>
  </si>
  <si>
    <t>MAD (0.6)</t>
  </si>
  <si>
    <t>MAPE (0.6)</t>
  </si>
  <si>
    <t>Excel Template Solutions</t>
  </si>
  <si>
    <t>Enrollment</t>
  </si>
  <si>
    <t>Smoothing</t>
  </si>
  <si>
    <t>Regression Metrics</t>
  </si>
  <si>
    <t>Smoothing appears to be the best model for this data set as it produces the lowest MAD and MAPE values.</t>
  </si>
  <si>
    <t>smoothing constant</t>
  </si>
  <si>
    <t>EX 2.14</t>
  </si>
  <si>
    <t>Week</t>
  </si>
  <si>
    <t>While this model has relatively low MAD and MAPE, the R-squared value is quite low at 12.89%.  Also, in looking at the plotted data, it appears there may be some seasonality in the data that could be better accounted for in a different type of model.</t>
  </si>
  <si>
    <t>Excel Template Results</t>
  </si>
  <si>
    <t>Sunday</t>
  </si>
  <si>
    <t>Saturday</t>
  </si>
  <si>
    <t>c. Develop Indices</t>
  </si>
  <si>
    <t>a. Calculate daily averages for each month, then perform linear regression.</t>
  </si>
  <si>
    <t>Summary:</t>
  </si>
  <si>
    <t>Patient admissions overall appear to be increasing. The data suggests that certain days of the week, Thursday in particular, will have a higher number of admissions. The staffing solution should take these factors into account, likely building up additional capacity to handle the predicted influx of patients.</t>
  </si>
  <si>
    <t>Regression Model</t>
  </si>
  <si>
    <t>R-squared</t>
  </si>
  <si>
    <t>Prediction</t>
  </si>
  <si>
    <t>Excel Template Solution</t>
  </si>
  <si>
    <t>e</t>
  </si>
  <si>
    <t>% Change in Demand</t>
  </si>
  <si>
    <t>Total Assigned Beneficiaries</t>
  </si>
  <si>
    <t>Total Expenditures</t>
  </si>
  <si>
    <t>Predicted Total Expenditures</t>
  </si>
  <si>
    <t>Total Expenditures = -5526996+11830.91(Number of Beneficiaries)</t>
  </si>
  <si>
    <t>Regression Equation</t>
  </si>
  <si>
    <t>% Change</t>
  </si>
  <si>
    <t>f</t>
  </si>
  <si>
    <t>g</t>
  </si>
  <si>
    <t>Cost growth appears to slow down significantly as the number of beneficiaries increases, in line with they hypothesis that ACOs are cost-effective.</t>
  </si>
  <si>
    <t>5-MA, weights 0.1, 0.1, 0.2, 0.3, 0.4</t>
  </si>
  <si>
    <t>Single Exponential Smoothing with Trend</t>
  </si>
  <si>
    <t>Smoothing constant β =</t>
  </si>
  <si>
    <t>Model Initialization:</t>
  </si>
  <si>
    <t>Period =</t>
  </si>
  <si>
    <t>Trend =</t>
  </si>
  <si>
    <t>SF</t>
  </si>
  <si>
    <t>T</t>
  </si>
  <si>
    <t>EX 2.10</t>
  </si>
  <si>
    <t>EX 2.11</t>
  </si>
  <si>
    <r>
      <t>Excel Template Solution</t>
    </r>
    <r>
      <rPr>
        <sz val="10"/>
        <rFont val="Arial"/>
        <family val="2"/>
      </rPr>
      <t>:</t>
    </r>
  </si>
  <si>
    <t>EX 2.1</t>
  </si>
  <si>
    <r>
      <t>EX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2.2</t>
    </r>
  </si>
  <si>
    <t>6-MA</t>
  </si>
  <si>
    <t>Based on visuals on graph 4-MA seems to be better predictor.</t>
  </si>
  <si>
    <r>
      <t>Excel Template Solution</t>
    </r>
    <r>
      <rPr>
        <sz val="11"/>
        <color theme="1"/>
        <rFont val="Calibri"/>
        <family val="2"/>
        <scheme val="minor"/>
      </rPr>
      <t>:</t>
    </r>
  </si>
  <si>
    <t>Data exhibits seasonality.</t>
  </si>
  <si>
    <t>Result: 534.7</t>
  </si>
  <si>
    <t>b. Predict the patient days for January, using a five-period moving average with weights 0.1, 0.1, 0.2, 0.2, and 0.4.</t>
  </si>
  <si>
    <t>Result: 536.2</t>
  </si>
  <si>
    <r>
      <t>a.</t>
    </r>
    <r>
      <rPr>
        <b/>
        <u/>
        <sz val="11"/>
        <color rgb="FFFF0000"/>
        <rFont val="Calibri"/>
        <family val="2"/>
        <scheme val="minor"/>
      </rPr>
      <t xml:space="preserve"> Predict the patient days for January, using a four-period moving average with weights 0.1, 0.2, 0.3, 0.4</t>
    </r>
  </si>
  <si>
    <t>e.</t>
  </si>
  <si>
    <t>Smoothing constant α = 0.0 yields no adjustment to date predicts the same value for all future periods.</t>
  </si>
  <si>
    <r>
      <t>a. (</t>
    </r>
    <r>
      <rPr>
        <b/>
        <u/>
        <sz val="10"/>
        <color rgb="FFFF0000"/>
        <rFont val="Symbol"/>
        <family val="1"/>
        <charset val="2"/>
      </rPr>
      <t>a</t>
    </r>
    <r>
      <rPr>
        <b/>
        <u/>
        <sz val="11"/>
        <color rgb="FFFF0000"/>
        <rFont val="Calibri"/>
        <family val="2"/>
        <scheme val="minor"/>
      </rPr>
      <t>=0.3)</t>
    </r>
  </si>
  <si>
    <r>
      <t>b. (</t>
    </r>
    <r>
      <rPr>
        <b/>
        <u/>
        <sz val="10"/>
        <color rgb="FFFF0000"/>
        <rFont val="Symbol"/>
        <family val="1"/>
        <charset val="2"/>
      </rPr>
      <t>a</t>
    </r>
    <r>
      <rPr>
        <b/>
        <u/>
        <sz val="11"/>
        <color rgb="FFFF0000"/>
        <rFont val="Calibri"/>
        <family val="2"/>
        <scheme val="minor"/>
      </rPr>
      <t>=0.5)</t>
    </r>
  </si>
  <si>
    <r>
      <t>c. (</t>
    </r>
    <r>
      <rPr>
        <b/>
        <u/>
        <sz val="10"/>
        <color rgb="FFFF0000"/>
        <rFont val="Symbol"/>
        <family val="1"/>
        <charset val="2"/>
      </rPr>
      <t>a</t>
    </r>
    <r>
      <rPr>
        <b/>
        <u/>
        <sz val="11"/>
        <color rgb="FFFF0000"/>
        <rFont val="Calibri"/>
        <family val="2"/>
        <scheme val="minor"/>
      </rPr>
      <t>=0.0)</t>
    </r>
  </si>
  <si>
    <r>
      <t>d. (</t>
    </r>
    <r>
      <rPr>
        <b/>
        <u/>
        <sz val="10"/>
        <color rgb="FFFF0000"/>
        <rFont val="Symbol"/>
        <family val="1"/>
        <charset val="2"/>
      </rPr>
      <t>a</t>
    </r>
    <r>
      <rPr>
        <b/>
        <u/>
        <sz val="11"/>
        <color rgb="FFFF0000"/>
        <rFont val="Calibri"/>
        <family val="2"/>
        <scheme val="minor"/>
      </rPr>
      <t>=1.0)</t>
    </r>
  </si>
  <si>
    <t>Ave. Daily Admissions</t>
  </si>
  <si>
    <t>y= 0.16667(x) + 11.49123</t>
  </si>
  <si>
    <t xml:space="preserve">Less than 10% of the variability is explained in the regression. Therefore, more </t>
  </si>
  <si>
    <t xml:space="preserve">variables needs to be considered so as to control for seasonality and provide a more accurate </t>
  </si>
  <si>
    <t>y = 37561 - 9.1086x</t>
  </si>
  <si>
    <t>or</t>
  </si>
  <si>
    <t>Dependent</t>
  </si>
  <si>
    <t>Independent</t>
  </si>
  <si>
    <t>Variable</t>
  </si>
  <si>
    <t>Cost =</t>
  </si>
  <si>
    <t>37561 - 9.1086 Patient Days</t>
  </si>
  <si>
    <t>Predictions:</t>
  </si>
  <si>
    <r>
      <t>First calculate T</t>
    </r>
    <r>
      <rPr>
        <vertAlign val="subscript"/>
        <sz val="10"/>
        <rFont val="Arial"/>
        <family val="2"/>
      </rPr>
      <t xml:space="preserve">0 , </t>
    </r>
    <r>
      <rPr>
        <sz val="10"/>
        <rFont val="Arial"/>
        <family val="2"/>
      </rPr>
      <t>for this problem;</t>
    </r>
  </si>
  <si>
    <r>
      <t>T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 xml:space="preserve">=(32996-36690)/(9-1)= -3694/8 = -461.75  </t>
    </r>
    <r>
      <rPr>
        <i/>
        <sz val="10"/>
        <rFont val="Arial"/>
        <family val="2"/>
      </rPr>
      <t>(downward trend)</t>
    </r>
  </si>
  <si>
    <t>Test the model using periods 10 through 17</t>
  </si>
  <si>
    <t>March: Year-3</t>
  </si>
  <si>
    <t>EX 2.15</t>
  </si>
  <si>
    <r>
      <t>T</t>
    </r>
    <r>
      <rPr>
        <vertAlign val="subscript"/>
        <sz val="10"/>
        <rFont val="Arial"/>
        <family val="2"/>
      </rPr>
      <t>0</t>
    </r>
    <r>
      <rPr>
        <sz val="10"/>
        <rFont val="Arial"/>
        <family val="2"/>
      </rPr>
      <t>=(A</t>
    </r>
    <r>
      <rPr>
        <vertAlign val="subscript"/>
        <sz val="10"/>
        <rFont val="Arial"/>
        <family val="2"/>
      </rPr>
      <t>1</t>
    </r>
    <r>
      <rPr>
        <sz val="10"/>
        <rFont val="Arial"/>
        <family val="2"/>
      </rPr>
      <t>-A</t>
    </r>
    <r>
      <rPr>
        <vertAlign val="subscript"/>
        <sz val="10"/>
        <rFont val="Arial"/>
        <family val="2"/>
      </rPr>
      <t>9</t>
    </r>
    <r>
      <rPr>
        <sz val="10"/>
        <rFont val="Arial"/>
        <family val="2"/>
      </rPr>
      <t>)/(n-1) use first 9 periods to build the model</t>
    </r>
  </si>
  <si>
    <t>EX 2.16</t>
  </si>
  <si>
    <t>a. As in Examle in 2.10 need to calculate daily averages for each month, then enter this information to Excel Template.</t>
  </si>
  <si>
    <t>Octtober</t>
  </si>
  <si>
    <t>CFE</t>
  </si>
  <si>
    <t>MSE</t>
  </si>
  <si>
    <t>MAPE (%)</t>
  </si>
  <si>
    <t>Tracking</t>
  </si>
  <si>
    <t>Signal</t>
  </si>
  <si>
    <t>April [1]</t>
  </si>
  <si>
    <t>May [2]</t>
  </si>
  <si>
    <t>June [3]</t>
  </si>
  <si>
    <t>July [4]</t>
  </si>
  <si>
    <t>August [5]</t>
  </si>
  <si>
    <t>September [6]</t>
  </si>
  <si>
    <t>Octtober [7]</t>
  </si>
  <si>
    <t>November [8]</t>
  </si>
  <si>
    <t>December [9]</t>
  </si>
  <si>
    <t>January [10]</t>
  </si>
  <si>
    <t>February [11]</t>
  </si>
  <si>
    <t>March [12]</t>
  </si>
  <si>
    <t>April [13]</t>
  </si>
  <si>
    <t>May [14]</t>
  </si>
  <si>
    <t>June [15]</t>
  </si>
  <si>
    <t>Y-intercept=2106.938</t>
  </si>
  <si>
    <t>Slope=2.0327</t>
  </si>
  <si>
    <t>c. Development of indices</t>
  </si>
  <si>
    <t>EX 2.17</t>
  </si>
  <si>
    <t>EX 2.18</t>
  </si>
  <si>
    <t>EX 2.19</t>
  </si>
  <si>
    <t>EX 2.20</t>
  </si>
  <si>
    <t>Sum Actual</t>
  </si>
  <si>
    <t>EX 2.21</t>
  </si>
  <si>
    <t>α = .3</t>
  </si>
  <si>
    <t xml:space="preserve">July </t>
  </si>
  <si>
    <t>Sum Σ</t>
  </si>
  <si>
    <t>α = .5</t>
  </si>
  <si>
    <t>EX 2.22</t>
  </si>
  <si>
    <t xml:space="preserve">b. </t>
  </si>
  <si>
    <t>4-MA Tracking</t>
  </si>
  <si>
    <t>6-MA Tracking</t>
  </si>
  <si>
    <t>EX 2.23</t>
  </si>
  <si>
    <t>EX 2.25</t>
  </si>
  <si>
    <t>EX 2.26</t>
  </si>
  <si>
    <t xml:space="preserve">a. </t>
  </si>
  <si>
    <t>EX 2.27</t>
  </si>
  <si>
    <t>Regression Model: Demand = 198.33+18.79*Year</t>
  </si>
  <si>
    <t>EX 2.24</t>
  </si>
  <si>
    <t>End of Chapter Solutions</t>
  </si>
  <si>
    <t>EX 2.28</t>
  </si>
  <si>
    <t>EX 2.29</t>
  </si>
  <si>
    <t>EX 2.30</t>
  </si>
  <si>
    <t>Predictions</t>
  </si>
  <si>
    <t>October naïve prediction</t>
  </si>
  <si>
    <t>October prediction using 4-MA</t>
  </si>
  <si>
    <t>October prediction using 5-MA</t>
  </si>
  <si>
    <t>Naïve prediction for April of next year, assuming seasonality</t>
  </si>
  <si>
    <t>Naïve prediction for February of next year would be 528</t>
  </si>
  <si>
    <t>Naïve prediction for June of next year would be 545</t>
  </si>
  <si>
    <t>MA Prediction (4 periods)</t>
  </si>
  <si>
    <t>Weighted MA Prediction</t>
  </si>
  <si>
    <t>MA Prediction (5 periods)</t>
  </si>
  <si>
    <t>Prediction by 3-MA</t>
  </si>
  <si>
    <t>Prediction by 5-MA</t>
  </si>
  <si>
    <t>Smoothing constant α = 1.0 yields naïve prediction, gives all the emphasis on most recent data.</t>
  </si>
  <si>
    <t>α = 1.0 yields a naïve prediction.</t>
  </si>
  <si>
    <t>a. Predictions for the admissions using linear regression</t>
  </si>
  <si>
    <t>Prediction of period 20 =</t>
  </si>
  <si>
    <t>b. Predict admissions for the periods from the first week of Dec. through the second week of April.</t>
  </si>
  <si>
    <t>Predicted admissions were attained by plugging in the Observation # into x and solving for y</t>
  </si>
  <si>
    <t>The prediction is not a good indicator of actual daily admissions. The R-Square is too low.</t>
  </si>
  <si>
    <t>prediction.</t>
  </si>
  <si>
    <t>The prediction is relatively good indicator of actual daily admissions, with an strong R-square value. 88% of the variability is explained in the regression.</t>
  </si>
  <si>
    <t>Prediction =</t>
  </si>
  <si>
    <t>b. Linear regression prediction results</t>
  </si>
  <si>
    <t>d. Daily adjusted predictionss for April through June</t>
  </si>
  <si>
    <t>Prediction by</t>
  </si>
  <si>
    <t>d. Daily adjusted predictions for April through June</t>
  </si>
  <si>
    <t>Based on  MAD &amp; MAPE scores 6-MA is a better Prediction.</t>
  </si>
  <si>
    <t>Error  (Actual -Prediction)</t>
  </si>
  <si>
    <t>Absolute Error                      lActual-Predictionl</t>
  </si>
  <si>
    <t>Varying the smoothing constant from .3 to .5 does provide a slightly better prediction at .5 as the mean absolute deviation decreases as does the mean absolute percent error (but only marginally).</t>
  </si>
  <si>
    <t>Tracking signal for both predictions are within +-4.00 limits.</t>
  </si>
  <si>
    <t>c. Naïve Prediction and Tracking Signal</t>
  </si>
  <si>
    <t>In this case, it appears that a smoothing constant of 0.6 produces a better Prediction.</t>
  </si>
  <si>
    <t>Chapter 2: Predictive Analytics</t>
  </si>
  <si>
    <t>January prediction</t>
  </si>
  <si>
    <t>January prediction using 3-MA</t>
  </si>
  <si>
    <t>January prediction using 4-MA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</si>
</sst>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.0"/>
    <numFmt numFmtId="166" formatCode="0.000"/>
    <numFmt numFmtId="167" formatCode="0.000000"/>
    <numFmt numFmtId="168" formatCode="dddd"/>
    <numFmt numFmtId="169" formatCode="0.0%"/>
    <numFmt numFmtId="170" formatCode="&quot;$&quot;#,##0"/>
  </numFmts>
  <fonts count="4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 Cyr"/>
      <charset val="204"/>
    </font>
    <font>
      <b/>
      <u/>
      <sz val="10"/>
      <name val="Arial"/>
      <family val="2"/>
      <charset val="204"/>
    </font>
    <font>
      <b/>
      <sz val="10"/>
      <name val="Arial Cyr"/>
      <charset val="204"/>
    </font>
    <font>
      <sz val="10"/>
      <name val="Arial"/>
      <family val="2"/>
    </font>
    <font>
      <b/>
      <sz val="10"/>
      <color indexed="10"/>
      <name val="Arial Cyr"/>
      <charset val="204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8"/>
      <name val="Arial Cyr"/>
      <charset val="204"/>
    </font>
    <font>
      <b/>
      <sz val="10"/>
      <name val="Times New Roman"/>
      <family val="1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Symbol"/>
      <family val="1"/>
      <charset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vertAlign val="subscript"/>
      <sz val="10"/>
      <name val="Arial"/>
      <family val="2"/>
    </font>
    <font>
      <b/>
      <u/>
      <sz val="12"/>
      <name val="Arial"/>
      <family val="2"/>
      <charset val="204"/>
    </font>
    <font>
      <sz val="10"/>
      <name val="Arial Cyr"/>
    </font>
    <font>
      <b/>
      <sz val="10"/>
      <name val="Arial Cyr"/>
    </font>
    <font>
      <b/>
      <vertAlign val="subscript"/>
      <sz val="12"/>
      <name val="Arial"/>
      <family val="2"/>
    </font>
    <font>
      <b/>
      <sz val="10"/>
      <color indexed="10"/>
      <name val="Arial Cyr"/>
    </font>
    <font>
      <sz val="10"/>
      <color indexed="12"/>
      <name val="Arial Cyr"/>
      <charset val="204"/>
    </font>
    <font>
      <sz val="10"/>
      <color indexed="48"/>
      <name val="Arial Cyr"/>
      <charset val="204"/>
    </font>
    <font>
      <sz val="10"/>
      <color indexed="12"/>
      <name val="Arial"/>
      <family val="2"/>
    </font>
    <font>
      <sz val="10"/>
      <color indexed="10"/>
      <name val="Arial Cyr"/>
      <charset val="204"/>
    </font>
    <font>
      <b/>
      <vertAlign val="subscript"/>
      <sz val="10"/>
      <name val="Arial Cyr"/>
      <charset val="204"/>
    </font>
    <font>
      <b/>
      <sz val="10"/>
      <name val="Symbol"/>
      <family val="1"/>
      <charset val="2"/>
    </font>
    <font>
      <b/>
      <vertAlign val="superscript"/>
      <sz val="10"/>
      <name val="Arial Cyr"/>
      <charset val="204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Times New Roman"/>
      <family val="1"/>
    </font>
    <font>
      <b/>
      <u/>
      <sz val="10"/>
      <name val="Arial"/>
      <family val="2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0"/>
      <color rgb="FFFF0000"/>
      <name val="Symbol"/>
      <family val="1"/>
      <charset val="2"/>
    </font>
    <font>
      <u/>
      <sz val="11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Arial Cy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95B3D7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4" fillId="0" borderId="0"/>
    <xf numFmtId="0" fontId="7" fillId="0" borderId="0"/>
    <xf numFmtId="0" fontId="4" fillId="0" borderId="0"/>
    <xf numFmtId="0" fontId="13" fillId="0" borderId="0"/>
    <xf numFmtId="0" fontId="4" fillId="0" borderId="0"/>
    <xf numFmtId="0" fontId="13" fillId="0" borderId="0"/>
    <xf numFmtId="43" fontId="16" fillId="0" borderId="0" applyFon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7" fillId="0" borderId="0"/>
    <xf numFmtId="9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22" fillId="0" borderId="0" applyFont="0" applyAlignment="0" applyProtection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22" fillId="0" borderId="0"/>
  </cellStyleXfs>
  <cellXfs count="7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0" xfId="0" applyFill="1" applyBorder="1"/>
    <xf numFmtId="0" fontId="4" fillId="0" borderId="0" xfId="1" applyFill="1" applyBorder="1"/>
    <xf numFmtId="0" fontId="6" fillId="0" borderId="0" xfId="1" applyFont="1" applyFill="1" applyBorder="1" applyProtection="1">
      <protection locked="0"/>
    </xf>
    <xf numFmtId="0" fontId="6" fillId="0" borderId="0" xfId="1" applyFont="1" applyFill="1" applyBorder="1"/>
    <xf numFmtId="0" fontId="6" fillId="0" borderId="0" xfId="1" applyNumberFormat="1" applyFont="1" applyFill="1" applyBorder="1" applyProtection="1">
      <protection hidden="1"/>
    </xf>
    <xf numFmtId="0" fontId="6" fillId="0" borderId="0" xfId="1" applyFont="1" applyFill="1" applyBorder="1" applyAlignment="1">
      <alignment horizontal="right"/>
    </xf>
    <xf numFmtId="0" fontId="4" fillId="0" borderId="0" xfId="1" applyFill="1" applyBorder="1" applyProtection="1"/>
    <xf numFmtId="0" fontId="6" fillId="0" borderId="0" xfId="1" applyFont="1" applyFill="1" applyBorder="1" applyProtection="1">
      <protection hidden="1"/>
    </xf>
    <xf numFmtId="0" fontId="6" fillId="0" borderId="0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 wrapText="1"/>
    </xf>
    <xf numFmtId="0" fontId="7" fillId="0" borderId="0" xfId="2" applyFill="1" applyBorder="1"/>
    <xf numFmtId="0" fontId="8" fillId="0" borderId="0" xfId="1" applyFont="1" applyFill="1" applyBorder="1" applyProtection="1">
      <protection hidden="1"/>
    </xf>
    <xf numFmtId="0" fontId="2" fillId="0" borderId="0" xfId="1" applyNumberFormat="1" applyFont="1" applyFill="1" applyBorder="1" applyAlignment="1" applyProtection="1">
      <alignment horizontal="center"/>
      <protection locked="0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2" fontId="2" fillId="0" borderId="0" xfId="0" applyNumberFormat="1" applyFont="1" applyFill="1"/>
    <xf numFmtId="0" fontId="0" fillId="0" borderId="0" xfId="0" applyAlignment="1">
      <alignment horizontal="center"/>
    </xf>
    <xf numFmtId="0" fontId="2" fillId="0" borderId="0" xfId="0" applyFont="1" applyFill="1" applyAlignment="1"/>
    <xf numFmtId="0" fontId="7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2" fontId="7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7" fillId="0" borderId="0" xfId="0" applyNumberFormat="1" applyFont="1" applyFill="1" applyAlignment="1">
      <alignment horizontal="center"/>
    </xf>
    <xf numFmtId="0" fontId="2" fillId="0" borderId="0" xfId="0" applyFont="1" applyFill="1"/>
    <xf numFmtId="0" fontId="0" fillId="0" borderId="0" xfId="0" applyAlignment="1">
      <alignment wrapText="1"/>
    </xf>
    <xf numFmtId="2" fontId="2" fillId="0" borderId="0" xfId="0" applyNumberFormat="1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3" applyFill="1" applyBorder="1"/>
    <xf numFmtId="0" fontId="6" fillId="0" borderId="0" xfId="3" applyFont="1" applyFill="1" applyBorder="1" applyProtection="1">
      <protection locked="0"/>
    </xf>
    <xf numFmtId="0" fontId="11" fillId="0" borderId="0" xfId="3" applyFont="1" applyFill="1" applyBorder="1" applyAlignment="1">
      <alignment horizontal="center" vertical="top"/>
    </xf>
    <xf numFmtId="0" fontId="12" fillId="0" borderId="0" xfId="3" applyFont="1" applyFill="1" applyBorder="1" applyAlignment="1">
      <alignment horizontal="center"/>
    </xf>
    <xf numFmtId="0" fontId="6" fillId="0" borderId="0" xfId="3" applyFont="1" applyFill="1" applyBorder="1" applyAlignment="1" applyProtection="1">
      <alignment horizontal="center"/>
      <protection locked="0"/>
    </xf>
    <xf numFmtId="0" fontId="6" fillId="0" borderId="0" xfId="3" applyFont="1" applyFill="1" applyBorder="1"/>
    <xf numFmtId="0" fontId="6" fillId="0" borderId="0" xfId="3" applyNumberFormat="1" applyFont="1" applyFill="1" applyBorder="1" applyProtection="1">
      <protection hidden="1"/>
    </xf>
    <xf numFmtId="0" fontId="4" fillId="0" borderId="0" xfId="3" applyFill="1" applyBorder="1" applyProtection="1"/>
    <xf numFmtId="0" fontId="6" fillId="0" borderId="0" xfId="3" applyFont="1" applyFill="1" applyBorder="1" applyProtection="1">
      <protection hidden="1"/>
    </xf>
    <xf numFmtId="0" fontId="6" fillId="0" borderId="0" xfId="3" applyFont="1" applyFill="1" applyBorder="1" applyAlignment="1">
      <alignment horizontal="center"/>
    </xf>
    <xf numFmtId="0" fontId="6" fillId="0" borderId="0" xfId="3" applyFont="1" applyFill="1" applyBorder="1" applyAlignment="1">
      <alignment horizontal="center" wrapText="1"/>
    </xf>
    <xf numFmtId="0" fontId="13" fillId="0" borderId="0" xfId="4" applyFill="1" applyBorder="1" applyAlignment="1">
      <alignment horizontal="center"/>
    </xf>
    <xf numFmtId="0" fontId="8" fillId="0" borderId="0" xfId="3" applyFont="1" applyFill="1" applyBorder="1" applyProtection="1">
      <protection hidden="1"/>
    </xf>
    <xf numFmtId="0" fontId="7" fillId="0" borderId="0" xfId="4" applyFont="1" applyFill="1" applyBorder="1" applyAlignment="1">
      <alignment horizontal="center"/>
    </xf>
    <xf numFmtId="0" fontId="2" fillId="0" borderId="0" xfId="3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Fill="1" applyBorder="1"/>
    <xf numFmtId="165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applyBorder="1"/>
    <xf numFmtId="165" fontId="0" fillId="0" borderId="0" xfId="0" applyNumberFormat="1" applyFill="1" applyBorder="1" applyAlignment="1">
      <alignment horizontal="left"/>
    </xf>
    <xf numFmtId="0" fontId="4" fillId="0" borderId="0" xfId="5" applyFill="1" applyBorder="1"/>
    <xf numFmtId="0" fontId="6" fillId="0" borderId="0" xfId="5" applyFont="1" applyFill="1" applyBorder="1" applyProtection="1">
      <protection locked="0"/>
    </xf>
    <xf numFmtId="0" fontId="6" fillId="0" borderId="0" xfId="5" applyFont="1" applyFill="1" applyBorder="1"/>
    <xf numFmtId="0" fontId="6" fillId="0" borderId="0" xfId="5" applyNumberFormat="1" applyFont="1" applyFill="1" applyBorder="1" applyProtection="1">
      <protection hidden="1"/>
    </xf>
    <xf numFmtId="0" fontId="6" fillId="0" borderId="0" xfId="5" applyFont="1" applyFill="1" applyBorder="1" applyAlignment="1">
      <alignment horizontal="right"/>
    </xf>
    <xf numFmtId="0" fontId="4" fillId="0" borderId="0" xfId="5" applyFill="1" applyBorder="1" applyProtection="1"/>
    <xf numFmtId="0" fontId="6" fillId="0" borderId="0" xfId="5" applyFont="1" applyFill="1" applyBorder="1" applyProtection="1">
      <protection hidden="1"/>
    </xf>
    <xf numFmtId="0" fontId="6" fillId="0" borderId="0" xfId="5" applyFont="1" applyFill="1" applyBorder="1" applyAlignment="1">
      <alignment horizontal="center"/>
    </xf>
    <xf numFmtId="0" fontId="6" fillId="0" borderId="0" xfId="5" applyFont="1" applyFill="1" applyBorder="1" applyAlignment="1">
      <alignment horizontal="center" wrapText="1"/>
    </xf>
    <xf numFmtId="3" fontId="13" fillId="0" borderId="0" xfId="6" applyNumberFormat="1" applyFill="1" applyBorder="1" applyAlignment="1">
      <alignment horizontal="left"/>
    </xf>
    <xf numFmtId="0" fontId="8" fillId="0" borderId="0" xfId="5" applyFont="1" applyFill="1" applyBorder="1" applyProtection="1">
      <protection hidden="1"/>
    </xf>
    <xf numFmtId="0" fontId="2" fillId="0" borderId="0" xfId="5" applyNumberFormat="1" applyFont="1" applyFill="1" applyBorder="1" applyAlignment="1" applyProtection="1">
      <alignment horizontal="center"/>
      <protection locked="0"/>
    </xf>
    <xf numFmtId="0" fontId="15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5" fillId="0" borderId="0" xfId="5" applyFont="1" applyFill="1" applyBorder="1" applyAlignment="1">
      <alignment horizontal="center"/>
    </xf>
    <xf numFmtId="0" fontId="17" fillId="0" borderId="0" xfId="0" applyFont="1" applyFill="1"/>
    <xf numFmtId="0" fontId="3" fillId="0" borderId="0" xfId="0" applyFont="1"/>
    <xf numFmtId="11" fontId="0" fillId="0" borderId="0" xfId="0" applyNumberFormat="1" applyFill="1"/>
    <xf numFmtId="16" fontId="0" fillId="0" borderId="0" xfId="0" applyNumberFormat="1"/>
    <xf numFmtId="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6" fillId="0" borderId="0" xfId="8" applyFont="1" applyFill="1" applyBorder="1" applyProtection="1">
      <protection hidden="1"/>
    </xf>
    <xf numFmtId="166" fontId="6" fillId="0" borderId="0" xfId="8" applyNumberFormat="1" applyFont="1" applyFill="1" applyBorder="1" applyAlignment="1" applyProtection="1">
      <alignment horizontal="center"/>
      <protection hidden="1"/>
    </xf>
    <xf numFmtId="0" fontId="4" fillId="0" borderId="0" xfId="8" applyFill="1" applyBorder="1"/>
    <xf numFmtId="0" fontId="6" fillId="0" borderId="0" xfId="8" applyFont="1" applyFill="1" applyBorder="1"/>
    <xf numFmtId="0" fontId="6" fillId="0" borderId="0" xfId="8" applyNumberFormat="1" applyFont="1" applyFill="1" applyBorder="1" applyProtection="1">
      <protection hidden="1"/>
    </xf>
    <xf numFmtId="0" fontId="6" fillId="0" borderId="0" xfId="8" applyFont="1" applyFill="1" applyBorder="1" applyAlignment="1">
      <alignment horizontal="right"/>
    </xf>
    <xf numFmtId="0" fontId="6" fillId="0" borderId="0" xfId="8" applyFont="1" applyFill="1" applyBorder="1" applyAlignment="1" applyProtection="1">
      <alignment horizontal="right"/>
      <protection locked="0"/>
    </xf>
    <xf numFmtId="166" fontId="8" fillId="0" borderId="0" xfId="8" applyNumberFormat="1" applyFont="1" applyFill="1" applyBorder="1" applyAlignment="1" applyProtection="1">
      <alignment horizontal="center"/>
      <protection hidden="1"/>
    </xf>
    <xf numFmtId="0" fontId="6" fillId="0" borderId="0" xfId="8" applyFont="1" applyFill="1" applyBorder="1" applyAlignment="1">
      <alignment horizontal="center"/>
    </xf>
    <xf numFmtId="0" fontId="6" fillId="0" borderId="0" xfId="8" applyFont="1" applyFill="1" applyBorder="1" applyAlignment="1">
      <alignment horizontal="center" wrapText="1"/>
    </xf>
    <xf numFmtId="0" fontId="7" fillId="0" borderId="0" xfId="9" applyFill="1" applyBorder="1" applyAlignment="1">
      <alignment horizontal="center"/>
    </xf>
    <xf numFmtId="0" fontId="8" fillId="0" borderId="0" xfId="8" applyFont="1" applyFill="1" applyBorder="1" applyProtection="1">
      <protection hidden="1"/>
    </xf>
    <xf numFmtId="0" fontId="8" fillId="0" borderId="0" xfId="8" applyFont="1" applyFill="1" applyBorder="1"/>
    <xf numFmtId="1" fontId="7" fillId="0" borderId="0" xfId="9" applyNumberFormat="1" applyFill="1" applyBorder="1" applyAlignment="1">
      <alignment horizontal="center"/>
    </xf>
    <xf numFmtId="0" fontId="2" fillId="0" borderId="0" xfId="8" applyNumberFormat="1" applyFont="1" applyFill="1" applyBorder="1" applyAlignment="1" applyProtection="1">
      <alignment horizontal="center"/>
      <protection locked="0"/>
    </xf>
    <xf numFmtId="0" fontId="19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Continuous"/>
    </xf>
    <xf numFmtId="166" fontId="0" fillId="0" borderId="0" xfId="0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" fontId="1" fillId="0" borderId="0" xfId="0" applyNumberFormat="1" applyFont="1"/>
    <xf numFmtId="0" fontId="9" fillId="0" borderId="0" xfId="0" applyFont="1" applyFill="1" applyBorder="1" applyAlignment="1">
      <alignment horizontal="center" vertical="center" wrapText="1"/>
    </xf>
    <xf numFmtId="3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4" fontId="0" fillId="0" borderId="0" xfId="7" applyNumberFormat="1" applyFont="1" applyFill="1" applyAlignment="1">
      <alignment horizontal="center"/>
    </xf>
    <xf numFmtId="0" fontId="0" fillId="0" borderId="0" xfId="0" quotePrefix="1" applyAlignment="1">
      <alignment horizontal="center"/>
    </xf>
    <xf numFmtId="0" fontId="4" fillId="0" borderId="0" xfId="10" applyFill="1" applyBorder="1"/>
    <xf numFmtId="0" fontId="6" fillId="0" borderId="0" xfId="10" applyFont="1" applyFill="1" applyBorder="1" applyAlignment="1">
      <alignment horizontal="center"/>
    </xf>
    <xf numFmtId="0" fontId="6" fillId="0" borderId="0" xfId="10" applyFont="1" applyFill="1" applyBorder="1" applyAlignment="1">
      <alignment horizontal="right"/>
    </xf>
    <xf numFmtId="0" fontId="6" fillId="0" borderId="0" xfId="10" applyFont="1" applyFill="1" applyBorder="1" applyAlignment="1">
      <alignment horizontal="center" wrapText="1"/>
    </xf>
    <xf numFmtId="0" fontId="7" fillId="0" borderId="0" xfId="11" applyFill="1" applyBorder="1"/>
    <xf numFmtId="0" fontId="8" fillId="0" borderId="0" xfId="10" applyFont="1" applyFill="1" applyBorder="1" applyProtection="1">
      <protection hidden="1"/>
    </xf>
    <xf numFmtId="0" fontId="2" fillId="0" borderId="0" xfId="10" applyNumberFormat="1" applyFont="1" applyFill="1" applyBorder="1" applyAlignment="1" applyProtection="1">
      <alignment horizontal="center"/>
      <protection locked="0"/>
    </xf>
    <xf numFmtId="0" fontId="21" fillId="0" borderId="0" xfId="10" applyFont="1" applyFill="1" applyBorder="1" applyAlignment="1">
      <alignment horizontal="center"/>
    </xf>
    <xf numFmtId="0" fontId="0" fillId="0" borderId="0" xfId="0" applyAlignment="1"/>
    <xf numFmtId="0" fontId="4" fillId="0" borderId="0" xfId="10" applyFill="1" applyBorder="1" applyAlignment="1"/>
    <xf numFmtId="0" fontId="6" fillId="0" borderId="0" xfId="10" applyFont="1" applyFill="1" applyBorder="1" applyAlignment="1"/>
    <xf numFmtId="0" fontId="6" fillId="0" borderId="0" xfId="10" applyNumberFormat="1" applyFont="1" applyFill="1" applyBorder="1" applyAlignment="1" applyProtection="1">
      <protection hidden="1"/>
    </xf>
    <xf numFmtId="0" fontId="6" fillId="0" borderId="0" xfId="10" applyFont="1" applyFill="1" applyBorder="1" applyAlignment="1" applyProtection="1">
      <protection hidden="1"/>
    </xf>
    <xf numFmtId="0" fontId="7" fillId="0" borderId="0" xfId="11" applyFill="1" applyBorder="1" applyAlignment="1"/>
    <xf numFmtId="0" fontId="8" fillId="0" borderId="0" xfId="10" applyFont="1" applyFill="1" applyBorder="1" applyAlignment="1" applyProtection="1">
      <protection hidden="1"/>
    </xf>
    <xf numFmtId="0" fontId="22" fillId="0" borderId="0" xfId="10" applyFont="1" applyFill="1" applyBorder="1" applyAlignment="1">
      <alignment horizontal="center"/>
    </xf>
    <xf numFmtId="164" fontId="22" fillId="0" borderId="0" xfId="10" applyNumberFormat="1" applyFont="1" applyFill="1" applyBorder="1" applyAlignment="1">
      <alignment horizontal="center"/>
    </xf>
    <xf numFmtId="0" fontId="0" fillId="0" borderId="0" xfId="0" applyNumberFormat="1"/>
    <xf numFmtId="2" fontId="4" fillId="0" borderId="0" xfId="10" applyNumberFormat="1" applyFill="1" applyBorder="1" applyAlignment="1">
      <alignment horizontal="center"/>
    </xf>
    <xf numFmtId="0" fontId="17" fillId="0" borderId="0" xfId="10" applyFont="1" applyFill="1" applyBorder="1" applyAlignment="1">
      <alignment horizontal="center"/>
    </xf>
    <xf numFmtId="2" fontId="4" fillId="0" borderId="0" xfId="10" applyNumberFormat="1" applyFill="1" applyBorder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2" fontId="26" fillId="0" borderId="0" xfId="0" applyNumberFormat="1" applyFont="1"/>
    <xf numFmtId="167" fontId="27" fillId="0" borderId="0" xfId="0" applyNumberFormat="1" applyFont="1" applyAlignment="1">
      <alignment horizontal="center"/>
    </xf>
    <xf numFmtId="0" fontId="28" fillId="0" borderId="0" xfId="0" applyFont="1"/>
    <xf numFmtId="0" fontId="25" fillId="0" borderId="0" xfId="0" applyFont="1"/>
    <xf numFmtId="0" fontId="29" fillId="0" borderId="0" xfId="0" applyFont="1"/>
    <xf numFmtId="166" fontId="0" fillId="0" borderId="0" xfId="0" applyNumberFormat="1"/>
    <xf numFmtId="168" fontId="1" fillId="2" borderId="3" xfId="0" applyNumberFormat="1" applyFont="1" applyFill="1" applyBorder="1"/>
    <xf numFmtId="0" fontId="6" fillId="0" borderId="0" xfId="5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/>
    </xf>
    <xf numFmtId="0" fontId="5" fillId="0" borderId="0" xfId="8" applyFont="1" applyFill="1" applyBorder="1" applyAlignment="1">
      <alignment horizontal="center"/>
    </xf>
    <xf numFmtId="0" fontId="6" fillId="0" borderId="0" xfId="8" applyFont="1" applyFill="1" applyBorder="1" applyAlignment="1">
      <alignment horizontal="right"/>
    </xf>
    <xf numFmtId="0" fontId="6" fillId="0" borderId="0" xfId="8" applyFont="1" applyFill="1" applyBorder="1" applyAlignment="1">
      <alignment horizontal="center"/>
    </xf>
    <xf numFmtId="0" fontId="0" fillId="0" borderId="0" xfId="0" applyAlignment="1"/>
    <xf numFmtId="2" fontId="0" fillId="0" borderId="0" xfId="0" applyNumberFormat="1" applyFill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1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" fontId="0" fillId="0" borderId="0" xfId="0" applyNumberFormat="1"/>
    <xf numFmtId="0" fontId="6" fillId="4" borderId="4" xfId="0" applyFont="1" applyFill="1" applyBorder="1" applyProtection="1">
      <protection locked="0"/>
    </xf>
    <xf numFmtId="0" fontId="6" fillId="3" borderId="5" xfId="0" applyNumberFormat="1" applyFont="1" applyFill="1" applyBorder="1" applyProtection="1">
      <protection hidden="1"/>
    </xf>
    <xf numFmtId="0" fontId="6" fillId="3" borderId="6" xfId="0" applyFont="1" applyFill="1" applyBorder="1" applyProtection="1">
      <protection hidden="1"/>
    </xf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/>
    </xf>
    <xf numFmtId="0" fontId="2" fillId="4" borderId="8" xfId="0" applyNumberFormat="1" applyFont="1" applyFill="1" applyBorder="1" applyAlignment="1" applyProtection="1">
      <alignment horizontal="center"/>
      <protection locked="0"/>
    </xf>
    <xf numFmtId="0" fontId="8" fillId="3" borderId="9" xfId="0" applyFont="1" applyFill="1" applyBorder="1" applyProtection="1">
      <protection hidden="1"/>
    </xf>
    <xf numFmtId="0" fontId="8" fillId="3" borderId="10" xfId="0" applyFont="1" applyFill="1" applyBorder="1" applyProtection="1">
      <protection hidden="1"/>
    </xf>
    <xf numFmtId="0" fontId="8" fillId="3" borderId="11" xfId="0" applyFont="1" applyFill="1" applyBorder="1" applyProtection="1">
      <protection hidden="1"/>
    </xf>
    <xf numFmtId="0" fontId="6" fillId="3" borderId="8" xfId="0" applyFont="1" applyFill="1" applyBorder="1" applyAlignment="1">
      <alignment horizontal="center"/>
    </xf>
    <xf numFmtId="0" fontId="8" fillId="3" borderId="12" xfId="0" applyFont="1" applyFill="1" applyBorder="1" applyProtection="1">
      <protection hidden="1"/>
    </xf>
    <xf numFmtId="0" fontId="8" fillId="3" borderId="13" xfId="0" applyFont="1" applyFill="1" applyBorder="1" applyProtection="1">
      <protection hidden="1"/>
    </xf>
    <xf numFmtId="0" fontId="8" fillId="3" borderId="14" xfId="0" applyFont="1" applyFill="1" applyBorder="1" applyProtection="1">
      <protection hidden="1"/>
    </xf>
    <xf numFmtId="0" fontId="0" fillId="3" borderId="17" xfId="0" applyFill="1" applyBorder="1"/>
    <xf numFmtId="0" fontId="0" fillId="3" borderId="18" xfId="0" applyFill="1" applyBorder="1"/>
    <xf numFmtId="0" fontId="0" fillId="3" borderId="0" xfId="0" applyFill="1" applyBorder="1"/>
    <xf numFmtId="0" fontId="0" fillId="3" borderId="19" xfId="0" applyFill="1" applyBorder="1"/>
    <xf numFmtId="0" fontId="6" fillId="3" borderId="18" xfId="0" applyFont="1" applyFill="1" applyBorder="1"/>
    <xf numFmtId="0" fontId="6" fillId="3" borderId="0" xfId="0" applyFont="1" applyFill="1" applyBorder="1" applyAlignment="1">
      <alignment horizontal="right"/>
    </xf>
    <xf numFmtId="0" fontId="0" fillId="3" borderId="0" xfId="0" applyFill="1" applyBorder="1" applyProtection="1"/>
    <xf numFmtId="0" fontId="6" fillId="3" borderId="20" xfId="0" applyFont="1" applyFill="1" applyBorder="1" applyAlignment="1">
      <alignment horizontal="center"/>
    </xf>
    <xf numFmtId="0" fontId="2" fillId="4" borderId="20" xfId="0" applyNumberFormat="1" applyFont="1" applyFill="1" applyBorder="1" applyAlignment="1" applyProtection="1">
      <alignment horizontal="center"/>
      <protection locked="0"/>
    </xf>
    <xf numFmtId="0" fontId="8" fillId="3" borderId="21" xfId="0" applyFont="1" applyFill="1" applyBorder="1" applyProtection="1">
      <protection hidden="1"/>
    </xf>
    <xf numFmtId="0" fontId="8" fillId="3" borderId="22" xfId="0" applyFont="1" applyFill="1" applyBorder="1" applyProtection="1">
      <protection hidden="1"/>
    </xf>
    <xf numFmtId="0" fontId="8" fillId="3" borderId="23" xfId="0" applyFont="1" applyFill="1" applyBorder="1" applyProtection="1">
      <protection hidden="1"/>
    </xf>
    <xf numFmtId="0" fontId="12" fillId="3" borderId="9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6" fillId="4" borderId="24" xfId="0" applyFont="1" applyFill="1" applyBorder="1" applyAlignment="1" applyProtection="1">
      <alignment horizontal="center"/>
      <protection locked="0"/>
    </xf>
    <xf numFmtId="0" fontId="6" fillId="4" borderId="25" xfId="0" applyFont="1" applyFill="1" applyBorder="1" applyAlignment="1" applyProtection="1">
      <alignment horizontal="center"/>
      <protection locked="0"/>
    </xf>
    <xf numFmtId="0" fontId="6" fillId="4" borderId="25" xfId="0" applyFont="1" applyFill="1" applyBorder="1" applyProtection="1">
      <protection locked="0"/>
    </xf>
    <xf numFmtId="0" fontId="6" fillId="4" borderId="26" xfId="0" applyFont="1" applyFill="1" applyBorder="1" applyProtection="1">
      <protection locked="0"/>
    </xf>
    <xf numFmtId="0" fontId="8" fillId="3" borderId="27" xfId="0" applyFont="1" applyFill="1" applyBorder="1" applyProtection="1">
      <protection hidden="1"/>
    </xf>
    <xf numFmtId="0" fontId="8" fillId="3" borderId="28" xfId="0" applyFont="1" applyFill="1" applyBorder="1" applyProtection="1">
      <protection hidden="1"/>
    </xf>
    <xf numFmtId="0" fontId="11" fillId="3" borderId="18" xfId="0" applyFont="1" applyFill="1" applyBorder="1" applyAlignment="1">
      <alignment horizontal="center" vertical="top"/>
    </xf>
    <xf numFmtId="0" fontId="11" fillId="3" borderId="0" xfId="0" applyFont="1" applyFill="1" applyBorder="1" applyAlignment="1">
      <alignment horizontal="center" vertical="top"/>
    </xf>
    <xf numFmtId="0" fontId="8" fillId="3" borderId="29" xfId="0" applyFont="1" applyFill="1" applyBorder="1" applyProtection="1">
      <protection hidden="1"/>
    </xf>
    <xf numFmtId="0" fontId="0" fillId="0" borderId="0" xfId="0" applyAlignment="1">
      <alignment horizontal="center"/>
    </xf>
    <xf numFmtId="0" fontId="2" fillId="4" borderId="7" xfId="0" applyNumberFormat="1" applyFont="1" applyFill="1" applyBorder="1" applyAlignment="1" applyProtection="1">
      <alignment horizontal="center"/>
      <protection locked="0"/>
    </xf>
    <xf numFmtId="0" fontId="31" fillId="0" borderId="0" xfId="0" applyFont="1" applyAlignment="1">
      <alignment horizontal="center"/>
    </xf>
    <xf numFmtId="0" fontId="4" fillId="0" borderId="0" xfId="5" applyFill="1" applyBorder="1" applyAlignment="1"/>
    <xf numFmtId="0" fontId="6" fillId="0" borderId="0" xfId="5" applyFont="1" applyFill="1" applyBorder="1" applyAlignment="1"/>
    <xf numFmtId="0" fontId="6" fillId="0" borderId="0" xfId="5" applyNumberFormat="1" applyFont="1" applyFill="1" applyBorder="1" applyAlignment="1" applyProtection="1">
      <protection hidden="1"/>
    </xf>
    <xf numFmtId="0" fontId="6" fillId="0" borderId="0" xfId="5" applyFont="1" applyFill="1" applyBorder="1" applyAlignment="1" applyProtection="1">
      <protection hidden="1"/>
    </xf>
    <xf numFmtId="0" fontId="6" fillId="3" borderId="4" xfId="0" applyFont="1" applyFill="1" applyBorder="1" applyProtection="1">
      <protection hidden="1"/>
    </xf>
    <xf numFmtId="166" fontId="6" fillId="3" borderId="5" xfId="0" applyNumberFormat="1" applyFont="1" applyFill="1" applyBorder="1" applyAlignment="1" applyProtection="1">
      <alignment horizontal="center"/>
      <protection hidden="1"/>
    </xf>
    <xf numFmtId="166" fontId="6" fillId="3" borderId="6" xfId="0" applyNumberFormat="1" applyFont="1" applyFill="1" applyBorder="1" applyAlignment="1" applyProtection="1">
      <alignment horizontal="center"/>
      <protection hidden="1"/>
    </xf>
    <xf numFmtId="0" fontId="6" fillId="3" borderId="0" xfId="0" applyFont="1" applyFill="1" applyBorder="1" applyProtection="1">
      <protection hidden="1"/>
    </xf>
    <xf numFmtId="166" fontId="6" fillId="3" borderId="0" xfId="0" applyNumberFormat="1" applyFont="1" applyFill="1" applyBorder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right"/>
      <protection locked="0"/>
    </xf>
    <xf numFmtId="166" fontId="8" fillId="3" borderId="4" xfId="0" applyNumberFormat="1" applyFont="1" applyFill="1" applyBorder="1" applyAlignment="1" applyProtection="1">
      <alignment horizontal="center"/>
      <protection hidden="1"/>
    </xf>
    <xf numFmtId="0" fontId="8" fillId="3" borderId="11" xfId="0" applyFont="1" applyFill="1" applyBorder="1"/>
    <xf numFmtId="0" fontId="8" fillId="3" borderId="14" xfId="0" applyFont="1" applyFill="1" applyBorder="1"/>
    <xf numFmtId="0" fontId="4" fillId="0" borderId="0" xfId="8" applyFill="1" applyBorder="1" applyAlignment="1"/>
    <xf numFmtId="0" fontId="6" fillId="0" borderId="0" xfId="8" applyFont="1" applyFill="1" applyBorder="1" applyAlignment="1"/>
    <xf numFmtId="0" fontId="6" fillId="3" borderId="0" xfId="0" applyFont="1" applyFill="1" applyBorder="1" applyAlignment="1">
      <alignment horizontal="right"/>
    </xf>
    <xf numFmtId="0" fontId="8" fillId="3" borderId="23" xfId="0" applyFont="1" applyFill="1" applyBorder="1"/>
    <xf numFmtId="166" fontId="1" fillId="0" borderId="0" xfId="0" applyNumberFormat="1" applyFont="1" applyFill="1" applyAlignment="1">
      <alignment horizontal="center"/>
    </xf>
    <xf numFmtId="167" fontId="1" fillId="0" borderId="0" xfId="0" applyNumberFormat="1" applyFont="1" applyFill="1" applyAlignment="1">
      <alignment horizontal="left"/>
    </xf>
    <xf numFmtId="0" fontId="0" fillId="3" borderId="30" xfId="0" applyFill="1" applyBorder="1"/>
    <xf numFmtId="0" fontId="0" fillId="3" borderId="2" xfId="0" applyFill="1" applyBorder="1"/>
    <xf numFmtId="0" fontId="0" fillId="3" borderId="31" xfId="0" applyFill="1" applyBorder="1"/>
    <xf numFmtId="0" fontId="9" fillId="0" borderId="0" xfId="0" applyFont="1" applyAlignment="1">
      <alignment horizontal="center" vertical="center"/>
    </xf>
    <xf numFmtId="0" fontId="0" fillId="3" borderId="0" xfId="0" applyFill="1"/>
    <xf numFmtId="0" fontId="6" fillId="3" borderId="0" xfId="0" applyFont="1" applyFill="1"/>
    <xf numFmtId="0" fontId="6" fillId="3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23" fillId="0" borderId="0" xfId="0" applyFont="1" applyFill="1"/>
    <xf numFmtId="164" fontId="4" fillId="0" borderId="0" xfId="0" applyNumberFormat="1" applyFont="1" applyFill="1"/>
    <xf numFmtId="168" fontId="0" fillId="2" borderId="3" xfId="0" applyNumberFormat="1" applyFont="1" applyFill="1" applyBorder="1"/>
    <xf numFmtId="0" fontId="10" fillId="0" borderId="0" xfId="0" applyFont="1" applyBorder="1" applyAlignment="1">
      <alignment horizontal="center" vertical="center"/>
    </xf>
    <xf numFmtId="0" fontId="1" fillId="0" borderId="0" xfId="0" applyFont="1" applyBorder="1"/>
    <xf numFmtId="165" fontId="7" fillId="0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16" fontId="9" fillId="0" borderId="0" xfId="0" applyNumberFormat="1" applyFont="1" applyBorder="1" applyAlignment="1">
      <alignment horizontal="center" vertical="center"/>
    </xf>
    <xf numFmtId="0" fontId="1" fillId="0" borderId="0" xfId="0" applyFont="1" applyFill="1" applyAlignment="1"/>
    <xf numFmtId="165" fontId="0" fillId="0" borderId="0" xfId="0" applyNumberFormat="1" applyFill="1" applyAlignment="1"/>
    <xf numFmtId="0" fontId="0" fillId="0" borderId="0" xfId="0" applyFill="1" applyAlignment="1"/>
    <xf numFmtId="164" fontId="0" fillId="0" borderId="0" xfId="0" applyNumberFormat="1" applyFill="1" applyAlignment="1"/>
    <xf numFmtId="2" fontId="0" fillId="0" borderId="0" xfId="0" applyNumberFormat="1" applyFill="1" applyAlignment="1"/>
    <xf numFmtId="10" fontId="0" fillId="0" borderId="0" xfId="12" applyNumberFormat="1" applyFont="1" applyFill="1" applyAlignment="1"/>
    <xf numFmtId="0" fontId="0" fillId="0" borderId="0" xfId="0" applyFill="1" applyAlignment="1">
      <alignment wrapText="1"/>
    </xf>
    <xf numFmtId="0" fontId="33" fillId="0" borderId="0" xfId="0" applyFont="1"/>
    <xf numFmtId="0" fontId="10" fillId="5" borderId="35" xfId="0" applyFont="1" applyFill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1" fillId="0" borderId="0" xfId="0" applyFont="1" applyFill="1"/>
    <xf numFmtId="0" fontId="3" fillId="0" borderId="0" xfId="0" applyFont="1" applyAlignment="1">
      <alignment horizontal="center" wrapText="1"/>
    </xf>
    <xf numFmtId="164" fontId="9" fillId="0" borderId="0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 applyProtection="1">
      <alignment horizontal="right"/>
      <protection locked="0"/>
    </xf>
    <xf numFmtId="166" fontId="8" fillId="0" borderId="0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6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 applyProtection="1">
      <protection hidden="1"/>
    </xf>
    <xf numFmtId="0" fontId="8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9" fillId="0" borderId="0" xfId="0" applyNumberFormat="1" applyFont="1" applyBorder="1" applyAlignment="1">
      <alignment horizontal="center" vertical="center"/>
    </xf>
    <xf numFmtId="0" fontId="6" fillId="3" borderId="1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 vertical="top"/>
    </xf>
    <xf numFmtId="0" fontId="11" fillId="3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6" fillId="3" borderId="0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1" fontId="7" fillId="0" borderId="0" xfId="13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6" fillId="4" borderId="4" xfId="0" applyFont="1" applyFill="1" applyBorder="1" applyAlignment="1" applyProtection="1">
      <alignment horizontal="center"/>
      <protection locked="0"/>
    </xf>
    <xf numFmtId="0" fontId="6" fillId="3" borderId="0" xfId="0" applyNumberFormat="1" applyFont="1" applyFill="1" applyBorder="1" applyProtection="1">
      <protection hidden="1"/>
    </xf>
    <xf numFmtId="2" fontId="22" fillId="0" borderId="0" xfId="10" applyNumberFormat="1" applyFont="1" applyFill="1" applyBorder="1" applyAlignment="1">
      <alignment horizontal="center"/>
    </xf>
    <xf numFmtId="0" fontId="6" fillId="0" borderId="0" xfId="5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Fill="1"/>
    <xf numFmtId="0" fontId="37" fillId="0" borderId="0" xfId="14" applyFont="1"/>
    <xf numFmtId="0" fontId="7" fillId="0" borderId="0" xfId="14"/>
    <xf numFmtId="0" fontId="2" fillId="0" borderId="0" xfId="14" applyFont="1"/>
    <xf numFmtId="0" fontId="2" fillId="0" borderId="0" xfId="14" applyFont="1" applyAlignment="1">
      <alignment horizontal="center"/>
    </xf>
    <xf numFmtId="164" fontId="7" fillId="0" borderId="0" xfId="14" applyNumberFormat="1"/>
    <xf numFmtId="164" fontId="2" fillId="0" borderId="0" xfId="14" applyNumberFormat="1" applyFont="1"/>
    <xf numFmtId="164" fontId="2" fillId="0" borderId="0" xfId="14" applyNumberFormat="1" applyFont="1" applyAlignment="1">
      <alignment horizontal="center"/>
    </xf>
    <xf numFmtId="0" fontId="3" fillId="0" borderId="0" xfId="14" applyFont="1"/>
    <xf numFmtId="0" fontId="4" fillId="3" borderId="0" xfId="1" applyFill="1"/>
    <xf numFmtId="0" fontId="6" fillId="4" borderId="4" xfId="1" applyFont="1" applyFill="1" applyBorder="1" applyProtection="1">
      <protection locked="0"/>
    </xf>
    <xf numFmtId="0" fontId="6" fillId="3" borderId="0" xfId="1" applyFont="1" applyFill="1"/>
    <xf numFmtId="0" fontId="6" fillId="3" borderId="5" xfId="1" applyNumberFormat="1" applyFont="1" applyFill="1" applyBorder="1" applyProtection="1">
      <protection hidden="1"/>
    </xf>
    <xf numFmtId="0" fontId="6" fillId="3" borderId="0" xfId="1" applyFont="1" applyFill="1" applyAlignment="1">
      <alignment horizontal="right"/>
    </xf>
    <xf numFmtId="0" fontId="4" fillId="3" borderId="0" xfId="1" applyFill="1" applyProtection="1"/>
    <xf numFmtId="0" fontId="6" fillId="3" borderId="6" xfId="1" applyFont="1" applyFill="1" applyBorder="1" applyProtection="1">
      <protection hidden="1"/>
    </xf>
    <xf numFmtId="0" fontId="6" fillId="3" borderId="4" xfId="1" applyFont="1" applyFill="1" applyBorder="1" applyAlignment="1">
      <alignment horizontal="center"/>
    </xf>
    <xf numFmtId="0" fontId="6" fillId="3" borderId="4" xfId="1" applyFont="1" applyFill="1" applyBorder="1" applyAlignment="1">
      <alignment horizontal="center" wrapText="1"/>
    </xf>
    <xf numFmtId="0" fontId="6" fillId="3" borderId="7" xfId="1" applyFont="1" applyFill="1" applyBorder="1" applyAlignment="1">
      <alignment horizontal="center"/>
    </xf>
    <xf numFmtId="0" fontId="7" fillId="0" borderId="0" xfId="2"/>
    <xf numFmtId="0" fontId="8" fillId="3" borderId="9" xfId="1" applyFont="1" applyFill="1" applyBorder="1" applyProtection="1">
      <protection hidden="1"/>
    </xf>
    <xf numFmtId="0" fontId="8" fillId="3" borderId="10" xfId="1" applyFont="1" applyFill="1" applyBorder="1" applyProtection="1">
      <protection hidden="1"/>
    </xf>
    <xf numFmtId="0" fontId="8" fillId="3" borderId="11" xfId="1" applyFont="1" applyFill="1" applyBorder="1" applyProtection="1">
      <protection hidden="1"/>
    </xf>
    <xf numFmtId="0" fontId="6" fillId="3" borderId="8" xfId="1" applyFont="1" applyFill="1" applyBorder="1" applyAlignment="1">
      <alignment horizontal="center"/>
    </xf>
    <xf numFmtId="0" fontId="8" fillId="3" borderId="12" xfId="1" applyFont="1" applyFill="1" applyBorder="1" applyProtection="1">
      <protection hidden="1"/>
    </xf>
    <xf numFmtId="0" fontId="8" fillId="3" borderId="13" xfId="1" applyFont="1" applyFill="1" applyBorder="1" applyProtection="1">
      <protection hidden="1"/>
    </xf>
    <xf numFmtId="0" fontId="8" fillId="3" borderId="14" xfId="1" applyFont="1" applyFill="1" applyBorder="1" applyProtection="1">
      <protection hidden="1"/>
    </xf>
    <xf numFmtId="0" fontId="2" fillId="4" borderId="8" xfId="1" applyNumberFormat="1" applyFont="1" applyFill="1" applyBorder="1" applyAlignment="1" applyProtection="1">
      <alignment horizontal="center"/>
      <protection locked="0"/>
    </xf>
    <xf numFmtId="164" fontId="1" fillId="0" borderId="0" xfId="0" applyNumberFormat="1" applyFont="1" applyFill="1"/>
    <xf numFmtId="164" fontId="38" fillId="0" borderId="0" xfId="0" applyNumberFormat="1" applyFont="1" applyFill="1"/>
    <xf numFmtId="164" fontId="33" fillId="0" borderId="0" xfId="0" applyNumberFormat="1" applyFont="1" applyFill="1"/>
    <xf numFmtId="1" fontId="33" fillId="0" borderId="0" xfId="0" applyNumberFormat="1" applyFont="1" applyFill="1"/>
    <xf numFmtId="0" fontId="39" fillId="0" borderId="0" xfId="0" applyFont="1"/>
    <xf numFmtId="0" fontId="39" fillId="0" borderId="0" xfId="0" applyFont="1" applyFill="1"/>
    <xf numFmtId="14" fontId="2" fillId="0" borderId="0" xfId="0" applyNumberFormat="1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/>
    </xf>
    <xf numFmtId="0" fontId="36" fillId="0" borderId="37" xfId="0" applyFont="1" applyBorder="1" applyAlignment="1">
      <alignment horizontal="center" wrapText="1"/>
    </xf>
    <xf numFmtId="0" fontId="36" fillId="0" borderId="37" xfId="0" applyFont="1" applyBorder="1" applyAlignment="1">
      <alignment horizontal="center"/>
    </xf>
    <xf numFmtId="0" fontId="36" fillId="0" borderId="37" xfId="0" applyFont="1" applyBorder="1"/>
    <xf numFmtId="0" fontId="0" fillId="0" borderId="37" xfId="0" applyBorder="1"/>
    <xf numFmtId="44" fontId="7" fillId="0" borderId="0" xfId="15" applyNumberFormat="1" applyFont="1"/>
    <xf numFmtId="44" fontId="7" fillId="0" borderId="0" xfId="15" applyNumberFormat="1"/>
    <xf numFmtId="0" fontId="4" fillId="3" borderId="0" xfId="1" applyFill="1"/>
    <xf numFmtId="0" fontId="6" fillId="4" borderId="4" xfId="1" applyFont="1" applyFill="1" applyBorder="1" applyProtection="1">
      <protection locked="0"/>
    </xf>
    <xf numFmtId="0" fontId="6" fillId="3" borderId="0" xfId="1" applyFont="1" applyFill="1"/>
    <xf numFmtId="0" fontId="6" fillId="3" borderId="5" xfId="1" applyNumberFormat="1" applyFont="1" applyFill="1" applyBorder="1" applyProtection="1">
      <protection hidden="1"/>
    </xf>
    <xf numFmtId="0" fontId="6" fillId="3" borderId="0" xfId="1" applyFont="1" applyFill="1" applyAlignment="1">
      <alignment horizontal="right"/>
    </xf>
    <xf numFmtId="0" fontId="4" fillId="3" borderId="0" xfId="1" applyFill="1" applyProtection="1"/>
    <xf numFmtId="0" fontId="6" fillId="3" borderId="6" xfId="1" applyFont="1" applyFill="1" applyBorder="1" applyProtection="1">
      <protection hidden="1"/>
    </xf>
    <xf numFmtId="0" fontId="6" fillId="3" borderId="4" xfId="1" applyFont="1" applyFill="1" applyBorder="1" applyAlignment="1">
      <alignment horizontal="center"/>
    </xf>
    <xf numFmtId="0" fontId="6" fillId="3" borderId="4" xfId="1" applyFont="1" applyFill="1" applyBorder="1" applyAlignment="1">
      <alignment horizontal="center" wrapText="1"/>
    </xf>
    <xf numFmtId="0" fontId="6" fillId="3" borderId="7" xfId="1" applyFont="1" applyFill="1" applyBorder="1" applyAlignment="1">
      <alignment horizontal="center"/>
    </xf>
    <xf numFmtId="0" fontId="7" fillId="0" borderId="0" xfId="2"/>
    <xf numFmtId="0" fontId="8" fillId="3" borderId="9" xfId="1" applyFont="1" applyFill="1" applyBorder="1" applyProtection="1">
      <protection hidden="1"/>
    </xf>
    <xf numFmtId="0" fontId="8" fillId="3" borderId="10" xfId="1" applyFont="1" applyFill="1" applyBorder="1" applyProtection="1">
      <protection hidden="1"/>
    </xf>
    <xf numFmtId="0" fontId="8" fillId="3" borderId="11" xfId="1" applyFont="1" applyFill="1" applyBorder="1" applyProtection="1">
      <protection hidden="1"/>
    </xf>
    <xf numFmtId="0" fontId="6" fillId="3" borderId="8" xfId="1" applyFont="1" applyFill="1" applyBorder="1" applyAlignment="1">
      <alignment horizontal="center"/>
    </xf>
    <xf numFmtId="0" fontId="8" fillId="3" borderId="12" xfId="1" applyFont="1" applyFill="1" applyBorder="1" applyProtection="1">
      <protection hidden="1"/>
    </xf>
    <xf numFmtId="0" fontId="8" fillId="3" borderId="13" xfId="1" applyFont="1" applyFill="1" applyBorder="1" applyProtection="1">
      <protection hidden="1"/>
    </xf>
    <xf numFmtId="0" fontId="8" fillId="3" borderId="14" xfId="1" applyFont="1" applyFill="1" applyBorder="1" applyProtection="1">
      <protection hidden="1"/>
    </xf>
    <xf numFmtId="0" fontId="2" fillId="4" borderId="8" xfId="1" applyNumberFormat="1" applyFont="1" applyFill="1" applyBorder="1" applyAlignment="1" applyProtection="1">
      <alignment horizontal="center"/>
      <protection locked="0"/>
    </xf>
    <xf numFmtId="0" fontId="4" fillId="3" borderId="0" xfId="19" applyFill="1"/>
    <xf numFmtId="0" fontId="6" fillId="4" borderId="4" xfId="19" applyFont="1" applyFill="1" applyBorder="1" applyProtection="1">
      <protection locked="0"/>
    </xf>
    <xf numFmtId="0" fontId="6" fillId="3" borderId="0" xfId="19" applyFont="1" applyFill="1"/>
    <xf numFmtId="0" fontId="6" fillId="3" borderId="5" xfId="19" applyNumberFormat="1" applyFont="1" applyFill="1" applyBorder="1" applyProtection="1">
      <protection hidden="1"/>
    </xf>
    <xf numFmtId="0" fontId="6" fillId="3" borderId="0" xfId="19" applyFont="1" applyFill="1" applyAlignment="1">
      <alignment horizontal="right"/>
    </xf>
    <xf numFmtId="0" fontId="4" fillId="3" borderId="0" xfId="19" applyFill="1" applyProtection="1"/>
    <xf numFmtId="0" fontId="6" fillId="3" borderId="6" xfId="19" applyFont="1" applyFill="1" applyBorder="1" applyProtection="1">
      <protection hidden="1"/>
    </xf>
    <xf numFmtId="0" fontId="6" fillId="3" borderId="4" xfId="19" applyFont="1" applyFill="1" applyBorder="1" applyAlignment="1">
      <alignment horizontal="center"/>
    </xf>
    <xf numFmtId="0" fontId="6" fillId="3" borderId="4" xfId="19" applyFont="1" applyFill="1" applyBorder="1" applyAlignment="1">
      <alignment horizontal="center" wrapText="1"/>
    </xf>
    <xf numFmtId="0" fontId="6" fillId="3" borderId="7" xfId="19" applyFont="1" applyFill="1" applyBorder="1" applyAlignment="1">
      <alignment horizontal="center"/>
    </xf>
    <xf numFmtId="0" fontId="7" fillId="0" borderId="0" xfId="2" applyAlignment="1">
      <alignment horizontal="center"/>
    </xf>
    <xf numFmtId="0" fontId="8" fillId="3" borderId="9" xfId="19" applyFont="1" applyFill="1" applyBorder="1" applyProtection="1">
      <protection hidden="1"/>
    </xf>
    <xf numFmtId="0" fontId="8" fillId="3" borderId="10" xfId="19" applyFont="1" applyFill="1" applyBorder="1" applyProtection="1">
      <protection hidden="1"/>
    </xf>
    <xf numFmtId="0" fontId="8" fillId="3" borderId="11" xfId="19" applyFont="1" applyFill="1" applyBorder="1" applyProtection="1">
      <protection hidden="1"/>
    </xf>
    <xf numFmtId="0" fontId="6" fillId="3" borderId="8" xfId="19" applyFont="1" applyFill="1" applyBorder="1" applyAlignment="1">
      <alignment horizontal="center"/>
    </xf>
    <xf numFmtId="0" fontId="8" fillId="3" borderId="12" xfId="19" applyFont="1" applyFill="1" applyBorder="1" applyProtection="1">
      <protection hidden="1"/>
    </xf>
    <xf numFmtId="0" fontId="8" fillId="3" borderId="13" xfId="19" applyFont="1" applyFill="1" applyBorder="1" applyProtection="1">
      <protection hidden="1"/>
    </xf>
    <xf numFmtId="0" fontId="8" fillId="3" borderId="14" xfId="19" applyFont="1" applyFill="1" applyBorder="1" applyProtection="1">
      <protection hidden="1"/>
    </xf>
    <xf numFmtId="0" fontId="2" fillId="4" borderId="8" xfId="19" applyNumberFormat="1" applyFont="1" applyFill="1" applyBorder="1" applyAlignment="1" applyProtection="1">
      <alignment horizontal="center"/>
      <protection locked="0"/>
    </xf>
    <xf numFmtId="0" fontId="4" fillId="3" borderId="0" xfId="3" applyFill="1"/>
    <xf numFmtId="0" fontId="6" fillId="4" borderId="4" xfId="3" applyFont="1" applyFill="1" applyBorder="1" applyProtection="1">
      <protection locked="0"/>
    </xf>
    <xf numFmtId="0" fontId="11" fillId="3" borderId="0" xfId="3" applyFont="1" applyFill="1" applyAlignment="1">
      <alignment horizontal="center" vertical="top"/>
    </xf>
    <xf numFmtId="0" fontId="12" fillId="3" borderId="9" xfId="3" applyFont="1" applyFill="1" applyBorder="1" applyAlignment="1">
      <alignment horizontal="center"/>
    </xf>
    <xf numFmtId="0" fontId="12" fillId="3" borderId="10" xfId="3" applyFont="1" applyFill="1" applyBorder="1" applyAlignment="1">
      <alignment horizontal="center"/>
    </xf>
    <xf numFmtId="0" fontId="12" fillId="3" borderId="11" xfId="3" applyFont="1" applyFill="1" applyBorder="1" applyAlignment="1">
      <alignment horizontal="center"/>
    </xf>
    <xf numFmtId="0" fontId="6" fillId="4" borderId="24" xfId="3" applyFont="1" applyFill="1" applyBorder="1" applyAlignment="1" applyProtection="1">
      <alignment horizontal="center"/>
      <protection locked="0"/>
    </xf>
    <xf numFmtId="0" fontId="6" fillId="4" borderId="25" xfId="3" applyFont="1" applyFill="1" applyBorder="1" applyAlignment="1" applyProtection="1">
      <alignment horizontal="center"/>
      <protection locked="0"/>
    </xf>
    <xf numFmtId="0" fontId="6" fillId="4" borderId="25" xfId="3" applyFont="1" applyFill="1" applyBorder="1" applyProtection="1">
      <protection locked="0"/>
    </xf>
    <xf numFmtId="0" fontId="6" fillId="4" borderId="26" xfId="3" applyFont="1" applyFill="1" applyBorder="1" applyProtection="1">
      <protection locked="0"/>
    </xf>
    <xf numFmtId="0" fontId="6" fillId="3" borderId="0" xfId="3" applyFont="1" applyFill="1"/>
    <xf numFmtId="0" fontId="6" fillId="3" borderId="5" xfId="3" applyNumberFormat="1" applyFont="1" applyFill="1" applyBorder="1" applyProtection="1">
      <protection hidden="1"/>
    </xf>
    <xf numFmtId="0" fontId="4" fillId="3" borderId="0" xfId="3" applyFill="1" applyProtection="1"/>
    <xf numFmtId="0" fontId="6" fillId="3" borderId="6" xfId="3" applyFont="1" applyFill="1" applyBorder="1" applyProtection="1">
      <protection hidden="1"/>
    </xf>
    <xf numFmtId="0" fontId="6" fillId="3" borderId="4" xfId="3" applyFont="1" applyFill="1" applyBorder="1" applyAlignment="1">
      <alignment horizontal="center"/>
    </xf>
    <xf numFmtId="0" fontId="6" fillId="3" borderId="4" xfId="3" applyFont="1" applyFill="1" applyBorder="1" applyAlignment="1">
      <alignment horizontal="center" wrapText="1"/>
    </xf>
    <xf numFmtId="0" fontId="6" fillId="3" borderId="7" xfId="3" applyFont="1" applyFill="1" applyBorder="1" applyAlignment="1">
      <alignment horizontal="center"/>
    </xf>
    <xf numFmtId="0" fontId="7" fillId="0" borderId="0" xfId="21" applyAlignment="1">
      <alignment horizontal="center"/>
    </xf>
    <xf numFmtId="0" fontId="8" fillId="3" borderId="9" xfId="3" applyFont="1" applyFill="1" applyBorder="1" applyProtection="1">
      <protection hidden="1"/>
    </xf>
    <xf numFmtId="0" fontId="8" fillId="3" borderId="27" xfId="3" applyFont="1" applyFill="1" applyBorder="1" applyProtection="1">
      <protection hidden="1"/>
    </xf>
    <xf numFmtId="0" fontId="8" fillId="3" borderId="11" xfId="3" applyFont="1" applyFill="1" applyBorder="1" applyProtection="1">
      <protection hidden="1"/>
    </xf>
    <xf numFmtId="0" fontId="6" fillId="3" borderId="8" xfId="3" applyFont="1" applyFill="1" applyBorder="1" applyAlignment="1">
      <alignment horizontal="center"/>
    </xf>
    <xf numFmtId="0" fontId="8" fillId="3" borderId="12" xfId="3" applyFont="1" applyFill="1" applyBorder="1" applyProtection="1">
      <protection hidden="1"/>
    </xf>
    <xf numFmtId="0" fontId="8" fillId="3" borderId="28" xfId="3" applyFont="1" applyFill="1" applyBorder="1" applyProtection="1">
      <protection hidden="1"/>
    </xf>
    <xf numFmtId="0" fontId="8" fillId="3" borderId="14" xfId="3" applyFont="1" applyFill="1" applyBorder="1" applyProtection="1">
      <protection hidden="1"/>
    </xf>
    <xf numFmtId="0" fontId="2" fillId="4" borderId="8" xfId="3" applyNumberFormat="1" applyFont="1" applyFill="1" applyBorder="1" applyAlignment="1" applyProtection="1">
      <alignment horizontal="center"/>
      <protection locked="0"/>
    </xf>
    <xf numFmtId="0" fontId="7" fillId="0" borderId="0" xfId="21" applyFont="1" applyAlignment="1">
      <alignment horizontal="center"/>
    </xf>
    <xf numFmtId="0" fontId="4" fillId="3" borderId="0" xfId="5" applyFill="1"/>
    <xf numFmtId="0" fontId="6" fillId="4" borderId="4" xfId="5" applyFont="1" applyFill="1" applyBorder="1" applyProtection="1">
      <protection locked="0"/>
    </xf>
    <xf numFmtId="0" fontId="6" fillId="3" borderId="0" xfId="5" applyFont="1" applyFill="1"/>
    <xf numFmtId="0" fontId="6" fillId="3" borderId="5" xfId="5" applyNumberFormat="1" applyFont="1" applyFill="1" applyBorder="1" applyProtection="1">
      <protection hidden="1"/>
    </xf>
    <xf numFmtId="0" fontId="6" fillId="3" borderId="0" xfId="5" applyFont="1" applyFill="1" applyAlignment="1">
      <alignment horizontal="right"/>
    </xf>
    <xf numFmtId="0" fontId="4" fillId="3" borderId="0" xfId="5" applyFill="1" applyProtection="1"/>
    <xf numFmtId="0" fontId="6" fillId="3" borderId="6" xfId="5" applyFont="1" applyFill="1" applyBorder="1" applyProtection="1">
      <protection hidden="1"/>
    </xf>
    <xf numFmtId="0" fontId="6" fillId="3" borderId="4" xfId="5" applyFont="1" applyFill="1" applyBorder="1" applyAlignment="1">
      <alignment horizontal="center"/>
    </xf>
    <xf numFmtId="0" fontId="6" fillId="3" borderId="4" xfId="5" applyFont="1" applyFill="1" applyBorder="1" applyAlignment="1">
      <alignment horizontal="center" wrapText="1"/>
    </xf>
    <xf numFmtId="0" fontId="6" fillId="3" borderId="7" xfId="5" applyFont="1" applyFill="1" applyBorder="1" applyAlignment="1">
      <alignment horizontal="center"/>
    </xf>
    <xf numFmtId="3" fontId="7" fillId="0" borderId="0" xfId="20" applyNumberFormat="1" applyAlignment="1">
      <alignment horizontal="left"/>
    </xf>
    <xf numFmtId="0" fontId="8" fillId="3" borderId="9" xfId="5" applyFont="1" applyFill="1" applyBorder="1" applyProtection="1">
      <protection hidden="1"/>
    </xf>
    <xf numFmtId="0" fontId="8" fillId="3" borderId="27" xfId="5" applyFont="1" applyFill="1" applyBorder="1" applyProtection="1">
      <protection hidden="1"/>
    </xf>
    <xf numFmtId="0" fontId="8" fillId="3" borderId="11" xfId="5" applyFont="1" applyFill="1" applyBorder="1" applyProtection="1">
      <protection hidden="1"/>
    </xf>
    <xf numFmtId="0" fontId="6" fillId="3" borderId="8" xfId="5" applyFont="1" applyFill="1" applyBorder="1" applyAlignment="1">
      <alignment horizontal="center"/>
    </xf>
    <xf numFmtId="0" fontId="8" fillId="3" borderId="12" xfId="5" applyFont="1" applyFill="1" applyBorder="1" applyProtection="1">
      <protection hidden="1"/>
    </xf>
    <xf numFmtId="0" fontId="8" fillId="3" borderId="28" xfId="5" applyFont="1" applyFill="1" applyBorder="1" applyProtection="1">
      <protection hidden="1"/>
    </xf>
    <xf numFmtId="0" fontId="8" fillId="3" borderId="14" xfId="5" applyFont="1" applyFill="1" applyBorder="1" applyProtection="1">
      <protection hidden="1"/>
    </xf>
    <xf numFmtId="0" fontId="2" fillId="4" borderId="8" xfId="5" applyNumberFormat="1" applyFont="1" applyFill="1" applyBorder="1" applyAlignment="1" applyProtection="1">
      <alignment horizontal="center"/>
      <protection locked="0"/>
    </xf>
    <xf numFmtId="0" fontId="4" fillId="3" borderId="0" xfId="8" applyFill="1"/>
    <xf numFmtId="0" fontId="6" fillId="3" borderId="0" xfId="8" applyFont="1" applyFill="1" applyAlignment="1">
      <alignment horizontal="right"/>
    </xf>
    <xf numFmtId="0" fontId="6" fillId="3" borderId="4" xfId="8" applyFont="1" applyFill="1" applyBorder="1" applyProtection="1">
      <protection hidden="1"/>
    </xf>
    <xf numFmtId="0" fontId="6" fillId="3" borderId="0" xfId="8" applyFont="1" applyFill="1"/>
    <xf numFmtId="0" fontId="6" fillId="3" borderId="5" xfId="8" applyNumberFormat="1" applyFont="1" applyFill="1" applyBorder="1" applyProtection="1">
      <protection hidden="1"/>
    </xf>
    <xf numFmtId="166" fontId="6" fillId="3" borderId="5" xfId="8" applyNumberFormat="1" applyFont="1" applyFill="1" applyBorder="1" applyAlignment="1" applyProtection="1">
      <alignment horizontal="center"/>
      <protection hidden="1"/>
    </xf>
    <xf numFmtId="0" fontId="6" fillId="3" borderId="6" xfId="8" applyFont="1" applyFill="1" applyBorder="1" applyProtection="1">
      <protection hidden="1"/>
    </xf>
    <xf numFmtId="166" fontId="6" fillId="3" borderId="6" xfId="8" applyNumberFormat="1" applyFont="1" applyFill="1" applyBorder="1" applyAlignment="1" applyProtection="1">
      <alignment horizontal="center"/>
      <protection hidden="1"/>
    </xf>
    <xf numFmtId="0" fontId="6" fillId="3" borderId="0" xfId="8" applyFont="1" applyFill="1" applyBorder="1" applyProtection="1">
      <protection hidden="1"/>
    </xf>
    <xf numFmtId="166" fontId="6" fillId="3" borderId="0" xfId="8" applyNumberFormat="1" applyFont="1" applyFill="1" applyBorder="1" applyAlignment="1" applyProtection="1">
      <alignment horizontal="center"/>
      <protection hidden="1"/>
    </xf>
    <xf numFmtId="0" fontId="6" fillId="4" borderId="4" xfId="8" applyFont="1" applyFill="1" applyBorder="1" applyAlignment="1" applyProtection="1">
      <alignment horizontal="right"/>
      <protection locked="0"/>
    </xf>
    <xf numFmtId="166" fontId="8" fillId="3" borderId="4" xfId="8" applyNumberFormat="1" applyFont="1" applyFill="1" applyBorder="1" applyAlignment="1" applyProtection="1">
      <alignment horizontal="center"/>
      <protection hidden="1"/>
    </xf>
    <xf numFmtId="0" fontId="6" fillId="3" borderId="4" xfId="8" applyFont="1" applyFill="1" applyBorder="1" applyAlignment="1">
      <alignment horizontal="center"/>
    </xf>
    <xf numFmtId="0" fontId="6" fillId="3" borderId="4" xfId="8" applyFont="1" applyFill="1" applyBorder="1" applyAlignment="1">
      <alignment horizontal="center" wrapText="1"/>
    </xf>
    <xf numFmtId="0" fontId="6" fillId="3" borderId="7" xfId="8" applyFont="1" applyFill="1" applyBorder="1" applyAlignment="1">
      <alignment horizontal="center"/>
    </xf>
    <xf numFmtId="0" fontId="7" fillId="0" borderId="0" xfId="9" applyAlignment="1">
      <alignment horizontal="center"/>
    </xf>
    <xf numFmtId="0" fontId="8" fillId="3" borderId="9" xfId="8" applyFont="1" applyFill="1" applyBorder="1" applyProtection="1">
      <protection hidden="1"/>
    </xf>
    <xf numFmtId="0" fontId="8" fillId="3" borderId="27" xfId="8" applyFont="1" applyFill="1" applyBorder="1" applyProtection="1">
      <protection hidden="1"/>
    </xf>
    <xf numFmtId="0" fontId="8" fillId="3" borderId="11" xfId="8" applyFont="1" applyFill="1" applyBorder="1"/>
    <xf numFmtId="0" fontId="6" fillId="3" borderId="8" xfId="8" applyFont="1" applyFill="1" applyBorder="1" applyAlignment="1">
      <alignment horizontal="center"/>
    </xf>
    <xf numFmtId="0" fontId="8" fillId="3" borderId="12" xfId="8" applyFont="1" applyFill="1" applyBorder="1" applyProtection="1">
      <protection hidden="1"/>
    </xf>
    <xf numFmtId="0" fontId="8" fillId="3" borderId="28" xfId="8" applyFont="1" applyFill="1" applyBorder="1" applyProtection="1">
      <protection hidden="1"/>
    </xf>
    <xf numFmtId="0" fontId="8" fillId="3" borderId="14" xfId="8" applyFont="1" applyFill="1" applyBorder="1"/>
    <xf numFmtId="1" fontId="7" fillId="0" borderId="0" xfId="9" applyNumberFormat="1" applyAlignment="1">
      <alignment horizontal="center"/>
    </xf>
    <xf numFmtId="0" fontId="2" fillId="4" borderId="8" xfId="8" applyNumberFormat="1" applyFont="1" applyFill="1" applyBorder="1" applyAlignment="1" applyProtection="1">
      <alignment horizontal="center"/>
      <protection locked="0"/>
    </xf>
    <xf numFmtId="0" fontId="4" fillId="3" borderId="0" xfId="10" applyFill="1"/>
    <xf numFmtId="0" fontId="6" fillId="3" borderId="0" xfId="10" applyFont="1" applyFill="1" applyAlignment="1">
      <alignment horizontal="center"/>
    </xf>
    <xf numFmtId="0" fontId="6" fillId="4" borderId="4" xfId="10" applyFont="1" applyFill="1" applyBorder="1" applyProtection="1">
      <protection locked="0"/>
    </xf>
    <xf numFmtId="0" fontId="6" fillId="3" borderId="0" xfId="10" applyFont="1" applyFill="1" applyAlignment="1">
      <alignment horizontal="right"/>
    </xf>
    <xf numFmtId="0" fontId="6" fillId="4" borderId="4" xfId="10" applyFont="1" applyFill="1" applyBorder="1" applyAlignment="1" applyProtection="1">
      <alignment horizontal="center"/>
      <protection locked="0"/>
    </xf>
    <xf numFmtId="0" fontId="6" fillId="3" borderId="0" xfId="10" applyFont="1" applyFill="1"/>
    <xf numFmtId="0" fontId="6" fillId="3" borderId="5" xfId="10" applyNumberFormat="1" applyFont="1" applyFill="1" applyBorder="1" applyProtection="1">
      <protection hidden="1"/>
    </xf>
    <xf numFmtId="0" fontId="6" fillId="3" borderId="0" xfId="10" applyNumberFormat="1" applyFont="1" applyFill="1" applyBorder="1" applyProtection="1">
      <protection hidden="1"/>
    </xf>
    <xf numFmtId="0" fontId="6" fillId="3" borderId="6" xfId="10" applyFont="1" applyFill="1" applyBorder="1" applyProtection="1">
      <protection hidden="1"/>
    </xf>
    <xf numFmtId="0" fontId="6" fillId="3" borderId="0" xfId="10" applyFont="1" applyFill="1" applyBorder="1" applyProtection="1">
      <protection hidden="1"/>
    </xf>
    <xf numFmtId="0" fontId="6" fillId="3" borderId="4" xfId="10" applyFont="1" applyFill="1" applyBorder="1" applyAlignment="1">
      <alignment horizontal="center"/>
    </xf>
    <xf numFmtId="0" fontId="6" fillId="3" borderId="4" xfId="10" applyFont="1" applyFill="1" applyBorder="1" applyAlignment="1">
      <alignment horizontal="center" wrapText="1"/>
    </xf>
    <xf numFmtId="0" fontId="6" fillId="3" borderId="7" xfId="10" applyFont="1" applyFill="1" applyBorder="1" applyAlignment="1">
      <alignment horizontal="center"/>
    </xf>
    <xf numFmtId="0" fontId="7" fillId="0" borderId="0" xfId="11"/>
    <xf numFmtId="0" fontId="8" fillId="3" borderId="9" xfId="10" applyFont="1" applyFill="1" applyBorder="1" applyProtection="1">
      <protection hidden="1"/>
    </xf>
    <xf numFmtId="0" fontId="8" fillId="3" borderId="10" xfId="10" applyFont="1" applyFill="1" applyBorder="1" applyProtection="1">
      <protection hidden="1"/>
    </xf>
    <xf numFmtId="0" fontId="8" fillId="3" borderId="11" xfId="10" applyFont="1" applyFill="1" applyBorder="1" applyProtection="1">
      <protection hidden="1"/>
    </xf>
    <xf numFmtId="0" fontId="6" fillId="3" borderId="8" xfId="10" applyFont="1" applyFill="1" applyBorder="1" applyAlignment="1">
      <alignment horizontal="center"/>
    </xf>
    <xf numFmtId="0" fontId="8" fillId="3" borderId="12" xfId="10" applyFont="1" applyFill="1" applyBorder="1" applyProtection="1">
      <protection hidden="1"/>
    </xf>
    <xf numFmtId="0" fontId="8" fillId="3" borderId="13" xfId="10" applyFont="1" applyFill="1" applyBorder="1" applyProtection="1">
      <protection hidden="1"/>
    </xf>
    <xf numFmtId="0" fontId="8" fillId="3" borderId="14" xfId="10" applyFont="1" applyFill="1" applyBorder="1" applyProtection="1">
      <protection hidden="1"/>
    </xf>
    <xf numFmtId="0" fontId="2" fillId="4" borderId="8" xfId="10" applyNumberFormat="1" applyFont="1" applyFill="1" applyBorder="1" applyAlignment="1" applyProtection="1">
      <alignment horizontal="center"/>
      <protection locked="0"/>
    </xf>
    <xf numFmtId="0" fontId="4" fillId="3" borderId="0" xfId="17" applyFill="1"/>
    <xf numFmtId="0" fontId="6" fillId="4" borderId="4" xfId="17" applyFont="1" applyFill="1" applyBorder="1" applyProtection="1">
      <protection locked="0"/>
    </xf>
    <xf numFmtId="0" fontId="6" fillId="3" borderId="0" xfId="17" applyFont="1" applyFill="1"/>
    <xf numFmtId="0" fontId="6" fillId="3" borderId="5" xfId="17" applyNumberFormat="1" applyFont="1" applyFill="1" applyBorder="1" applyProtection="1">
      <protection hidden="1"/>
    </xf>
    <xf numFmtId="0" fontId="6" fillId="3" borderId="0" xfId="17" applyFont="1" applyFill="1" applyAlignment="1">
      <alignment horizontal="right"/>
    </xf>
    <xf numFmtId="0" fontId="4" fillId="3" borderId="0" xfId="17" applyFill="1" applyProtection="1"/>
    <xf numFmtId="0" fontId="6" fillId="3" borderId="6" xfId="17" applyFont="1" applyFill="1" applyBorder="1" applyProtection="1">
      <protection hidden="1"/>
    </xf>
    <xf numFmtId="0" fontId="6" fillId="3" borderId="4" xfId="17" applyFont="1" applyFill="1" applyBorder="1" applyAlignment="1">
      <alignment horizontal="center"/>
    </xf>
    <xf numFmtId="0" fontId="6" fillId="3" borderId="4" xfId="17" applyFont="1" applyFill="1" applyBorder="1" applyAlignment="1">
      <alignment horizontal="center" wrapText="1"/>
    </xf>
    <xf numFmtId="0" fontId="6" fillId="3" borderId="7" xfId="17" applyFont="1" applyFill="1" applyBorder="1" applyAlignment="1">
      <alignment horizontal="center"/>
    </xf>
    <xf numFmtId="0" fontId="8" fillId="3" borderId="9" xfId="17" applyFont="1" applyFill="1" applyBorder="1" applyProtection="1">
      <protection hidden="1"/>
    </xf>
    <xf numFmtId="0" fontId="8" fillId="3" borderId="10" xfId="17" applyFont="1" applyFill="1" applyBorder="1" applyProtection="1">
      <protection hidden="1"/>
    </xf>
    <xf numFmtId="0" fontId="8" fillId="3" borderId="11" xfId="17" applyFont="1" applyFill="1" applyBorder="1" applyProtection="1">
      <protection hidden="1"/>
    </xf>
    <xf numFmtId="0" fontId="6" fillId="3" borderId="8" xfId="17" applyFont="1" applyFill="1" applyBorder="1" applyAlignment="1">
      <alignment horizontal="center"/>
    </xf>
    <xf numFmtId="0" fontId="8" fillId="3" borderId="12" xfId="17" applyFont="1" applyFill="1" applyBorder="1" applyProtection="1">
      <protection hidden="1"/>
    </xf>
    <xf numFmtId="0" fontId="8" fillId="3" borderId="13" xfId="17" applyFont="1" applyFill="1" applyBorder="1" applyProtection="1">
      <protection hidden="1"/>
    </xf>
    <xf numFmtId="0" fontId="8" fillId="3" borderId="14" xfId="17" applyFont="1" applyFill="1" applyBorder="1" applyProtection="1">
      <protection hidden="1"/>
    </xf>
    <xf numFmtId="0" fontId="2" fillId="4" borderId="8" xfId="17" applyNumberFormat="1" applyFont="1" applyFill="1" applyBorder="1" applyAlignment="1" applyProtection="1">
      <alignment horizontal="center"/>
      <protection locked="0"/>
    </xf>
    <xf numFmtId="0" fontId="4" fillId="3" borderId="0" xfId="18" applyFill="1"/>
    <xf numFmtId="0" fontId="6" fillId="4" borderId="4" xfId="18" applyFont="1" applyFill="1" applyBorder="1" applyProtection="1">
      <protection locked="0"/>
    </xf>
    <xf numFmtId="0" fontId="6" fillId="3" borderId="0" xfId="18" applyFont="1" applyFill="1"/>
    <xf numFmtId="0" fontId="6" fillId="3" borderId="5" xfId="18" applyNumberFormat="1" applyFont="1" applyFill="1" applyBorder="1" applyProtection="1">
      <protection hidden="1"/>
    </xf>
    <xf numFmtId="0" fontId="6" fillId="3" borderId="0" xfId="18" applyFont="1" applyFill="1" applyAlignment="1">
      <alignment horizontal="right"/>
    </xf>
    <xf numFmtId="0" fontId="4" fillId="3" borderId="0" xfId="18" applyFill="1" applyProtection="1"/>
    <xf numFmtId="0" fontId="6" fillId="3" borderId="6" xfId="18" applyFont="1" applyFill="1" applyBorder="1" applyProtection="1">
      <protection hidden="1"/>
    </xf>
    <xf numFmtId="0" fontId="6" fillId="3" borderId="4" xfId="18" applyFont="1" applyFill="1" applyBorder="1" applyAlignment="1">
      <alignment horizontal="center"/>
    </xf>
    <xf numFmtId="0" fontId="6" fillId="3" borderId="4" xfId="18" applyFont="1" applyFill="1" applyBorder="1" applyAlignment="1">
      <alignment horizontal="center" wrapText="1"/>
    </xf>
    <xf numFmtId="0" fontId="6" fillId="3" borderId="7" xfId="18" applyFont="1" applyFill="1" applyBorder="1" applyAlignment="1">
      <alignment horizontal="center"/>
    </xf>
    <xf numFmtId="0" fontId="7" fillId="0" borderId="38" xfId="20" applyBorder="1" applyAlignment="1">
      <alignment horizontal="center"/>
    </xf>
    <xf numFmtId="0" fontId="8" fillId="3" borderId="9" xfId="18" applyFont="1" applyFill="1" applyBorder="1" applyProtection="1">
      <protection hidden="1"/>
    </xf>
    <xf numFmtId="0" fontId="8" fillId="3" borderId="27" xfId="18" applyFont="1" applyFill="1" applyBorder="1" applyProtection="1">
      <protection hidden="1"/>
    </xf>
    <xf numFmtId="0" fontId="8" fillId="3" borderId="11" xfId="18" applyFont="1" applyFill="1" applyBorder="1" applyProtection="1">
      <protection hidden="1"/>
    </xf>
    <xf numFmtId="0" fontId="6" fillId="3" borderId="8" xfId="18" applyFont="1" applyFill="1" applyBorder="1" applyAlignment="1">
      <alignment horizontal="center"/>
    </xf>
    <xf numFmtId="0" fontId="8" fillId="3" borderId="12" xfId="18" applyFont="1" applyFill="1" applyBorder="1" applyProtection="1">
      <protection hidden="1"/>
    </xf>
    <xf numFmtId="0" fontId="8" fillId="3" borderId="28" xfId="18" applyFont="1" applyFill="1" applyBorder="1" applyProtection="1">
      <protection hidden="1"/>
    </xf>
    <xf numFmtId="0" fontId="8" fillId="3" borderId="14" xfId="18" applyFont="1" applyFill="1" applyBorder="1" applyProtection="1">
      <protection hidden="1"/>
    </xf>
    <xf numFmtId="0" fontId="2" fillId="4" borderId="8" xfId="18" applyNumberFormat="1" applyFont="1" applyFill="1" applyBorder="1" applyAlignment="1" applyProtection="1">
      <alignment horizontal="center"/>
      <protection locked="0"/>
    </xf>
    <xf numFmtId="0" fontId="34" fillId="0" borderId="0" xfId="0" applyFont="1" applyFill="1" applyAlignment="1">
      <alignment horizontal="center"/>
    </xf>
    <xf numFmtId="2" fontId="38" fillId="0" borderId="0" xfId="0" applyNumberFormat="1" applyFont="1" applyFill="1"/>
    <xf numFmtId="0" fontId="7" fillId="0" borderId="0" xfId="0" applyFont="1" applyAlignment="1">
      <alignment horizontal="center"/>
    </xf>
    <xf numFmtId="0" fontId="2" fillId="0" borderId="0" xfId="0" applyFont="1" applyFill="1" applyAlignment="1">
      <alignment wrapText="1"/>
    </xf>
    <xf numFmtId="0" fontId="38" fillId="0" borderId="0" xfId="0" applyFont="1" applyFill="1" applyAlignment="1">
      <alignment wrapText="1"/>
    </xf>
    <xf numFmtId="0" fontId="38" fillId="0" borderId="0" xfId="0" applyFont="1" applyFill="1"/>
    <xf numFmtId="2" fontId="38" fillId="0" borderId="0" xfId="0" applyNumberFormat="1" applyFont="1" applyFill="1" applyAlignment="1">
      <alignment horizontal="center"/>
    </xf>
    <xf numFmtId="0" fontId="33" fillId="0" borderId="0" xfId="0" applyFont="1" applyFill="1" applyAlignment="1">
      <alignment horizontal="center"/>
    </xf>
    <xf numFmtId="0" fontId="38" fillId="0" borderId="0" xfId="0" applyFont="1" applyFill="1" applyAlignment="1"/>
    <xf numFmtId="0" fontId="14" fillId="0" borderId="0" xfId="0" applyFont="1" applyFill="1" applyBorder="1" applyAlignment="1">
      <alignment horizontal="center"/>
    </xf>
    <xf numFmtId="2" fontId="34" fillId="0" borderId="0" xfId="0" applyNumberFormat="1" applyFont="1" applyFill="1"/>
    <xf numFmtId="2" fontId="33" fillId="0" borderId="0" xfId="0" applyNumberFormat="1" applyFont="1" applyFill="1"/>
    <xf numFmtId="0" fontId="39" fillId="0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38" fillId="0" borderId="0" xfId="0" applyNumberFormat="1" applyFont="1" applyFill="1" applyAlignment="1">
      <alignment horizontal="left"/>
    </xf>
    <xf numFmtId="165" fontId="33" fillId="0" borderId="0" xfId="0" applyNumberFormat="1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0" xfId="0" applyFont="1" applyFill="1" applyBorder="1" applyAlignment="1">
      <alignment horizontal="center" vertical="center"/>
    </xf>
    <xf numFmtId="0" fontId="34" fillId="0" borderId="0" xfId="0" applyFont="1" applyFill="1"/>
    <xf numFmtId="165" fontId="1" fillId="0" borderId="0" xfId="0" applyNumberFormat="1" applyFont="1"/>
    <xf numFmtId="0" fontId="18" fillId="0" borderId="1" xfId="0" applyFont="1" applyFill="1" applyBorder="1" applyAlignment="1">
      <alignment horizontal="centerContinuous"/>
    </xf>
    <xf numFmtId="0" fontId="0" fillId="6" borderId="0" xfId="0" applyFill="1" applyBorder="1" applyAlignment="1"/>
    <xf numFmtId="0" fontId="18" fillId="0" borderId="1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33" fillId="0" borderId="2" xfId="0" applyFont="1" applyFill="1" applyBorder="1" applyAlignment="1"/>
    <xf numFmtId="0" fontId="37" fillId="0" borderId="0" xfId="0" applyFont="1" applyFill="1"/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164" fontId="1" fillId="0" borderId="0" xfId="0" applyNumberFormat="1" applyFont="1" applyFill="1" applyAlignment="1">
      <alignment horizontal="center"/>
    </xf>
    <xf numFmtId="0" fontId="42" fillId="0" borderId="0" xfId="0" applyFont="1" applyFill="1"/>
    <xf numFmtId="0" fontId="42" fillId="0" borderId="0" xfId="0" applyFont="1" applyFill="1" applyBorder="1"/>
    <xf numFmtId="0" fontId="42" fillId="0" borderId="0" xfId="0" applyFont="1" applyFill="1" applyAlignment="1">
      <alignment horizontal="center"/>
    </xf>
    <xf numFmtId="0" fontId="33" fillId="0" borderId="0" xfId="0" applyFont="1" applyFill="1"/>
    <xf numFmtId="44" fontId="0" fillId="0" borderId="0" xfId="0" applyNumberFormat="1"/>
    <xf numFmtId="4" fontId="1" fillId="0" borderId="0" xfId="7" applyNumberFormat="1" applyFont="1" applyFill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4" fontId="34" fillId="0" borderId="0" xfId="7" applyNumberFormat="1" applyFont="1" applyFill="1" applyAlignment="1">
      <alignment horizontal="center"/>
    </xf>
    <xf numFmtId="4" fontId="33" fillId="0" borderId="0" xfId="7" applyNumberFormat="1" applyFont="1" applyFill="1" applyAlignment="1">
      <alignment horizontal="center"/>
    </xf>
    <xf numFmtId="0" fontId="34" fillId="0" borderId="0" xfId="0" applyFont="1" applyFill="1" applyBorder="1" applyAlignment="1">
      <alignment horizontal="left" vertical="center"/>
    </xf>
    <xf numFmtId="0" fontId="34" fillId="0" borderId="0" xfId="0" applyFont="1" applyFill="1" applyAlignment="1">
      <alignment vertical="center"/>
    </xf>
    <xf numFmtId="3" fontId="33" fillId="0" borderId="0" xfId="0" applyNumberFormat="1" applyFont="1" applyFill="1" applyBorder="1" applyAlignment="1">
      <alignment horizontal="center" vertical="center"/>
    </xf>
    <xf numFmtId="0" fontId="0" fillId="8" borderId="0" xfId="0" applyFill="1"/>
    <xf numFmtId="17" fontId="35" fillId="0" borderId="36" xfId="0" applyNumberFormat="1" applyFont="1" applyFill="1" applyBorder="1" applyAlignment="1">
      <alignment horizontal="left"/>
    </xf>
    <xf numFmtId="0" fontId="9" fillId="7" borderId="0" xfId="0" applyFont="1" applyFill="1" applyBorder="1" applyAlignment="1">
      <alignment horizontal="center" vertical="center" wrapText="1"/>
    </xf>
    <xf numFmtId="2" fontId="33" fillId="0" borderId="0" xfId="0" applyNumberFormat="1" applyFont="1" applyFill="1" applyAlignment="1">
      <alignment horizontal="center"/>
    </xf>
    <xf numFmtId="2" fontId="23" fillId="0" borderId="0" xfId="0" applyNumberFormat="1" applyFont="1"/>
    <xf numFmtId="0" fontId="39" fillId="0" borderId="0" xfId="0" applyFont="1" applyFill="1" applyBorder="1"/>
    <xf numFmtId="0" fontId="40" fillId="0" borderId="0" xfId="0" applyFont="1" applyFill="1" applyBorder="1"/>
    <xf numFmtId="11" fontId="33" fillId="0" borderId="0" xfId="0" applyNumberFormat="1" applyFont="1"/>
    <xf numFmtId="2" fontId="6" fillId="0" borderId="0" xfId="0" applyNumberFormat="1" applyFont="1"/>
    <xf numFmtId="167" fontId="6" fillId="0" borderId="0" xfId="0" applyNumberFormat="1" applyFont="1" applyAlignment="1">
      <alignment horizontal="center"/>
    </xf>
    <xf numFmtId="0" fontId="45" fillId="0" borderId="0" xfId="0" applyFont="1"/>
    <xf numFmtId="0" fontId="23" fillId="0" borderId="32" xfId="0" applyFont="1" applyFill="1" applyBorder="1" applyAlignment="1">
      <alignment horizontal="center"/>
    </xf>
    <xf numFmtId="0" fontId="46" fillId="0" borderId="32" xfId="0" applyFont="1" applyFill="1" applyBorder="1" applyAlignment="1">
      <alignment horizontal="center"/>
    </xf>
    <xf numFmtId="0" fontId="10" fillId="0" borderId="3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0" xfId="0" applyFont="1"/>
    <xf numFmtId="166" fontId="1" fillId="0" borderId="0" xfId="0" applyNumberFormat="1" applyFont="1" applyFill="1"/>
    <xf numFmtId="168" fontId="33" fillId="0" borderId="0" xfId="0" applyNumberFormat="1" applyFont="1" applyFill="1" applyBorder="1"/>
    <xf numFmtId="167" fontId="23" fillId="0" borderId="0" xfId="0" applyNumberFormat="1" applyFont="1" applyFill="1" applyAlignment="1">
      <alignment horizontal="center"/>
    </xf>
    <xf numFmtId="0" fontId="8" fillId="0" borderId="0" xfId="0" applyFont="1"/>
    <xf numFmtId="10" fontId="38" fillId="0" borderId="0" xfId="22" applyNumberFormat="1" applyFont="1" applyFill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7" fillId="0" borderId="0" xfId="0" applyNumberFormat="1" applyFont="1" applyBorder="1" applyAlignment="1">
      <alignment horizontal="center"/>
    </xf>
    <xf numFmtId="0" fontId="2" fillId="0" borderId="0" xfId="0" applyFont="1" applyBorder="1"/>
    <xf numFmtId="169" fontId="2" fillId="0" borderId="0" xfId="0" applyNumberFormat="1" applyFont="1" applyBorder="1" applyAlignment="1">
      <alignment horizontal="center"/>
    </xf>
    <xf numFmtId="0" fontId="39" fillId="0" borderId="0" xfId="0" applyFont="1" applyBorder="1"/>
    <xf numFmtId="0" fontId="2" fillId="0" borderId="0" xfId="0" applyFont="1" applyAlignment="1">
      <alignment horizontal="left"/>
    </xf>
    <xf numFmtId="2" fontId="34" fillId="0" borderId="0" xfId="0" applyNumberFormat="1" applyFont="1" applyFill="1" applyAlignment="1">
      <alignment horizontal="center"/>
    </xf>
    <xf numFmtId="10" fontId="0" fillId="0" borderId="0" xfId="12" applyNumberFormat="1" applyFont="1" applyFill="1" applyAlignment="1">
      <alignment horizontal="center"/>
    </xf>
    <xf numFmtId="10" fontId="33" fillId="0" borderId="0" xfId="12" applyNumberFormat="1" applyFont="1" applyFill="1" applyAlignment="1">
      <alignment horizontal="center"/>
    </xf>
    <xf numFmtId="165" fontId="0" fillId="0" borderId="0" xfId="0" applyNumberFormat="1" applyFill="1" applyAlignment="1">
      <alignment horizontal="left"/>
    </xf>
    <xf numFmtId="0" fontId="31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0" fillId="0" borderId="17" xfId="0" applyFill="1" applyBorder="1"/>
    <xf numFmtId="164" fontId="0" fillId="0" borderId="0" xfId="0" applyNumberFormat="1" applyFill="1"/>
    <xf numFmtId="0" fontId="0" fillId="0" borderId="18" xfId="0" applyFill="1" applyBorder="1"/>
    <xf numFmtId="0" fontId="0" fillId="0" borderId="19" xfId="0" applyFill="1" applyBorder="1"/>
    <xf numFmtId="165" fontId="2" fillId="0" borderId="0" xfId="0" applyNumberFormat="1" applyFont="1" applyFill="1" applyAlignment="1">
      <alignment horizontal="left" wrapText="1"/>
    </xf>
    <xf numFmtId="0" fontId="6" fillId="0" borderId="4" xfId="0" applyFont="1" applyFill="1" applyBorder="1" applyProtection="1">
      <protection locked="0"/>
    </xf>
    <xf numFmtId="0" fontId="6" fillId="0" borderId="18" xfId="0" applyFont="1" applyFill="1" applyBorder="1"/>
    <xf numFmtId="0" fontId="6" fillId="0" borderId="5" xfId="0" applyNumberFormat="1" applyFont="1" applyFill="1" applyBorder="1" applyProtection="1">
      <protection hidden="1"/>
    </xf>
    <xf numFmtId="0" fontId="0" fillId="0" borderId="0" xfId="0" applyFill="1" applyBorder="1" applyProtection="1"/>
    <xf numFmtId="0" fontId="6" fillId="0" borderId="6" xfId="0" applyFont="1" applyFill="1" applyBorder="1" applyProtection="1">
      <protection hidden="1"/>
    </xf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wrapText="1"/>
    </xf>
    <xf numFmtId="0" fontId="6" fillId="0" borderId="7" xfId="0" applyFont="1" applyFill="1" applyBorder="1" applyAlignment="1">
      <alignment horizontal="center"/>
    </xf>
    <xf numFmtId="0" fontId="2" fillId="0" borderId="7" xfId="0" applyNumberFormat="1" applyFont="1" applyFill="1" applyBorder="1" applyAlignment="1" applyProtection="1">
      <alignment horizontal="center"/>
      <protection locked="0"/>
    </xf>
    <xf numFmtId="0" fontId="8" fillId="0" borderId="9" xfId="0" applyFont="1" applyFill="1" applyBorder="1" applyProtection="1">
      <protection hidden="1"/>
    </xf>
    <xf numFmtId="0" fontId="8" fillId="0" borderId="27" xfId="0" applyFont="1" applyFill="1" applyBorder="1" applyProtection="1">
      <protection hidden="1"/>
    </xf>
    <xf numFmtId="0" fontId="8" fillId="0" borderId="11" xfId="0" applyFont="1" applyFill="1" applyBorder="1" applyProtection="1">
      <protection hidden="1"/>
    </xf>
    <xf numFmtId="0" fontId="6" fillId="0" borderId="8" xfId="0" applyFont="1" applyFill="1" applyBorder="1" applyAlignment="1">
      <alignment horizontal="center"/>
    </xf>
    <xf numFmtId="0" fontId="2" fillId="0" borderId="8" xfId="0" applyNumberFormat="1" applyFont="1" applyFill="1" applyBorder="1" applyAlignment="1" applyProtection="1">
      <alignment horizontal="center"/>
      <protection locked="0"/>
    </xf>
    <xf numFmtId="0" fontId="8" fillId="0" borderId="12" xfId="0" applyFont="1" applyFill="1" applyBorder="1" applyProtection="1">
      <protection hidden="1"/>
    </xf>
    <xf numFmtId="0" fontId="8" fillId="0" borderId="28" xfId="0" applyFont="1" applyFill="1" applyBorder="1" applyProtection="1">
      <protection hidden="1"/>
    </xf>
    <xf numFmtId="0" fontId="8" fillId="0" borderId="14" xfId="0" applyFont="1" applyFill="1" applyBorder="1" applyProtection="1">
      <protection hidden="1"/>
    </xf>
    <xf numFmtId="165" fontId="0" fillId="0" borderId="0" xfId="0" applyNumberFormat="1" applyFill="1"/>
    <xf numFmtId="0" fontId="6" fillId="0" borderId="20" xfId="0" applyFont="1" applyFill="1" applyBorder="1" applyAlignment="1">
      <alignment horizontal="center"/>
    </xf>
    <xf numFmtId="0" fontId="2" fillId="0" borderId="20" xfId="0" applyNumberFormat="1" applyFont="1" applyFill="1" applyBorder="1" applyAlignment="1" applyProtection="1">
      <alignment horizontal="center"/>
      <protection locked="0"/>
    </xf>
    <xf numFmtId="0" fontId="8" fillId="0" borderId="21" xfId="0" applyFont="1" applyFill="1" applyBorder="1" applyProtection="1">
      <protection hidden="1"/>
    </xf>
    <xf numFmtId="0" fontId="8" fillId="0" borderId="29" xfId="0" applyFont="1" applyFill="1" applyBorder="1" applyProtection="1">
      <protection hidden="1"/>
    </xf>
    <xf numFmtId="0" fontId="8" fillId="0" borderId="23" xfId="0" applyFont="1" applyFill="1" applyBorder="1" applyProtection="1">
      <protection hidden="1"/>
    </xf>
    <xf numFmtId="0" fontId="6" fillId="0" borderId="4" xfId="0" applyFont="1" applyFill="1" applyBorder="1" applyAlignment="1" applyProtection="1">
      <protection locked="0"/>
    </xf>
    <xf numFmtId="0" fontId="0" fillId="0" borderId="19" xfId="0" applyFill="1" applyBorder="1" applyAlignment="1"/>
    <xf numFmtId="165" fontId="1" fillId="0" borderId="0" xfId="0" applyNumberFormat="1" applyFont="1" applyFill="1" applyAlignment="1">
      <alignment horizontal="left"/>
    </xf>
    <xf numFmtId="165" fontId="33" fillId="0" borderId="0" xfId="0" applyNumberFormat="1" applyFont="1" applyFill="1" applyAlignment="1">
      <alignment horizontal="left"/>
    </xf>
    <xf numFmtId="0" fontId="39" fillId="0" borderId="0" xfId="0" applyFont="1" applyFill="1" applyAlignment="1">
      <alignment horizontal="left"/>
    </xf>
    <xf numFmtId="165" fontId="34" fillId="0" borderId="0" xfId="0" applyNumberFormat="1" applyFont="1" applyFill="1" applyAlignment="1">
      <alignment horizontal="left"/>
    </xf>
    <xf numFmtId="169" fontId="1" fillId="0" borderId="0" xfId="12" applyNumberFormat="1" applyFont="1" applyFill="1" applyAlignment="1">
      <alignment horizontal="left"/>
    </xf>
    <xf numFmtId="10" fontId="0" fillId="0" borderId="0" xfId="12" applyNumberFormat="1" applyFont="1" applyFill="1"/>
    <xf numFmtId="2" fontId="1" fillId="0" borderId="0" xfId="0" applyNumberFormat="1" applyFont="1" applyFill="1"/>
    <xf numFmtId="165" fontId="1" fillId="0" borderId="0" xfId="0" applyNumberFormat="1" applyFont="1" applyFill="1"/>
    <xf numFmtId="165" fontId="33" fillId="0" borderId="0" xfId="0" applyNumberFormat="1" applyFont="1" applyFill="1" applyAlignment="1">
      <alignment horizontal="center"/>
    </xf>
    <xf numFmtId="164" fontId="33" fillId="0" borderId="0" xfId="0" applyNumberFormat="1" applyFont="1" applyFill="1" applyAlignment="1">
      <alignment horizontal="center"/>
    </xf>
    <xf numFmtId="0" fontId="42" fillId="0" borderId="0" xfId="0" applyFont="1"/>
    <xf numFmtId="2" fontId="47" fillId="0" borderId="0" xfId="0" applyNumberFormat="1" applyFont="1" applyFill="1"/>
    <xf numFmtId="10" fontId="47" fillId="0" borderId="0" xfId="12" applyNumberFormat="1" applyFont="1" applyFill="1"/>
    <xf numFmtId="164" fontId="10" fillId="0" borderId="32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4" xfId="0" applyNumberFormat="1" applyFont="1" applyFill="1" applyBorder="1" applyAlignment="1">
      <alignment horizontal="center" vertical="center"/>
    </xf>
    <xf numFmtId="168" fontId="47" fillId="0" borderId="3" xfId="0" applyNumberFormat="1" applyFont="1" applyFill="1" applyBorder="1"/>
    <xf numFmtId="0" fontId="47" fillId="0" borderId="0" xfId="0" applyFont="1" applyFill="1" applyAlignment="1">
      <alignment horizontal="center" vertical="center"/>
    </xf>
    <xf numFmtId="0" fontId="47" fillId="0" borderId="0" xfId="0" applyFont="1" applyFill="1"/>
    <xf numFmtId="167" fontId="6" fillId="0" borderId="0" xfId="0" applyNumberFormat="1" applyFont="1" applyFill="1" applyAlignment="1">
      <alignment horizontal="center"/>
    </xf>
    <xf numFmtId="166" fontId="45" fillId="0" borderId="0" xfId="0" applyNumberFormat="1" applyFont="1" applyFill="1"/>
    <xf numFmtId="0" fontId="45" fillId="0" borderId="0" xfId="0" applyFont="1" applyFill="1"/>
    <xf numFmtId="2" fontId="23" fillId="0" borderId="0" xfId="0" applyNumberFormat="1" applyFont="1" applyFill="1"/>
    <xf numFmtId="0" fontId="25" fillId="0" borderId="0" xfId="0" applyFont="1" applyFill="1"/>
    <xf numFmtId="10" fontId="1" fillId="0" borderId="0" xfId="12" applyNumberFormat="1" applyFont="1" applyFill="1"/>
    <xf numFmtId="2" fontId="10" fillId="0" borderId="0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3" fontId="1" fillId="0" borderId="0" xfId="13" applyNumberFormat="1" applyFont="1" applyFill="1" applyAlignment="1">
      <alignment horizontal="center"/>
    </xf>
    <xf numFmtId="44" fontId="0" fillId="0" borderId="0" xfId="13" applyFont="1" applyFill="1" applyAlignment="1">
      <alignment horizontal="center"/>
    </xf>
    <xf numFmtId="169" fontId="0" fillId="0" borderId="0" xfId="12" applyNumberFormat="1" applyFont="1" applyFill="1" applyAlignment="1">
      <alignment horizontal="center"/>
    </xf>
    <xf numFmtId="170" fontId="1" fillId="0" borderId="0" xfId="13" applyNumberFormat="1" applyFont="1" applyFill="1" applyAlignment="1">
      <alignment horizontal="center"/>
    </xf>
    <xf numFmtId="0" fontId="6" fillId="0" borderId="0" xfId="8" applyFont="1" applyFill="1" applyBorder="1" applyAlignment="1">
      <alignment horizontal="center"/>
    </xf>
    <xf numFmtId="14" fontId="39" fillId="0" borderId="0" xfId="0" applyNumberFormat="1" applyFont="1" applyAlignment="1">
      <alignment horizontal="center"/>
    </xf>
    <xf numFmtId="21" fontId="39" fillId="0" borderId="0" xfId="0" applyNumberFormat="1" applyFont="1" applyAlignment="1">
      <alignment horizontal="center"/>
    </xf>
    <xf numFmtId="0" fontId="37" fillId="0" borderId="0" xfId="0" applyFont="1" applyAlignment="1">
      <alignment horizontal="center"/>
    </xf>
    <xf numFmtId="0" fontId="5" fillId="3" borderId="0" xfId="1" applyFon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5" fillId="0" borderId="19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5" fillId="3" borderId="0" xfId="19" applyFont="1" applyFill="1" applyAlignment="1">
      <alignment horizontal="center"/>
    </xf>
    <xf numFmtId="0" fontId="6" fillId="3" borderId="0" xfId="19" applyFont="1" applyFill="1" applyAlignment="1">
      <alignment horizontal="center"/>
    </xf>
    <xf numFmtId="0" fontId="11" fillId="3" borderId="0" xfId="3" applyFont="1" applyFill="1" applyAlignment="1">
      <alignment horizontal="center" vertical="top"/>
    </xf>
    <xf numFmtId="0" fontId="6" fillId="3" borderId="0" xfId="3" applyFont="1" applyFill="1" applyAlignment="1">
      <alignment horizontal="center"/>
    </xf>
    <xf numFmtId="0" fontId="2" fillId="0" borderId="0" xfId="0" applyFont="1" applyAlignment="1"/>
    <xf numFmtId="0" fontId="37" fillId="0" borderId="0" xfId="0" applyFont="1" applyFill="1" applyAlignment="1">
      <alignment wrapText="1"/>
    </xf>
    <xf numFmtId="0" fontId="39" fillId="0" borderId="0" xfId="0" applyFont="1" applyFill="1" applyAlignment="1">
      <alignment wrapText="1"/>
    </xf>
    <xf numFmtId="0" fontId="5" fillId="3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 vertical="top"/>
    </xf>
    <xf numFmtId="0" fontId="6" fillId="0" borderId="0" xfId="3" applyFont="1" applyFill="1" applyBorder="1" applyAlignment="1">
      <alignment horizontal="center"/>
    </xf>
    <xf numFmtId="0" fontId="5" fillId="0" borderId="0" xfId="3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 vertical="top"/>
    </xf>
    <xf numFmtId="0" fontId="11" fillId="3" borderId="0" xfId="0" applyFont="1" applyFill="1" applyBorder="1" applyAlignment="1">
      <alignment horizontal="center" vertical="top"/>
    </xf>
    <xf numFmtId="0" fontId="6" fillId="3" borderId="0" xfId="5" applyFont="1" applyFill="1" applyAlignment="1">
      <alignment horizontal="center"/>
    </xf>
    <xf numFmtId="0" fontId="5" fillId="3" borderId="0" xfId="5" applyFont="1" applyFill="1" applyAlignment="1">
      <alignment horizontal="center"/>
    </xf>
    <xf numFmtId="0" fontId="6" fillId="0" borderId="0" xfId="5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/>
    </xf>
    <xf numFmtId="0" fontId="5" fillId="3" borderId="0" xfId="8" applyFont="1" applyFill="1" applyAlignment="1">
      <alignment horizontal="center"/>
    </xf>
    <xf numFmtId="0" fontId="6" fillId="3" borderId="0" xfId="8" applyFont="1" applyFill="1" applyAlignment="1">
      <alignment horizontal="right"/>
    </xf>
    <xf numFmtId="0" fontId="6" fillId="3" borderId="19" xfId="8" applyFont="1" applyFill="1" applyBorder="1" applyAlignment="1">
      <alignment horizontal="right"/>
    </xf>
    <xf numFmtId="0" fontId="6" fillId="3" borderId="0" xfId="8" applyFont="1" applyFill="1" applyAlignment="1">
      <alignment horizontal="center"/>
    </xf>
    <xf numFmtId="0" fontId="6" fillId="3" borderId="19" xfId="8" applyFont="1" applyFill="1" applyBorder="1" applyAlignment="1">
      <alignment horizontal="center"/>
    </xf>
    <xf numFmtId="0" fontId="39" fillId="0" borderId="0" xfId="0" applyFont="1" applyFill="1" applyAlignment="1">
      <alignment horizontal="center" vertical="center" wrapText="1"/>
    </xf>
    <xf numFmtId="0" fontId="42" fillId="0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6" fillId="3" borderId="18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right"/>
    </xf>
    <xf numFmtId="0" fontId="6" fillId="3" borderId="19" xfId="0" applyFont="1" applyFill="1" applyBorder="1" applyAlignment="1">
      <alignment horizontal="right"/>
    </xf>
    <xf numFmtId="0" fontId="6" fillId="3" borderId="19" xfId="0" applyFont="1" applyFill="1" applyBorder="1" applyAlignment="1">
      <alignment horizontal="center"/>
    </xf>
    <xf numFmtId="0" fontId="43" fillId="0" borderId="0" xfId="0" applyFont="1" applyFill="1" applyAlignment="1">
      <alignment horizontal="center"/>
    </xf>
    <xf numFmtId="0" fontId="44" fillId="0" borderId="0" xfId="0" applyFont="1" applyFill="1" applyAlignment="1">
      <alignment horizontal="center"/>
    </xf>
    <xf numFmtId="0" fontId="5" fillId="0" borderId="0" xfId="8" applyFont="1" applyFill="1" applyBorder="1" applyAlignment="1">
      <alignment horizontal="center"/>
    </xf>
    <xf numFmtId="0" fontId="6" fillId="0" borderId="0" xfId="8" applyFont="1" applyFill="1" applyBorder="1" applyAlignment="1">
      <alignment horizontal="right"/>
    </xf>
    <xf numFmtId="0" fontId="6" fillId="0" borderId="0" xfId="8" applyFont="1" applyFill="1" applyBorder="1" applyAlignment="1">
      <alignment horizont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Alignment="1">
      <alignment vertical="center"/>
    </xf>
    <xf numFmtId="0" fontId="6" fillId="3" borderId="0" xfId="10" applyFont="1" applyFill="1" applyAlignment="1">
      <alignment horizontal="right"/>
    </xf>
    <xf numFmtId="0" fontId="21" fillId="3" borderId="0" xfId="10" applyFont="1" applyFill="1" applyAlignment="1">
      <alignment horizontal="center"/>
    </xf>
    <xf numFmtId="0" fontId="6" fillId="3" borderId="0" xfId="10" applyFont="1" applyFill="1" applyAlignment="1">
      <alignment horizontal="center"/>
    </xf>
    <xf numFmtId="0" fontId="0" fillId="0" borderId="0" xfId="0" applyFill="1" applyAlignment="1"/>
    <xf numFmtId="0" fontId="21" fillId="3" borderId="15" xfId="0" applyFont="1" applyFill="1" applyBorder="1" applyAlignment="1">
      <alignment horizontal="center"/>
    </xf>
    <xf numFmtId="0" fontId="21" fillId="3" borderId="1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3" borderId="0" xfId="17" applyFont="1" applyFill="1" applyAlignment="1">
      <alignment horizontal="center"/>
    </xf>
    <xf numFmtId="0" fontId="6" fillId="3" borderId="0" xfId="17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5" fillId="3" borderId="0" xfId="18" applyFont="1" applyFill="1" applyAlignment="1">
      <alignment horizontal="center"/>
    </xf>
    <xf numFmtId="0" fontId="6" fillId="3" borderId="0" xfId="18" applyFont="1" applyFill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3" fillId="0" borderId="0" xfId="5" applyFont="1" applyFill="1" applyBorder="1" applyAlignment="1"/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center" wrapText="1"/>
    </xf>
    <xf numFmtId="0" fontId="2" fillId="0" borderId="0" xfId="0" applyNumberFormat="1" applyFont="1" applyFill="1" applyAlignment="1">
      <alignment horizontal="center" wrapText="1"/>
    </xf>
    <xf numFmtId="0" fontId="1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43" fillId="0" borderId="0" xfId="0" applyFont="1" applyFill="1" applyAlignment="1">
      <alignment horizontal="center" wrapText="1"/>
    </xf>
  </cellXfs>
  <cellStyles count="24">
    <cellStyle name="Comma" xfId="7" builtinId="3"/>
    <cellStyle name="Currency" xfId="13" builtinId="4"/>
    <cellStyle name="Currency 2" xfId="15" xr:uid="{00000000-0005-0000-0000-000002000000}"/>
    <cellStyle name="Marat" xfId="16" xr:uid="{00000000-0005-0000-0000-000003000000}"/>
    <cellStyle name="Normal" xfId="0" builtinId="0"/>
    <cellStyle name="Normal 2" xfId="14" xr:uid="{00000000-0005-0000-0000-000005000000}"/>
    <cellStyle name="Normal_EX2.1" xfId="1" xr:uid="{00000000-0005-0000-0000-000006000000}"/>
    <cellStyle name="Normal_EX2.10" xfId="17" xr:uid="{00000000-0005-0000-0000-000007000000}"/>
    <cellStyle name="Normal_EX2.11" xfId="18" xr:uid="{00000000-0005-0000-0000-000008000000}"/>
    <cellStyle name="Normal_EX2.2" xfId="19" xr:uid="{00000000-0005-0000-0000-000009000000}"/>
    <cellStyle name="Normal_EX2.3" xfId="3" xr:uid="{00000000-0005-0000-0000-00000A000000}"/>
    <cellStyle name="Normal_EX2.4" xfId="5" xr:uid="{00000000-0005-0000-0000-00000B000000}"/>
    <cellStyle name="Normal_EX2.5" xfId="8" xr:uid="{00000000-0005-0000-0000-00000C000000}"/>
    <cellStyle name="Normal_EX2.7" xfId="10" xr:uid="{00000000-0005-0000-0000-00000D000000}"/>
    <cellStyle name="Normal_Linear Trend" xfId="9" xr:uid="{00000000-0005-0000-0000-00000E000000}"/>
    <cellStyle name="Normal_Moving Average" xfId="2" xr:uid="{00000000-0005-0000-0000-00000F000000}"/>
    <cellStyle name="Normal_SEST" xfId="11" xr:uid="{00000000-0005-0000-0000-000010000000}"/>
    <cellStyle name="Normal_Single Exponential Smoothing" xfId="6" xr:uid="{00000000-0005-0000-0000-000011000000}"/>
    <cellStyle name="Normal_Single Exponential Smoothing 2" xfId="20" xr:uid="{00000000-0005-0000-0000-000012000000}"/>
    <cellStyle name="Normal_Weighted Moving Average " xfId="4" xr:uid="{00000000-0005-0000-0000-000013000000}"/>
    <cellStyle name="Normal_Weighted Moving Average  2" xfId="21" xr:uid="{00000000-0005-0000-0000-000014000000}"/>
    <cellStyle name="Percent" xfId="12" builtinId="5"/>
    <cellStyle name="Percent 2" xfId="22" xr:uid="{00000000-0005-0000-0000-000016000000}"/>
    <cellStyle name="Обычный_Vladimir 3.11" xfId="23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21655923876991E-2"/>
          <c:y val="7.4074280165710035E-2"/>
          <c:w val="0.75448160716567114"/>
          <c:h val="0.68376258614501573"/>
        </c:manualLayout>
      </c:layout>
      <c:lineChart>
        <c:grouping val="standard"/>
        <c:varyColors val="0"/>
        <c:ser>
          <c:idx val="0"/>
          <c:order val="0"/>
          <c:tx>
            <c:strRef>
              <c:f>'[1]EX2.2'!$B$11</c:f>
              <c:strCache>
                <c:ptCount val="1"/>
                <c:pt idx="0">
                  <c:v>Data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'[1]EX2.2'!$A$12:$A$24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</c:strCache>
            </c:strRef>
          </c:cat>
          <c:val>
            <c:numRef>
              <c:f>'[1]EX2.2'!$B$12:$B$24</c:f>
              <c:numCache>
                <c:formatCode>General</c:formatCode>
                <c:ptCount val="13"/>
                <c:pt idx="0">
                  <c:v>543</c:v>
                </c:pt>
                <c:pt idx="1">
                  <c:v>528</c:v>
                </c:pt>
                <c:pt idx="2">
                  <c:v>531</c:v>
                </c:pt>
                <c:pt idx="3">
                  <c:v>542</c:v>
                </c:pt>
                <c:pt idx="4">
                  <c:v>558</c:v>
                </c:pt>
                <c:pt idx="5">
                  <c:v>545</c:v>
                </c:pt>
                <c:pt idx="6">
                  <c:v>543</c:v>
                </c:pt>
                <c:pt idx="7">
                  <c:v>550</c:v>
                </c:pt>
                <c:pt idx="8">
                  <c:v>546</c:v>
                </c:pt>
                <c:pt idx="9">
                  <c:v>540</c:v>
                </c:pt>
                <c:pt idx="10">
                  <c:v>535</c:v>
                </c:pt>
                <c:pt idx="11">
                  <c:v>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6-490E-B1C5-9C2169AEBE99}"/>
            </c:ext>
          </c:extLst>
        </c:ser>
        <c:ser>
          <c:idx val="1"/>
          <c:order val="1"/>
          <c:tx>
            <c:strRef>
              <c:f>'[1]EX2.2'!$C$11</c:f>
              <c:strCache>
                <c:ptCount val="1"/>
                <c:pt idx="0">
                  <c:v>4-MA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'[1]EX2.2'!$A$12:$A$24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</c:strCache>
            </c:strRef>
          </c:cat>
          <c:val>
            <c:numRef>
              <c:f>'[1]EX2.2'!$C$12:$C$24</c:f>
              <c:numCache>
                <c:formatCode>General</c:formatCode>
                <c:ptCount val="13"/>
                <c:pt idx="4">
                  <c:v>536</c:v>
                </c:pt>
                <c:pt idx="5">
                  <c:v>539.75</c:v>
                </c:pt>
                <c:pt idx="6">
                  <c:v>544</c:v>
                </c:pt>
                <c:pt idx="7">
                  <c:v>547</c:v>
                </c:pt>
                <c:pt idx="8">
                  <c:v>549</c:v>
                </c:pt>
                <c:pt idx="9">
                  <c:v>546</c:v>
                </c:pt>
                <c:pt idx="10">
                  <c:v>544.75</c:v>
                </c:pt>
                <c:pt idx="11">
                  <c:v>542.75</c:v>
                </c:pt>
                <c:pt idx="12">
                  <c:v>537.5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6-490E-B1C5-9C2169AEBE99}"/>
            </c:ext>
          </c:extLst>
        </c:ser>
        <c:ser>
          <c:idx val="2"/>
          <c:order val="2"/>
          <c:tx>
            <c:strRef>
              <c:f>'[1]EX2.2'!$D$11</c:f>
              <c:strCache>
                <c:ptCount val="1"/>
                <c:pt idx="0">
                  <c:v>6-MA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'[1]EX2.2'!$A$12:$A$24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January</c:v>
                </c:pt>
              </c:strCache>
            </c:strRef>
          </c:cat>
          <c:val>
            <c:numRef>
              <c:f>'[1]EX2.2'!$D$12:$D$24</c:f>
              <c:numCache>
                <c:formatCode>General</c:formatCode>
                <c:ptCount val="13"/>
                <c:pt idx="6">
                  <c:v>541.16666666666663</c:v>
                </c:pt>
                <c:pt idx="7">
                  <c:v>541.16666666666663</c:v>
                </c:pt>
                <c:pt idx="8">
                  <c:v>544.83333333333337</c:v>
                </c:pt>
                <c:pt idx="9">
                  <c:v>547.33333333333337</c:v>
                </c:pt>
                <c:pt idx="10">
                  <c:v>547</c:v>
                </c:pt>
                <c:pt idx="11">
                  <c:v>543.16666666666663</c:v>
                </c:pt>
                <c:pt idx="12">
                  <c:v>540.5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6-490E-B1C5-9C2169AEB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82280"/>
        <c:axId val="410089336"/>
      </c:lineChart>
      <c:catAx>
        <c:axId val="41008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0089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10089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0082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21655923876994"/>
          <c:y val="0.32478722841888247"/>
          <c:w val="0.12544824822232062"/>
          <c:h val="0.182336689638670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 2.27'!$H$4</c:f>
              <c:strCache>
                <c:ptCount val="1"/>
                <c:pt idx="0">
                  <c:v>Tracking 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 2.27'!$H$5:$H$52</c:f>
              <c:numCache>
                <c:formatCode>General</c:formatCode>
                <c:ptCount val="48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-2.6265497754571419</c:v>
                </c:pt>
                <c:pt idx="5">
                  <c:v>-2.1096599202828208</c:v>
                </c:pt>
                <c:pt idx="6">
                  <c:v>-2.890382196167073</c:v>
                </c:pt>
                <c:pt idx="7">
                  <c:v>-3.4463100249743688</c:v>
                </c:pt>
                <c:pt idx="8">
                  <c:v>-3.6117482235496907</c:v>
                </c:pt>
                <c:pt idx="9">
                  <c:v>-1.9178123750131304</c:v>
                </c:pt>
                <c:pt idx="10">
                  <c:v>-2.7291573611258761</c:v>
                </c:pt>
                <c:pt idx="11">
                  <c:v>-2.0212932870110878</c:v>
                </c:pt>
                <c:pt idx="12">
                  <c:v>-3.2651433776110559</c:v>
                </c:pt>
                <c:pt idx="13">
                  <c:v>-5.4837790406970042</c:v>
                </c:pt>
                <c:pt idx="14">
                  <c:v>-4.4752886389412945</c:v>
                </c:pt>
                <c:pt idx="15">
                  <c:v>-0.59963266919302982</c:v>
                </c:pt>
                <c:pt idx="16">
                  <c:v>0.88328128501351755</c:v>
                </c:pt>
                <c:pt idx="17">
                  <c:v>2.9376754921612491</c:v>
                </c:pt>
                <c:pt idx="18">
                  <c:v>4.7028878030832182</c:v>
                </c:pt>
                <c:pt idx="19">
                  <c:v>5.6855218221421504</c:v>
                </c:pt>
                <c:pt idx="20">
                  <c:v>3.3054074137577478</c:v>
                </c:pt>
                <c:pt idx="21">
                  <c:v>3.3411398679251327</c:v>
                </c:pt>
                <c:pt idx="22">
                  <c:v>3.6900876750860592</c:v>
                </c:pt>
                <c:pt idx="23">
                  <c:v>3.2458466007541573</c:v>
                </c:pt>
                <c:pt idx="24">
                  <c:v>4.1444054243042281</c:v>
                </c:pt>
                <c:pt idx="25">
                  <c:v>5.6740059512482128</c:v>
                </c:pt>
                <c:pt idx="26">
                  <c:v>4.7965611872404139</c:v>
                </c:pt>
                <c:pt idx="27">
                  <c:v>3.0806912058172111</c:v>
                </c:pt>
                <c:pt idx="28">
                  <c:v>4.4518935874270316</c:v>
                </c:pt>
                <c:pt idx="29">
                  <c:v>1.8102023140946901</c:v>
                </c:pt>
                <c:pt idx="30">
                  <c:v>-1.4356353865061566</c:v>
                </c:pt>
                <c:pt idx="31">
                  <c:v>-2.793059845685633</c:v>
                </c:pt>
                <c:pt idx="32">
                  <c:v>-4.1489265141454581</c:v>
                </c:pt>
                <c:pt idx="33">
                  <c:v>-2.3571165394690583</c:v>
                </c:pt>
                <c:pt idx="34">
                  <c:v>-1.1650728266281638</c:v>
                </c:pt>
                <c:pt idx="35">
                  <c:v>-0.91464552655495202</c:v>
                </c:pt>
                <c:pt idx="36">
                  <c:v>-1.4973567349545787</c:v>
                </c:pt>
                <c:pt idx="37">
                  <c:v>-1.9053640482529774</c:v>
                </c:pt>
                <c:pt idx="38">
                  <c:v>-1.4637353089497338</c:v>
                </c:pt>
                <c:pt idx="39">
                  <c:v>-2.3469301989078204</c:v>
                </c:pt>
                <c:pt idx="40">
                  <c:v>-0.15401082701899949</c:v>
                </c:pt>
                <c:pt idx="41">
                  <c:v>0.80023148967051672</c:v>
                </c:pt>
                <c:pt idx="42">
                  <c:v>0.78015276538580525</c:v>
                </c:pt>
                <c:pt idx="43">
                  <c:v>1.5583658749928744</c:v>
                </c:pt>
                <c:pt idx="44">
                  <c:v>1.7677469046554668</c:v>
                </c:pt>
                <c:pt idx="45">
                  <c:v>1.0100437190368678</c:v>
                </c:pt>
                <c:pt idx="46">
                  <c:v>-0.36521420060286203</c:v>
                </c:pt>
                <c:pt idx="47">
                  <c:v>-9.6236308481694108E-15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6-4C91-B5B3-B074AB75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41408"/>
        <c:axId val="410087376"/>
      </c:lineChart>
      <c:catAx>
        <c:axId val="41084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87376"/>
        <c:crosses val="autoZero"/>
        <c:auto val="1"/>
        <c:lblAlgn val="ctr"/>
        <c:lblOffset val="100"/>
        <c:noMultiLvlLbl val="0"/>
      </c:catAx>
      <c:valAx>
        <c:axId val="41008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 2.27'!$C$4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 2.27'!$C$5:$C$56</c:f>
              <c:numCache>
                <c:formatCode>General</c:formatCode>
                <c:ptCount val="52"/>
                <c:pt idx="0">
                  <c:v>154</c:v>
                </c:pt>
                <c:pt idx="1">
                  <c:v>146</c:v>
                </c:pt>
                <c:pt idx="2">
                  <c:v>165</c:v>
                </c:pt>
                <c:pt idx="3">
                  <c:v>163</c:v>
                </c:pt>
                <c:pt idx="4">
                  <c:v>193</c:v>
                </c:pt>
                <c:pt idx="5">
                  <c:v>185</c:v>
                </c:pt>
                <c:pt idx="6">
                  <c:v>166</c:v>
                </c:pt>
                <c:pt idx="7">
                  <c:v>173</c:v>
                </c:pt>
                <c:pt idx="8">
                  <c:v>179</c:v>
                </c:pt>
                <c:pt idx="9">
                  <c:v>196</c:v>
                </c:pt>
                <c:pt idx="10">
                  <c:v>169</c:v>
                </c:pt>
                <c:pt idx="11">
                  <c:v>188</c:v>
                </c:pt>
                <c:pt idx="12">
                  <c:v>164</c:v>
                </c:pt>
                <c:pt idx="13">
                  <c:v>144</c:v>
                </c:pt>
                <c:pt idx="14">
                  <c:v>195</c:v>
                </c:pt>
                <c:pt idx="15">
                  <c:v>234</c:v>
                </c:pt>
                <c:pt idx="16">
                  <c:v>207</c:v>
                </c:pt>
                <c:pt idx="17">
                  <c:v>221</c:v>
                </c:pt>
                <c:pt idx="18">
                  <c:v>220</c:v>
                </c:pt>
                <c:pt idx="19">
                  <c:v>203</c:v>
                </c:pt>
                <c:pt idx="20">
                  <c:v>144</c:v>
                </c:pt>
                <c:pt idx="21">
                  <c:v>184</c:v>
                </c:pt>
                <c:pt idx="22">
                  <c:v>191</c:v>
                </c:pt>
                <c:pt idx="23">
                  <c:v>178</c:v>
                </c:pt>
                <c:pt idx="24">
                  <c:v>204</c:v>
                </c:pt>
                <c:pt idx="25">
                  <c:v>219</c:v>
                </c:pt>
                <c:pt idx="26">
                  <c:v>173</c:v>
                </c:pt>
                <c:pt idx="27">
                  <c:v>160</c:v>
                </c:pt>
                <c:pt idx="28">
                  <c:v>218</c:v>
                </c:pt>
                <c:pt idx="29">
                  <c:v>143</c:v>
                </c:pt>
                <c:pt idx="30">
                  <c:v>125</c:v>
                </c:pt>
                <c:pt idx="31">
                  <c:v>163</c:v>
                </c:pt>
                <c:pt idx="32">
                  <c:v>163</c:v>
                </c:pt>
                <c:pt idx="33">
                  <c:v>233</c:v>
                </c:pt>
                <c:pt idx="34">
                  <c:v>222</c:v>
                </c:pt>
                <c:pt idx="35">
                  <c:v>202</c:v>
                </c:pt>
                <c:pt idx="36">
                  <c:v>184</c:v>
                </c:pt>
                <c:pt idx="37">
                  <c:v>189</c:v>
                </c:pt>
                <c:pt idx="38">
                  <c:v>208</c:v>
                </c:pt>
                <c:pt idx="39">
                  <c:v>180</c:v>
                </c:pt>
                <c:pt idx="40">
                  <c:v>246</c:v>
                </c:pt>
                <c:pt idx="41">
                  <c:v>221</c:v>
                </c:pt>
                <c:pt idx="42">
                  <c:v>200</c:v>
                </c:pt>
                <c:pt idx="43">
                  <c:v>218</c:v>
                </c:pt>
                <c:pt idx="44">
                  <c:v>206</c:v>
                </c:pt>
                <c:pt idx="45">
                  <c:v>187</c:v>
                </c:pt>
                <c:pt idx="46">
                  <c:v>175</c:v>
                </c:pt>
                <c:pt idx="47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9-4DF9-8C57-448CEE35042B}"/>
            </c:ext>
          </c:extLst>
        </c:ser>
        <c:ser>
          <c:idx val="1"/>
          <c:order val="1"/>
          <c:tx>
            <c:strRef>
              <c:f>'EX 2.27'!$D$4</c:f>
              <c:strCache>
                <c:ptCount val="1"/>
                <c:pt idx="0">
                  <c:v>Regression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 2.27'!$D$5:$D$56</c:f>
              <c:numCache>
                <c:formatCode>0.0</c:formatCode>
                <c:ptCount val="52"/>
                <c:pt idx="0">
                  <c:v>171.19302721088434</c:v>
                </c:pt>
                <c:pt idx="1">
                  <c:v>171.89846576928642</c:v>
                </c:pt>
                <c:pt idx="2">
                  <c:v>172.60390432768853</c:v>
                </c:pt>
                <c:pt idx="3">
                  <c:v>173.3093428860906</c:v>
                </c:pt>
                <c:pt idx="4">
                  <c:v>174.01478144449268</c:v>
                </c:pt>
                <c:pt idx="5">
                  <c:v>174.72022000289476</c:v>
                </c:pt>
                <c:pt idx="6">
                  <c:v>175.42565856129684</c:v>
                </c:pt>
                <c:pt idx="7">
                  <c:v>176.13109711969895</c:v>
                </c:pt>
                <c:pt idx="8">
                  <c:v>176.83653567810103</c:v>
                </c:pt>
                <c:pt idx="9">
                  <c:v>177.54197423650311</c:v>
                </c:pt>
                <c:pt idx="10">
                  <c:v>178.24741279490519</c:v>
                </c:pt>
                <c:pt idx="11">
                  <c:v>178.95285135330727</c:v>
                </c:pt>
                <c:pt idx="12">
                  <c:v>179.65828991170937</c:v>
                </c:pt>
                <c:pt idx="13">
                  <c:v>180.36372847011145</c:v>
                </c:pt>
                <c:pt idx="14">
                  <c:v>181.06916702851353</c:v>
                </c:pt>
                <c:pt idx="15">
                  <c:v>181.77460558691561</c:v>
                </c:pt>
                <c:pt idx="16">
                  <c:v>182.48004414531769</c:v>
                </c:pt>
                <c:pt idx="17">
                  <c:v>183.1854827037198</c:v>
                </c:pt>
                <c:pt idx="18">
                  <c:v>183.89092126212188</c:v>
                </c:pt>
                <c:pt idx="19">
                  <c:v>184.59635982052396</c:v>
                </c:pt>
                <c:pt idx="20">
                  <c:v>185.30179837892604</c:v>
                </c:pt>
                <c:pt idx="21">
                  <c:v>186.00723693732812</c:v>
                </c:pt>
                <c:pt idx="22">
                  <c:v>186.7126754957302</c:v>
                </c:pt>
                <c:pt idx="23">
                  <c:v>187.4181140541323</c:v>
                </c:pt>
                <c:pt idx="24">
                  <c:v>188.12355261253438</c:v>
                </c:pt>
                <c:pt idx="25">
                  <c:v>188.82899117093646</c:v>
                </c:pt>
                <c:pt idx="26">
                  <c:v>189.53442972933854</c:v>
                </c:pt>
                <c:pt idx="27">
                  <c:v>190.23986828774065</c:v>
                </c:pt>
                <c:pt idx="28">
                  <c:v>190.94530684614273</c:v>
                </c:pt>
                <c:pt idx="29">
                  <c:v>191.65074540454481</c:v>
                </c:pt>
                <c:pt idx="30">
                  <c:v>192.35618396294689</c:v>
                </c:pt>
                <c:pt idx="31">
                  <c:v>193.06162252134897</c:v>
                </c:pt>
                <c:pt idx="32">
                  <c:v>193.76706107975104</c:v>
                </c:pt>
                <c:pt idx="33">
                  <c:v>194.47249963815315</c:v>
                </c:pt>
                <c:pt idx="34">
                  <c:v>195.17793819655523</c:v>
                </c:pt>
                <c:pt idx="35">
                  <c:v>195.88337675495731</c:v>
                </c:pt>
                <c:pt idx="36">
                  <c:v>196.58881531335939</c:v>
                </c:pt>
                <c:pt idx="37">
                  <c:v>197.29425387176147</c:v>
                </c:pt>
                <c:pt idx="38">
                  <c:v>197.99969243016358</c:v>
                </c:pt>
                <c:pt idx="39">
                  <c:v>198.70513098856566</c:v>
                </c:pt>
                <c:pt idx="40">
                  <c:v>199.41056954696774</c:v>
                </c:pt>
                <c:pt idx="41">
                  <c:v>200.11600810536981</c:v>
                </c:pt>
                <c:pt idx="42">
                  <c:v>200.82144666377189</c:v>
                </c:pt>
                <c:pt idx="43">
                  <c:v>201.526885222174</c:v>
                </c:pt>
                <c:pt idx="44">
                  <c:v>202.23232378057608</c:v>
                </c:pt>
                <c:pt idx="45">
                  <c:v>202.93776233897816</c:v>
                </c:pt>
                <c:pt idx="46">
                  <c:v>203.64320089738024</c:v>
                </c:pt>
                <c:pt idx="47">
                  <c:v>204.34863945578235</c:v>
                </c:pt>
                <c:pt idx="48">
                  <c:v>205.05407801418443</c:v>
                </c:pt>
                <c:pt idx="49">
                  <c:v>205.75951657258651</c:v>
                </c:pt>
                <c:pt idx="50">
                  <c:v>206.46495513098859</c:v>
                </c:pt>
                <c:pt idx="51">
                  <c:v>207.17039368939066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9-4DF9-8C57-448CEE350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87768"/>
        <c:axId val="478854216"/>
      </c:lineChart>
      <c:catAx>
        <c:axId val="410087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54216"/>
        <c:crosses val="autoZero"/>
        <c:auto val="1"/>
        <c:lblAlgn val="ctr"/>
        <c:lblOffset val="100"/>
        <c:noMultiLvlLbl val="0"/>
      </c:catAx>
      <c:valAx>
        <c:axId val="47885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8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 2.29'!$G$3</c:f>
              <c:strCache>
                <c:ptCount val="1"/>
                <c:pt idx="0">
                  <c:v>Tracking Signal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 2.29'!$G$4:$G$13</c:f>
              <c:numCache>
                <c:formatCode>General</c:formatCode>
                <c:ptCount val="10"/>
                <c:pt idx="0">
                  <c:v>1</c:v>
                </c:pt>
                <c:pt idx="1">
                  <c:v>-0.29701230228470799</c:v>
                </c:pt>
                <c:pt idx="2">
                  <c:v>0.74525589419206972</c:v>
                </c:pt>
                <c:pt idx="3">
                  <c:v>0.28099580971161747</c:v>
                </c:pt>
                <c:pt idx="4">
                  <c:v>-0.1070543159792577</c:v>
                </c:pt>
                <c:pt idx="5">
                  <c:v>1.2635429367706004</c:v>
                </c:pt>
                <c:pt idx="6">
                  <c:v>-1.2952626641650997</c:v>
                </c:pt>
                <c:pt idx="7">
                  <c:v>-1.4228438228438194</c:v>
                </c:pt>
                <c:pt idx="8">
                  <c:v>0.18321054672353751</c:v>
                </c:pt>
                <c:pt idx="9">
                  <c:v>4.4552366103141426E-15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5-49EF-AB90-E7C993126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854608"/>
        <c:axId val="478853824"/>
      </c:lineChart>
      <c:catAx>
        <c:axId val="47885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53824"/>
        <c:crosses val="autoZero"/>
        <c:auto val="1"/>
        <c:lblAlgn val="ctr"/>
        <c:lblOffset val="100"/>
        <c:noMultiLvlLbl val="0"/>
      </c:catAx>
      <c:valAx>
        <c:axId val="4788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5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</a:t>
            </a:r>
            <a:r>
              <a:rPr lang="en-US" baseline="0"/>
              <a:t> vs Actual Demand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 2.29'!$B$3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 2.29'!$B$4:$B$18</c:f>
              <c:numCache>
                <c:formatCode>General</c:formatCode>
                <c:ptCount val="15"/>
                <c:pt idx="0">
                  <c:v>223</c:v>
                </c:pt>
                <c:pt idx="1">
                  <c:v>228</c:v>
                </c:pt>
                <c:pt idx="2">
                  <c:v>262</c:v>
                </c:pt>
                <c:pt idx="3">
                  <c:v>270</c:v>
                </c:pt>
                <c:pt idx="4">
                  <c:v>290</c:v>
                </c:pt>
                <c:pt idx="5">
                  <c:v>319</c:v>
                </c:pt>
                <c:pt idx="6">
                  <c:v>313</c:v>
                </c:pt>
                <c:pt idx="7">
                  <c:v>349</c:v>
                </c:pt>
                <c:pt idx="8">
                  <c:v>378</c:v>
                </c:pt>
                <c:pt idx="9">
                  <c:v>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3B3-BB6A-013AEF884C22}"/>
            </c:ext>
          </c:extLst>
        </c:ser>
        <c:ser>
          <c:idx val="2"/>
          <c:order val="1"/>
          <c:tx>
            <c:strRef>
              <c:f>'EX 2.29'!$C$3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 2.29'!$C$4:$C$18</c:f>
              <c:numCache>
                <c:formatCode>0.00</c:formatCode>
                <c:ptCount val="15"/>
                <c:pt idx="0">
                  <c:v>217.12727272727273</c:v>
                </c:pt>
                <c:pt idx="1">
                  <c:v>235.92121212121211</c:v>
                </c:pt>
                <c:pt idx="2">
                  <c:v>254.71515151515149</c:v>
                </c:pt>
                <c:pt idx="3">
                  <c:v>273.5090909090909</c:v>
                </c:pt>
                <c:pt idx="4">
                  <c:v>292.30303030303031</c:v>
                </c:pt>
                <c:pt idx="5">
                  <c:v>311.09696969696972</c:v>
                </c:pt>
                <c:pt idx="6">
                  <c:v>329.89090909090908</c:v>
                </c:pt>
                <c:pt idx="7">
                  <c:v>348.68484848484849</c:v>
                </c:pt>
                <c:pt idx="8">
                  <c:v>367.4787878787879</c:v>
                </c:pt>
                <c:pt idx="9">
                  <c:v>386.27272727272725</c:v>
                </c:pt>
                <c:pt idx="10">
                  <c:v>405.06666666666666</c:v>
                </c:pt>
                <c:pt idx="11">
                  <c:v>423.86060606060607</c:v>
                </c:pt>
                <c:pt idx="12">
                  <c:v>442.65454545454548</c:v>
                </c:pt>
                <c:pt idx="13">
                  <c:v>461.44848484848484</c:v>
                </c:pt>
                <c:pt idx="14">
                  <c:v>480.24242424242425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3B3-BB6A-013AEF884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855000"/>
        <c:axId val="478853040"/>
      </c:lineChart>
      <c:catAx>
        <c:axId val="47885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53040"/>
        <c:crosses val="autoZero"/>
        <c:auto val="1"/>
        <c:lblAlgn val="ctr"/>
        <c:lblOffset val="100"/>
        <c:noMultiLvlLbl val="0"/>
      </c:catAx>
      <c:valAx>
        <c:axId val="478853040"/>
        <c:scaling>
          <c:orientation val="minMax"/>
          <c:max val="5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5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Admissions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 2.6'!$B$3</c:f>
              <c:strCache>
                <c:ptCount val="1"/>
                <c:pt idx="0">
                  <c:v>Actual Admissions</c:v>
                </c:pt>
              </c:strCache>
            </c:strRef>
          </c:tx>
          <c:val>
            <c:numRef>
              <c:f>'EX 2.6'!$B$4:$B$14</c:f>
              <c:numCache>
                <c:formatCode>General</c:formatCode>
                <c:ptCount val="11"/>
                <c:pt idx="0">
                  <c:v>263</c:v>
                </c:pt>
                <c:pt idx="1">
                  <c:v>315</c:v>
                </c:pt>
                <c:pt idx="2">
                  <c:v>365</c:v>
                </c:pt>
                <c:pt idx="3">
                  <c:v>402</c:v>
                </c:pt>
                <c:pt idx="4">
                  <c:v>447</c:v>
                </c:pt>
                <c:pt idx="5">
                  <c:v>493</c:v>
                </c:pt>
                <c:pt idx="6">
                  <c:v>460</c:v>
                </c:pt>
                <c:pt idx="7">
                  <c:v>469</c:v>
                </c:pt>
                <c:pt idx="8">
                  <c:v>470</c:v>
                </c:pt>
                <c:pt idx="9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3-4FCB-87C9-DDF52C438CCF}"/>
            </c:ext>
          </c:extLst>
        </c:ser>
        <c:ser>
          <c:idx val="2"/>
          <c:order val="1"/>
          <c:tx>
            <c:strRef>
              <c:f>'EX 2.6'!$C$3</c:f>
              <c:strCache>
                <c:ptCount val="1"/>
                <c:pt idx="0">
                  <c:v>Prediction by 3-MA</c:v>
                </c:pt>
              </c:strCache>
            </c:strRef>
          </c:tx>
          <c:val>
            <c:numRef>
              <c:f>'EX 2.6'!$C$4:$C$14</c:f>
              <c:numCache>
                <c:formatCode>General</c:formatCode>
                <c:ptCount val="11"/>
                <c:pt idx="3" formatCode="0.00">
                  <c:v>314.33333333333331</c:v>
                </c:pt>
                <c:pt idx="4" formatCode="0.00">
                  <c:v>360.66666666666669</c:v>
                </c:pt>
                <c:pt idx="5" formatCode="0.00">
                  <c:v>404.66666666666669</c:v>
                </c:pt>
                <c:pt idx="6" formatCode="0.00">
                  <c:v>447.33333333333331</c:v>
                </c:pt>
                <c:pt idx="7" formatCode="0.00">
                  <c:v>466.66666666666669</c:v>
                </c:pt>
                <c:pt idx="8" formatCode="0.00">
                  <c:v>474</c:v>
                </c:pt>
                <c:pt idx="9" formatCode="0.00">
                  <c:v>466.33333333333331</c:v>
                </c:pt>
                <c:pt idx="10" formatCode="0.00">
                  <c:v>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3-4FCB-87C9-DDF52C438CCF}"/>
            </c:ext>
          </c:extLst>
        </c:ser>
        <c:ser>
          <c:idx val="3"/>
          <c:order val="2"/>
          <c:tx>
            <c:strRef>
              <c:f>'EX 2.6'!$D$3</c:f>
              <c:strCache>
                <c:ptCount val="1"/>
                <c:pt idx="0">
                  <c:v>Prediction by 5-MA</c:v>
                </c:pt>
              </c:strCache>
            </c:strRef>
          </c:tx>
          <c:val>
            <c:numRef>
              <c:f>'EX 2.6'!$D$4:$D$14</c:f>
              <c:numCache>
                <c:formatCode>General</c:formatCode>
                <c:ptCount val="11"/>
                <c:pt idx="5" formatCode="0.00">
                  <c:v>358.4</c:v>
                </c:pt>
                <c:pt idx="6" formatCode="0.00">
                  <c:v>404.4</c:v>
                </c:pt>
                <c:pt idx="7" formatCode="0.00">
                  <c:v>433.4</c:v>
                </c:pt>
                <c:pt idx="8" formatCode="0.00">
                  <c:v>454.2</c:v>
                </c:pt>
                <c:pt idx="9" formatCode="0.00">
                  <c:v>467.8</c:v>
                </c:pt>
                <c:pt idx="10" formatCode="0.00">
                  <c:v>469.6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23-4FCB-87C9-DDF52C438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84632"/>
        <c:axId val="410085808"/>
      </c:lineChart>
      <c:catAx>
        <c:axId val="410084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majorTickMark val="none"/>
        <c:minorTickMark val="none"/>
        <c:tickLblPos val="nextTo"/>
        <c:crossAx val="410085808"/>
        <c:crosses val="autoZero"/>
        <c:auto val="1"/>
        <c:lblAlgn val="ctr"/>
        <c:lblOffset val="100"/>
        <c:noMultiLvlLbl val="0"/>
      </c:catAx>
      <c:valAx>
        <c:axId val="410085808"/>
        <c:scaling>
          <c:orientation val="minMax"/>
          <c:min val="2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Admissions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10084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Admissions Data</a:t>
            </a:r>
          </a:p>
        </c:rich>
      </c:tx>
      <c:layout>
        <c:manualLayout>
          <c:xMode val="edge"/>
          <c:yMode val="edge"/>
          <c:x val="0.39158637930189893"/>
          <c:y val="3.61842686450655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7815972984888"/>
          <c:y val="0.22039509083812647"/>
          <c:w val="0.68123084994255967"/>
          <c:h val="0.55263246657918286"/>
        </c:manualLayout>
      </c:layout>
      <c:scatterChart>
        <c:scatterStyle val="smoothMarker"/>
        <c:varyColors val="0"/>
        <c:ser>
          <c:idx val="0"/>
          <c:order val="0"/>
          <c:tx>
            <c:v>Actual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'[1]EX2.5'!$B$5:$B$23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'[1]EX2.5'!$D$5:$D$23</c:f>
              <c:numCache>
                <c:formatCode>General</c:formatCode>
                <c:ptCount val="19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15</c:v>
                </c:pt>
                <c:pt idx="4">
                  <c:v>12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12</c:v>
                </c:pt>
                <c:pt idx="9">
                  <c:v>8</c:v>
                </c:pt>
                <c:pt idx="10">
                  <c:v>13</c:v>
                </c:pt>
                <c:pt idx="11">
                  <c:v>11</c:v>
                </c:pt>
                <c:pt idx="12">
                  <c:v>15</c:v>
                </c:pt>
                <c:pt idx="13">
                  <c:v>17</c:v>
                </c:pt>
                <c:pt idx="14">
                  <c:v>14</c:v>
                </c:pt>
                <c:pt idx="15">
                  <c:v>19</c:v>
                </c:pt>
                <c:pt idx="16">
                  <c:v>13</c:v>
                </c:pt>
                <c:pt idx="17">
                  <c:v>17</c:v>
                </c:pt>
                <c:pt idx="18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01-4E52-AEFF-1EFBDEBFC6AC}"/>
            </c:ext>
          </c:extLst>
        </c:ser>
        <c:ser>
          <c:idx val="1"/>
          <c:order val="1"/>
          <c:tx>
            <c:v>Forecasted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'[1]EX2.5'!$B$5:$B$23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'[1]EX2.5'!$E$5:$E$23</c:f>
              <c:numCache>
                <c:formatCode>General</c:formatCode>
                <c:ptCount val="19"/>
                <c:pt idx="0">
                  <c:v>11.657897</c:v>
                </c:pt>
                <c:pt idx="1">
                  <c:v>11.824564000000001</c:v>
                </c:pt>
                <c:pt idx="2">
                  <c:v>11.991230999999999</c:v>
                </c:pt>
                <c:pt idx="3">
                  <c:v>12.157897999999999</c:v>
                </c:pt>
                <c:pt idx="4">
                  <c:v>12.324565</c:v>
                </c:pt>
                <c:pt idx="5">
                  <c:v>12.491232</c:v>
                </c:pt>
                <c:pt idx="6">
                  <c:v>12.657899</c:v>
                </c:pt>
                <c:pt idx="7">
                  <c:v>12.824566000000001</c:v>
                </c:pt>
                <c:pt idx="8">
                  <c:v>12.991232999999999</c:v>
                </c:pt>
                <c:pt idx="9">
                  <c:v>13.1579</c:v>
                </c:pt>
                <c:pt idx="10">
                  <c:v>13.324567</c:v>
                </c:pt>
                <c:pt idx="11">
                  <c:v>13.491234</c:v>
                </c:pt>
                <c:pt idx="12">
                  <c:v>13.657900999999999</c:v>
                </c:pt>
                <c:pt idx="13">
                  <c:v>13.824567999999999</c:v>
                </c:pt>
                <c:pt idx="14">
                  <c:v>13.991235</c:v>
                </c:pt>
                <c:pt idx="15">
                  <c:v>14.157902</c:v>
                </c:pt>
                <c:pt idx="16">
                  <c:v>14.324569</c:v>
                </c:pt>
                <c:pt idx="17">
                  <c:v>14.491236000000001</c:v>
                </c:pt>
                <c:pt idx="18">
                  <c:v>14.657903000000001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01-4E52-AEFF-1EFBDEBFC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88552"/>
        <c:axId val="410089728"/>
      </c:scatterChart>
      <c:valAx>
        <c:axId val="41008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</a:t>
                </a:r>
              </a:p>
            </c:rich>
          </c:tx>
          <c:layout>
            <c:manualLayout>
              <c:xMode val="edge"/>
              <c:yMode val="edge"/>
              <c:x val="0.38025950056176133"/>
              <c:y val="0.87500140541703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0089728"/>
        <c:crosses val="autoZero"/>
        <c:crossBetween val="midCat"/>
      </c:valAx>
      <c:valAx>
        <c:axId val="410089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Admissions</a:t>
                </a:r>
              </a:p>
            </c:rich>
          </c:tx>
          <c:layout>
            <c:manualLayout>
              <c:xMode val="edge"/>
              <c:yMode val="edge"/>
              <c:x val="2.589000854888588E-2"/>
              <c:y val="0.37500060232158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0088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77152035851597"/>
          <c:y val="0.42763226580532004"/>
          <c:w val="0.16828505556775822"/>
          <c:h val="0.141447595612528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Weekly Visits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 2.11'!$C$4</c:f>
              <c:strCache>
                <c:ptCount val="1"/>
                <c:pt idx="0">
                  <c:v>Avg. Weekly Visits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 2.11'!$C$5:$C$21</c:f>
              <c:numCache>
                <c:formatCode>General</c:formatCode>
                <c:ptCount val="17"/>
                <c:pt idx="0">
                  <c:v>541</c:v>
                </c:pt>
                <c:pt idx="1">
                  <c:v>493</c:v>
                </c:pt>
                <c:pt idx="2">
                  <c:v>523</c:v>
                </c:pt>
                <c:pt idx="3">
                  <c:v>622</c:v>
                </c:pt>
                <c:pt idx="4">
                  <c:v>614</c:v>
                </c:pt>
                <c:pt idx="5">
                  <c:v>678</c:v>
                </c:pt>
                <c:pt idx="6">
                  <c:v>614</c:v>
                </c:pt>
                <c:pt idx="7">
                  <c:v>644</c:v>
                </c:pt>
                <c:pt idx="8">
                  <c:v>685</c:v>
                </c:pt>
                <c:pt idx="9">
                  <c:v>728</c:v>
                </c:pt>
                <c:pt idx="10">
                  <c:v>768</c:v>
                </c:pt>
                <c:pt idx="11">
                  <c:v>772</c:v>
                </c:pt>
                <c:pt idx="12">
                  <c:v>741</c:v>
                </c:pt>
                <c:pt idx="13">
                  <c:v>879</c:v>
                </c:pt>
                <c:pt idx="14">
                  <c:v>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5-4497-961D-1892CF05DFF9}"/>
            </c:ext>
          </c:extLst>
        </c:ser>
        <c:ser>
          <c:idx val="1"/>
          <c:order val="1"/>
          <c:tx>
            <c:strRef>
              <c:f>'EX 2.11'!$D$4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 2.11'!$D$5:$D$21</c:f>
              <c:numCache>
                <c:formatCode>0.0</c:formatCode>
                <c:ptCount val="17"/>
                <c:pt idx="0">
                  <c:v>495.375</c:v>
                </c:pt>
                <c:pt idx="1">
                  <c:v>522.29285714285709</c:v>
                </c:pt>
                <c:pt idx="2">
                  <c:v>549.21071428571429</c:v>
                </c:pt>
                <c:pt idx="3">
                  <c:v>576.12857142857138</c:v>
                </c:pt>
                <c:pt idx="4">
                  <c:v>603.04642857142858</c:v>
                </c:pt>
                <c:pt idx="5">
                  <c:v>629.96428571428567</c:v>
                </c:pt>
                <c:pt idx="6">
                  <c:v>656.88214285714275</c:v>
                </c:pt>
                <c:pt idx="7">
                  <c:v>683.8</c:v>
                </c:pt>
                <c:pt idx="8">
                  <c:v>710.71785714285716</c:v>
                </c:pt>
                <c:pt idx="9">
                  <c:v>737.63571428571424</c:v>
                </c:pt>
                <c:pt idx="10">
                  <c:v>764.55357142857133</c:v>
                </c:pt>
                <c:pt idx="11">
                  <c:v>791.47142857142853</c:v>
                </c:pt>
                <c:pt idx="12">
                  <c:v>818.38928571428562</c:v>
                </c:pt>
                <c:pt idx="13">
                  <c:v>845.30714285714271</c:v>
                </c:pt>
                <c:pt idx="14">
                  <c:v>872.22499999999991</c:v>
                </c:pt>
                <c:pt idx="15">
                  <c:v>899.14285714285711</c:v>
                </c:pt>
                <c:pt idx="16">
                  <c:v>926.0607142857142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5-4497-961D-1892CF05D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41800"/>
        <c:axId val="410842192"/>
      </c:lineChart>
      <c:catAx>
        <c:axId val="410841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42192"/>
        <c:crosses val="autoZero"/>
        <c:auto val="1"/>
        <c:lblAlgn val="ctr"/>
        <c:lblOffset val="100"/>
        <c:noMultiLvlLbl val="0"/>
      </c:catAx>
      <c:valAx>
        <c:axId val="41084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4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00015980127823"/>
          <c:y val="0.15879844965301609"/>
          <c:w val="0.7436370238254828"/>
          <c:h val="0.69313377348546212"/>
        </c:manualLayout>
      </c:layout>
      <c:scatterChart>
        <c:scatterStyle val="lineMarker"/>
        <c:varyColors val="0"/>
        <c:ser>
          <c:idx val="0"/>
          <c:order val="0"/>
          <c:tx>
            <c:v>EX 2.6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5432112496400439"/>
                  <c:y val="-0.13791751572107494"/>
                </c:manualLayout>
              </c:layout>
              <c:tx>
                <c:rich>
                  <a:bodyPr/>
                  <a:lstStyle/>
                  <a:p>
                    <a:pPr>
                      <a:defRPr sz="10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y = 37561 - 9.1086x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'[1]EX2.6'!$B$5:$B$21</c:f>
              <c:numCache>
                <c:formatCode>General</c:formatCode>
                <c:ptCount val="17"/>
                <c:pt idx="0">
                  <c:v>516</c:v>
                </c:pt>
                <c:pt idx="1">
                  <c:v>530</c:v>
                </c:pt>
                <c:pt idx="2">
                  <c:v>528</c:v>
                </c:pt>
                <c:pt idx="3">
                  <c:v>517</c:v>
                </c:pt>
                <c:pt idx="4">
                  <c:v>500</c:v>
                </c:pt>
                <c:pt idx="5">
                  <c:v>514</c:v>
                </c:pt>
                <c:pt idx="6">
                  <c:v>515</c:v>
                </c:pt>
                <c:pt idx="7">
                  <c:v>509</c:v>
                </c:pt>
                <c:pt idx="8">
                  <c:v>524</c:v>
                </c:pt>
                <c:pt idx="9">
                  <c:v>524</c:v>
                </c:pt>
                <c:pt idx="10">
                  <c:v>539</c:v>
                </c:pt>
                <c:pt idx="11">
                  <c:v>551</c:v>
                </c:pt>
                <c:pt idx="12">
                  <c:v>543</c:v>
                </c:pt>
                <c:pt idx="13">
                  <c:v>528</c:v>
                </c:pt>
                <c:pt idx="14">
                  <c:v>531</c:v>
                </c:pt>
                <c:pt idx="15">
                  <c:v>542</c:v>
                </c:pt>
                <c:pt idx="16">
                  <c:v>558</c:v>
                </c:pt>
              </c:numCache>
            </c:numRef>
          </c:xVal>
          <c:yVal>
            <c:numRef>
              <c:f>'[1]EX2.6'!$A$5:$A$21</c:f>
              <c:numCache>
                <c:formatCode>General</c:formatCode>
                <c:ptCount val="17"/>
                <c:pt idx="0">
                  <c:v>32996</c:v>
                </c:pt>
                <c:pt idx="1">
                  <c:v>34242</c:v>
                </c:pt>
                <c:pt idx="2">
                  <c:v>27825</c:v>
                </c:pt>
                <c:pt idx="3">
                  <c:v>29807</c:v>
                </c:pt>
                <c:pt idx="4">
                  <c:v>28692</c:v>
                </c:pt>
                <c:pt idx="5">
                  <c:v>34449</c:v>
                </c:pt>
                <c:pt idx="6">
                  <c:v>33335</c:v>
                </c:pt>
                <c:pt idx="7">
                  <c:v>38217</c:v>
                </c:pt>
                <c:pt idx="8">
                  <c:v>36690</c:v>
                </c:pt>
                <c:pt idx="9">
                  <c:v>35303</c:v>
                </c:pt>
                <c:pt idx="10">
                  <c:v>33780</c:v>
                </c:pt>
                <c:pt idx="11">
                  <c:v>32843</c:v>
                </c:pt>
                <c:pt idx="12">
                  <c:v>37781</c:v>
                </c:pt>
                <c:pt idx="13">
                  <c:v>27716</c:v>
                </c:pt>
                <c:pt idx="14">
                  <c:v>31876</c:v>
                </c:pt>
                <c:pt idx="15">
                  <c:v>31463</c:v>
                </c:pt>
                <c:pt idx="16">
                  <c:v>29829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F-45EA-94E2-0ABA247C3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46504"/>
        <c:axId val="410846896"/>
      </c:scatterChart>
      <c:valAx>
        <c:axId val="410846504"/>
        <c:scaling>
          <c:orientation val="minMax"/>
          <c:min val="5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0.52000046164813707"/>
              <c:y val="0.918455897993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0846896"/>
        <c:crosses val="autoZero"/>
        <c:crossBetween val="midCat"/>
      </c:valAx>
      <c:valAx>
        <c:axId val="410846896"/>
        <c:scaling>
          <c:orientation val="minMax"/>
          <c:min val="2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 ($)</a:t>
                </a:r>
              </a:p>
            </c:rich>
          </c:tx>
          <c:layout>
            <c:manualLayout>
              <c:xMode val="edge"/>
              <c:yMode val="edge"/>
              <c:x val="3.2727301782050584E-2"/>
              <c:y val="0.45064424901531591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0846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 2.13'!$D$4</c:f>
              <c:strCache>
                <c:ptCount val="1"/>
                <c:pt idx="0">
                  <c:v>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 2.13'!$D$5:$D$22</c:f>
              <c:numCache>
                <c:formatCode>#,##0</c:formatCode>
                <c:ptCount val="18"/>
                <c:pt idx="0">
                  <c:v>46718</c:v>
                </c:pt>
                <c:pt idx="1">
                  <c:v>53250</c:v>
                </c:pt>
                <c:pt idx="2">
                  <c:v>47376</c:v>
                </c:pt>
                <c:pt idx="3">
                  <c:v>31390</c:v>
                </c:pt>
                <c:pt idx="4">
                  <c:v>41561</c:v>
                </c:pt>
                <c:pt idx="5">
                  <c:v>35108</c:v>
                </c:pt>
                <c:pt idx="6">
                  <c:v>33728</c:v>
                </c:pt>
                <c:pt idx="7">
                  <c:v>28830</c:v>
                </c:pt>
                <c:pt idx="8">
                  <c:v>29568</c:v>
                </c:pt>
                <c:pt idx="9">
                  <c:v>32266</c:v>
                </c:pt>
                <c:pt idx="10">
                  <c:v>38778</c:v>
                </c:pt>
                <c:pt idx="11">
                  <c:v>42630</c:v>
                </c:pt>
                <c:pt idx="12">
                  <c:v>36975</c:v>
                </c:pt>
                <c:pt idx="13">
                  <c:v>30530</c:v>
                </c:pt>
                <c:pt idx="14">
                  <c:v>28080</c:v>
                </c:pt>
                <c:pt idx="15">
                  <c:v>29748</c:v>
                </c:pt>
                <c:pt idx="16">
                  <c:v>23790</c:v>
                </c:pt>
                <c:pt idx="17">
                  <c:v>22704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6A-4D1A-8C89-5976910353D3}"/>
            </c:ext>
          </c:extLst>
        </c:ser>
        <c:ser>
          <c:idx val="1"/>
          <c:order val="1"/>
          <c:tx>
            <c:strRef>
              <c:f>'EX 2.13'!$E$4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 2.13'!$E$5:$E$22</c:f>
              <c:numCache>
                <c:formatCode>#,##0.00</c:formatCode>
                <c:ptCount val="18"/>
                <c:pt idx="0">
                  <c:v>47172.103327495621</c:v>
                </c:pt>
                <c:pt idx="1">
                  <c:v>51030.457968476359</c:v>
                </c:pt>
                <c:pt idx="2">
                  <c:v>47172.103327495621</c:v>
                </c:pt>
                <c:pt idx="3">
                  <c:v>30254.702209349325</c:v>
                </c:pt>
                <c:pt idx="4">
                  <c:v>42720.155664825543</c:v>
                </c:pt>
                <c:pt idx="5">
                  <c:v>37229.420214199112</c:v>
                </c:pt>
                <c:pt idx="6">
                  <c:v>35151.844638286413</c:v>
                </c:pt>
                <c:pt idx="7">
                  <c:v>25951.152802101584</c:v>
                </c:pt>
                <c:pt idx="8">
                  <c:v>26841.542334635596</c:v>
                </c:pt>
                <c:pt idx="9">
                  <c:v>31145.091741883341</c:v>
                </c:pt>
                <c:pt idx="10">
                  <c:v>40048.987067223497</c:v>
                </c:pt>
                <c:pt idx="11">
                  <c:v>41978.164387713863</c:v>
                </c:pt>
                <c:pt idx="12">
                  <c:v>36190.632426242766</c:v>
                </c:pt>
                <c:pt idx="13">
                  <c:v>30254.702209349325</c:v>
                </c:pt>
                <c:pt idx="14">
                  <c:v>29215.914421392972</c:v>
                </c:pt>
                <c:pt idx="15">
                  <c:v>31293.489997305674</c:v>
                </c:pt>
                <c:pt idx="16">
                  <c:v>25505.958035834574</c:v>
                </c:pt>
                <c:pt idx="17">
                  <c:v>23873.577226188878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6A-4D1A-8C89-597691035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42976"/>
        <c:axId val="410847680"/>
      </c:lineChart>
      <c:catAx>
        <c:axId val="41084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47680"/>
        <c:crosses val="autoZero"/>
        <c:auto val="1"/>
        <c:lblAlgn val="ctr"/>
        <c:lblOffset val="100"/>
        <c:noMultiLvlLbl val="0"/>
      </c:catAx>
      <c:valAx>
        <c:axId val="4108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35859857785649"/>
          <c:y val="7.3863738824655467E-2"/>
          <c:w val="0.64516241942907748"/>
          <c:h val="0.85511482254697291"/>
        </c:manualLayout>
      </c:layout>
      <c:lineChart>
        <c:grouping val="standard"/>
        <c:varyColors val="0"/>
        <c:ser>
          <c:idx val="0"/>
          <c:order val="0"/>
          <c:tx>
            <c:strRef>
              <c:f>'[1]EX2.12'!$B$22</c:f>
              <c:strCache>
                <c:ptCount val="1"/>
                <c:pt idx="0">
                  <c:v>4-MA Tracking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'[1]EX2.12'!$A$23:$A$30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'[1]EX2.12'!$B$23:$B$30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2.7876106194690267</c:v>
                </c:pt>
                <c:pt idx="3">
                  <c:v>3.7440000000000002</c:v>
                </c:pt>
                <c:pt idx="4">
                  <c:v>3.832116788321168</c:v>
                </c:pt>
                <c:pt idx="5">
                  <c:v>3.018633540372671</c:v>
                </c:pt>
                <c:pt idx="6">
                  <c:v>1.47</c:v>
                </c:pt>
                <c:pt idx="7">
                  <c:v>-0.40784313725490196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8-442A-A56F-77280FAFAA53}"/>
            </c:ext>
          </c:extLst>
        </c:ser>
        <c:ser>
          <c:idx val="1"/>
          <c:order val="1"/>
          <c:tx>
            <c:strRef>
              <c:f>'[1]EX2.12'!$C$22</c:f>
              <c:strCache>
                <c:ptCount val="1"/>
                <c:pt idx="0">
                  <c:v>6-MA Tracking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'[1]EX2.12'!$A$23:$A$30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'[1]EX2.12'!$C$23:$C$30</c:f>
              <c:numCache>
                <c:formatCode>General</c:formatCode>
                <c:ptCount val="8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0.93913370133461249</c:v>
                </c:pt>
                <c:pt idx="6">
                  <c:v>-1.2032111298633787</c:v>
                </c:pt>
                <c:pt idx="7">
                  <c:v>-2.8676535791570421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18-442A-A56F-77280FAF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48464"/>
        <c:axId val="410845328"/>
      </c:lineChart>
      <c:catAx>
        <c:axId val="41084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084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1084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084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523431415615573"/>
          <c:y val="0.44034151991621528"/>
          <c:w val="0.2204304933049348"/>
          <c:h val="0.122159260363853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 2.24'!$G$29</c:f>
              <c:strCache>
                <c:ptCount val="1"/>
                <c:pt idx="0">
                  <c:v>Tracking Signal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 2.24'!$G$30:$G$44</c:f>
              <c:numCache>
                <c:formatCode>General</c:formatCode>
                <c:ptCount val="15"/>
                <c:pt idx="1">
                  <c:v>-1</c:v>
                </c:pt>
                <c:pt idx="2">
                  <c:v>-2</c:v>
                </c:pt>
                <c:pt idx="3">
                  <c:v>-0.75</c:v>
                </c:pt>
                <c:pt idx="4">
                  <c:v>-1.4252873563218391</c:v>
                </c:pt>
                <c:pt idx="5">
                  <c:v>-1.9454545454545455</c:v>
                </c:pt>
                <c:pt idx="6">
                  <c:v>-3.0089020771513355</c:v>
                </c:pt>
                <c:pt idx="7">
                  <c:v>-3.3265306122448979</c:v>
                </c:pt>
                <c:pt idx="8">
                  <c:v>-2.881720430107527</c:v>
                </c:pt>
                <c:pt idx="9">
                  <c:v>-1.5416666666666667</c:v>
                </c:pt>
                <c:pt idx="10">
                  <c:v>-1.3707865168539326</c:v>
                </c:pt>
                <c:pt idx="11">
                  <c:v>-2.2727272727272729</c:v>
                </c:pt>
                <c:pt idx="12">
                  <c:v>-3.2061068702290076</c:v>
                </c:pt>
                <c:pt idx="13">
                  <c:v>-3.5988700564971752</c:v>
                </c:pt>
                <c:pt idx="14">
                  <c:v>-3.4165137614678898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B-40D3-B24E-9C7E1B147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848072"/>
        <c:axId val="410845720"/>
      </c:lineChart>
      <c:catAx>
        <c:axId val="4108480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45720"/>
        <c:crosses val="autoZero"/>
        <c:auto val="1"/>
        <c:lblAlgn val="ctr"/>
        <c:lblOffset val="100"/>
        <c:noMultiLvlLbl val="0"/>
      </c:catAx>
      <c:valAx>
        <c:axId val="41084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48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 2.25'!$G$5</c:f>
              <c:strCache>
                <c:ptCount val="1"/>
                <c:pt idx="0">
                  <c:v>Tracking Signal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 2.25'!$G$6:$G$12</c:f>
              <c:numCache>
                <c:formatCode>#,##0.0</c:formatCode>
                <c:ptCount val="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4-4906-9279-6B6DBB17E693}"/>
            </c:ext>
          </c:extLst>
        </c:ser>
        <c:ser>
          <c:idx val="2"/>
          <c:order val="1"/>
          <c:tx>
            <c:strRef>
              <c:f>'EX 2.25'!$N$5</c:f>
              <c:strCache>
                <c:ptCount val="1"/>
                <c:pt idx="0">
                  <c:v>Tracking Signal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 2.25'!$N$6:$N$12</c:f>
              <c:numCache>
                <c:formatCode>0.0</c:formatCode>
                <c:ptCount val="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4-4906-9279-6B6DBB17E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843368"/>
        <c:axId val="410844544"/>
      </c:lineChart>
      <c:catAx>
        <c:axId val="410843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44544"/>
        <c:crosses val="autoZero"/>
        <c:auto val="1"/>
        <c:lblAlgn val="ctr"/>
        <c:lblOffset val="100"/>
        <c:noMultiLvlLbl val="0"/>
      </c:catAx>
      <c:valAx>
        <c:axId val="4108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4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EX 2.26'!A1"/><Relationship Id="rId13" Type="http://schemas.openxmlformats.org/officeDocument/2006/relationships/hyperlink" Target="#'EX 2.17'!A1"/><Relationship Id="rId18" Type="http://schemas.openxmlformats.org/officeDocument/2006/relationships/hyperlink" Target="#'EX 2.28'!A1"/><Relationship Id="rId26" Type="http://schemas.openxmlformats.org/officeDocument/2006/relationships/hyperlink" Target="#'EX 2.10'!A1"/><Relationship Id="rId3" Type="http://schemas.openxmlformats.org/officeDocument/2006/relationships/hyperlink" Target="#'EX 2.3'!A1"/><Relationship Id="rId21" Type="http://schemas.openxmlformats.org/officeDocument/2006/relationships/hyperlink" Target="#'EX 2.14'!A1"/><Relationship Id="rId7" Type="http://schemas.openxmlformats.org/officeDocument/2006/relationships/hyperlink" Target="#'EX 2.21'!A1"/><Relationship Id="rId12" Type="http://schemas.openxmlformats.org/officeDocument/2006/relationships/hyperlink" Target="#'EX 2.13'!A1"/><Relationship Id="rId17" Type="http://schemas.openxmlformats.org/officeDocument/2006/relationships/hyperlink" Target="#'EX 2.27'!A1"/><Relationship Id="rId25" Type="http://schemas.openxmlformats.org/officeDocument/2006/relationships/hyperlink" Target="#'EX 2.5'!A1"/><Relationship Id="rId2" Type="http://schemas.openxmlformats.org/officeDocument/2006/relationships/hyperlink" Target="#'EX 2.2'!A1"/><Relationship Id="rId16" Type="http://schemas.openxmlformats.org/officeDocument/2006/relationships/hyperlink" Target="#'EX 2.23'!A1"/><Relationship Id="rId20" Type="http://schemas.openxmlformats.org/officeDocument/2006/relationships/hyperlink" Target="#'EX 2.9'!A1"/><Relationship Id="rId29" Type="http://schemas.openxmlformats.org/officeDocument/2006/relationships/hyperlink" Target="#'EX 2.25'!A1"/><Relationship Id="rId1" Type="http://schemas.openxmlformats.org/officeDocument/2006/relationships/hyperlink" Target="#'EX 2.1'!A1"/><Relationship Id="rId6" Type="http://schemas.openxmlformats.org/officeDocument/2006/relationships/hyperlink" Target="#'EX 2.16'!A1"/><Relationship Id="rId11" Type="http://schemas.openxmlformats.org/officeDocument/2006/relationships/hyperlink" Target="#'EX 2.12'!A1"/><Relationship Id="rId24" Type="http://schemas.openxmlformats.org/officeDocument/2006/relationships/hyperlink" Target="#'EX 2.29'!A1"/><Relationship Id="rId5" Type="http://schemas.openxmlformats.org/officeDocument/2006/relationships/hyperlink" Target="#'EX 2.11'!A1"/><Relationship Id="rId15" Type="http://schemas.openxmlformats.org/officeDocument/2006/relationships/hyperlink" Target="#'EX 2.22'!A1"/><Relationship Id="rId23" Type="http://schemas.openxmlformats.org/officeDocument/2006/relationships/hyperlink" Target="#'EX 2.24'!A1"/><Relationship Id="rId28" Type="http://schemas.openxmlformats.org/officeDocument/2006/relationships/hyperlink" Target="#'EX 2.20'!A1"/><Relationship Id="rId10" Type="http://schemas.openxmlformats.org/officeDocument/2006/relationships/hyperlink" Target="#'EX 2.8'!A1"/><Relationship Id="rId19" Type="http://schemas.openxmlformats.org/officeDocument/2006/relationships/hyperlink" Target="#'EX 2.4'!A1"/><Relationship Id="rId4" Type="http://schemas.openxmlformats.org/officeDocument/2006/relationships/hyperlink" Target="#'EX 2.6'!A1"/><Relationship Id="rId9" Type="http://schemas.openxmlformats.org/officeDocument/2006/relationships/hyperlink" Target="#'EX 2.7'!A1"/><Relationship Id="rId14" Type="http://schemas.openxmlformats.org/officeDocument/2006/relationships/hyperlink" Target="#'EX 2.18'!A1"/><Relationship Id="rId22" Type="http://schemas.openxmlformats.org/officeDocument/2006/relationships/hyperlink" Target="#'EX 2.19'!A1"/><Relationship Id="rId27" Type="http://schemas.openxmlformats.org/officeDocument/2006/relationships/hyperlink" Target="#'EX 2.15'!A1"/><Relationship Id="rId30" Type="http://schemas.openxmlformats.org/officeDocument/2006/relationships/hyperlink" Target="#'EX 2.30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9525</xdr:rowOff>
    </xdr:from>
    <xdr:to>
      <xdr:col>2</xdr:col>
      <xdr:colOff>523875</xdr:colOff>
      <xdr:row>6</xdr:row>
      <xdr:rowOff>161925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19125" y="962025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</a:t>
          </a:r>
          <a:r>
            <a:rPr lang="en-US" sz="1100" b="1" baseline="0"/>
            <a:t> 2.</a:t>
          </a:r>
          <a:r>
            <a:rPr lang="en-US" sz="1100" b="1"/>
            <a:t>1</a:t>
          </a:r>
        </a:p>
      </xdr:txBody>
    </xdr:sp>
    <xdr:clientData/>
  </xdr:twoCellAnchor>
  <xdr:twoCellAnchor>
    <xdr:from>
      <xdr:col>4</xdr:col>
      <xdr:colOff>9525</xdr:colOff>
      <xdr:row>5</xdr:row>
      <xdr:rowOff>0</xdr:rowOff>
    </xdr:from>
    <xdr:to>
      <xdr:col>5</xdr:col>
      <xdr:colOff>523875</xdr:colOff>
      <xdr:row>6</xdr:row>
      <xdr:rowOff>152400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219325" y="952500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 2.2</a:t>
          </a:r>
        </a:p>
      </xdr:txBody>
    </xdr:sp>
    <xdr:clientData/>
  </xdr:twoCellAnchor>
  <xdr:twoCellAnchor>
    <xdr:from>
      <xdr:col>7</xdr:col>
      <xdr:colOff>9525</xdr:colOff>
      <xdr:row>5</xdr:row>
      <xdr:rowOff>9525</xdr:rowOff>
    </xdr:from>
    <xdr:to>
      <xdr:col>8</xdr:col>
      <xdr:colOff>523875</xdr:colOff>
      <xdr:row>6</xdr:row>
      <xdr:rowOff>161925</xdr:rowOff>
    </xdr:to>
    <xdr:sp macro="" textlink="">
      <xdr:nvSpPr>
        <xdr:cNvPr id="4" name="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9525" y="962025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 2.3</a:t>
          </a:r>
        </a:p>
      </xdr:txBody>
    </xdr:sp>
    <xdr:clientData/>
  </xdr:twoCellAnchor>
  <xdr:twoCellAnchor>
    <xdr:from>
      <xdr:col>1</xdr:col>
      <xdr:colOff>9525</xdr:colOff>
      <xdr:row>8</xdr:row>
      <xdr:rowOff>9525</xdr:rowOff>
    </xdr:from>
    <xdr:to>
      <xdr:col>2</xdr:col>
      <xdr:colOff>523875</xdr:colOff>
      <xdr:row>9</xdr:row>
      <xdr:rowOff>161925</xdr:rowOff>
    </xdr:to>
    <xdr:sp macro="" textlink="">
      <xdr:nvSpPr>
        <xdr:cNvPr id="5" name="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9125" y="1533525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</a:t>
          </a:r>
          <a:r>
            <a:rPr lang="en-US" sz="1100" b="1" baseline="0"/>
            <a:t> 2.6</a:t>
          </a:r>
          <a:endParaRPr lang="en-US" sz="1100" b="1"/>
        </a:p>
      </xdr:txBody>
    </xdr:sp>
    <xdr:clientData/>
  </xdr:twoCellAnchor>
  <xdr:twoCellAnchor>
    <xdr:from>
      <xdr:col>1</xdr:col>
      <xdr:colOff>9525</xdr:colOff>
      <xdr:row>11</xdr:row>
      <xdr:rowOff>9525</xdr:rowOff>
    </xdr:from>
    <xdr:to>
      <xdr:col>2</xdr:col>
      <xdr:colOff>523875</xdr:colOff>
      <xdr:row>12</xdr:row>
      <xdr:rowOff>161925</xdr:rowOff>
    </xdr:to>
    <xdr:sp macro="" textlink="">
      <xdr:nvSpPr>
        <xdr:cNvPr id="8" name="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19125" y="2105025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</a:t>
          </a:r>
          <a:r>
            <a:rPr lang="en-US" sz="1100" b="1" baseline="0"/>
            <a:t> 2.11</a:t>
          </a:r>
          <a:endParaRPr lang="en-US" sz="1100" b="1"/>
        </a:p>
      </xdr:txBody>
    </xdr:sp>
    <xdr:clientData/>
  </xdr:twoCellAnchor>
  <xdr:twoCellAnchor>
    <xdr:from>
      <xdr:col>1</xdr:col>
      <xdr:colOff>9525</xdr:colOff>
      <xdr:row>14</xdr:row>
      <xdr:rowOff>9525</xdr:rowOff>
    </xdr:from>
    <xdr:to>
      <xdr:col>2</xdr:col>
      <xdr:colOff>523875</xdr:colOff>
      <xdr:row>15</xdr:row>
      <xdr:rowOff>161925</xdr:rowOff>
    </xdr:to>
    <xdr:sp macro="" textlink="">
      <xdr:nvSpPr>
        <xdr:cNvPr id="11" name="Rectangle 1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19125" y="2676525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</a:t>
          </a:r>
          <a:r>
            <a:rPr lang="en-US" sz="1100" b="1" baseline="0"/>
            <a:t> 2.16</a:t>
          </a:r>
          <a:endParaRPr lang="en-US" sz="1100" b="1"/>
        </a:p>
      </xdr:txBody>
    </xdr:sp>
    <xdr:clientData/>
  </xdr:twoCellAnchor>
  <xdr:twoCellAnchor>
    <xdr:from>
      <xdr:col>1</xdr:col>
      <xdr:colOff>9525</xdr:colOff>
      <xdr:row>17</xdr:row>
      <xdr:rowOff>9525</xdr:rowOff>
    </xdr:from>
    <xdr:to>
      <xdr:col>2</xdr:col>
      <xdr:colOff>523875</xdr:colOff>
      <xdr:row>18</xdr:row>
      <xdr:rowOff>161925</xdr:rowOff>
    </xdr:to>
    <xdr:sp macro="" textlink="">
      <xdr:nvSpPr>
        <xdr:cNvPr id="14" name="Rectangle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619125" y="3248025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</a:t>
          </a:r>
          <a:r>
            <a:rPr lang="en-US" sz="1100" b="1" baseline="0"/>
            <a:t> 2.21</a:t>
          </a:r>
          <a:endParaRPr lang="en-US" sz="1100" b="1"/>
        </a:p>
      </xdr:txBody>
    </xdr:sp>
    <xdr:clientData/>
  </xdr:twoCellAnchor>
  <xdr:twoCellAnchor>
    <xdr:from>
      <xdr:col>1</xdr:col>
      <xdr:colOff>9525</xdr:colOff>
      <xdr:row>20</xdr:row>
      <xdr:rowOff>9525</xdr:rowOff>
    </xdr:from>
    <xdr:to>
      <xdr:col>2</xdr:col>
      <xdr:colOff>523875</xdr:colOff>
      <xdr:row>21</xdr:row>
      <xdr:rowOff>161925</xdr:rowOff>
    </xdr:to>
    <xdr:sp macro="" textlink="">
      <xdr:nvSpPr>
        <xdr:cNvPr id="17" name="Rectangle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19125" y="3819525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 2.26</a:t>
          </a:r>
        </a:p>
      </xdr:txBody>
    </xdr:sp>
    <xdr:clientData/>
  </xdr:twoCellAnchor>
  <xdr:twoCellAnchor>
    <xdr:from>
      <xdr:col>4</xdr:col>
      <xdr:colOff>9525</xdr:colOff>
      <xdr:row>8</xdr:row>
      <xdr:rowOff>0</xdr:rowOff>
    </xdr:from>
    <xdr:to>
      <xdr:col>5</xdr:col>
      <xdr:colOff>523875</xdr:colOff>
      <xdr:row>9</xdr:row>
      <xdr:rowOff>152400</xdr:rowOff>
    </xdr:to>
    <xdr:sp macro="" textlink="">
      <xdr:nvSpPr>
        <xdr:cNvPr id="20" name="Rectangle 1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219325" y="1524000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</a:t>
          </a:r>
          <a:r>
            <a:rPr lang="en-US" sz="1100" b="1" baseline="0"/>
            <a:t> 2.7</a:t>
          </a:r>
          <a:endParaRPr lang="en-US" sz="1100" b="1"/>
        </a:p>
      </xdr:txBody>
    </xdr:sp>
    <xdr:clientData/>
  </xdr:twoCellAnchor>
  <xdr:twoCellAnchor>
    <xdr:from>
      <xdr:col>7</xdr:col>
      <xdr:colOff>9525</xdr:colOff>
      <xdr:row>8</xdr:row>
      <xdr:rowOff>9525</xdr:rowOff>
    </xdr:from>
    <xdr:to>
      <xdr:col>8</xdr:col>
      <xdr:colOff>523875</xdr:colOff>
      <xdr:row>9</xdr:row>
      <xdr:rowOff>161925</xdr:rowOff>
    </xdr:to>
    <xdr:sp macro="" textlink="">
      <xdr:nvSpPr>
        <xdr:cNvPr id="21" name="Rectangle 2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819525" y="1533525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</a:t>
          </a:r>
          <a:r>
            <a:rPr lang="en-US" sz="1100" b="1" baseline="0"/>
            <a:t> 2.8</a:t>
          </a:r>
          <a:endParaRPr lang="en-US" sz="1100" b="1"/>
        </a:p>
      </xdr:txBody>
    </xdr:sp>
    <xdr:clientData/>
  </xdr:twoCellAnchor>
  <xdr:twoCellAnchor>
    <xdr:from>
      <xdr:col>4</xdr:col>
      <xdr:colOff>9525</xdr:colOff>
      <xdr:row>11</xdr:row>
      <xdr:rowOff>9525</xdr:rowOff>
    </xdr:from>
    <xdr:to>
      <xdr:col>5</xdr:col>
      <xdr:colOff>523875</xdr:colOff>
      <xdr:row>12</xdr:row>
      <xdr:rowOff>161925</xdr:rowOff>
    </xdr:to>
    <xdr:sp macro="" textlink="">
      <xdr:nvSpPr>
        <xdr:cNvPr id="22" name="Rectangle 2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2219325" y="2105025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</a:t>
          </a:r>
          <a:r>
            <a:rPr lang="en-US" sz="1100" b="1" baseline="0"/>
            <a:t> 2.12</a:t>
          </a:r>
          <a:endParaRPr lang="en-US" sz="1100" b="1"/>
        </a:p>
      </xdr:txBody>
    </xdr:sp>
    <xdr:clientData/>
  </xdr:twoCellAnchor>
  <xdr:twoCellAnchor>
    <xdr:from>
      <xdr:col>7</xdr:col>
      <xdr:colOff>9525</xdr:colOff>
      <xdr:row>11</xdr:row>
      <xdr:rowOff>9525</xdr:rowOff>
    </xdr:from>
    <xdr:to>
      <xdr:col>8</xdr:col>
      <xdr:colOff>523875</xdr:colOff>
      <xdr:row>12</xdr:row>
      <xdr:rowOff>161925</xdr:rowOff>
    </xdr:to>
    <xdr:sp macro="" textlink="">
      <xdr:nvSpPr>
        <xdr:cNvPr id="23" name="Rectangle 2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3819525" y="2105025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 2.13</a:t>
          </a:r>
        </a:p>
      </xdr:txBody>
    </xdr:sp>
    <xdr:clientData/>
  </xdr:twoCellAnchor>
  <xdr:twoCellAnchor>
    <xdr:from>
      <xdr:col>4</xdr:col>
      <xdr:colOff>9525</xdr:colOff>
      <xdr:row>14</xdr:row>
      <xdr:rowOff>0</xdr:rowOff>
    </xdr:from>
    <xdr:to>
      <xdr:col>5</xdr:col>
      <xdr:colOff>523875</xdr:colOff>
      <xdr:row>15</xdr:row>
      <xdr:rowOff>152400</xdr:rowOff>
    </xdr:to>
    <xdr:sp macro="" textlink="">
      <xdr:nvSpPr>
        <xdr:cNvPr id="24" name="Rectangle 2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2219325" y="2667000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</a:t>
          </a:r>
          <a:r>
            <a:rPr lang="en-US" sz="1100" b="1" baseline="0"/>
            <a:t> 2.17</a:t>
          </a:r>
          <a:endParaRPr lang="en-US" sz="1100" b="1"/>
        </a:p>
      </xdr:txBody>
    </xdr:sp>
    <xdr:clientData/>
  </xdr:twoCellAnchor>
  <xdr:twoCellAnchor>
    <xdr:from>
      <xdr:col>7</xdr:col>
      <xdr:colOff>9525</xdr:colOff>
      <xdr:row>14</xdr:row>
      <xdr:rowOff>19050</xdr:rowOff>
    </xdr:from>
    <xdr:to>
      <xdr:col>8</xdr:col>
      <xdr:colOff>523875</xdr:colOff>
      <xdr:row>15</xdr:row>
      <xdr:rowOff>171450</xdr:rowOff>
    </xdr:to>
    <xdr:sp macro="" textlink="">
      <xdr:nvSpPr>
        <xdr:cNvPr id="25" name="Rectangle 2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3819525" y="2686050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</a:t>
          </a:r>
          <a:r>
            <a:rPr lang="en-US" sz="1100" b="1" baseline="0"/>
            <a:t> 2.18</a:t>
          </a:r>
          <a:endParaRPr lang="en-US" sz="1100" b="1"/>
        </a:p>
      </xdr:txBody>
    </xdr:sp>
    <xdr:clientData/>
  </xdr:twoCellAnchor>
  <xdr:twoCellAnchor>
    <xdr:from>
      <xdr:col>4</xdr:col>
      <xdr:colOff>19050</xdr:colOff>
      <xdr:row>17</xdr:row>
      <xdr:rowOff>9525</xdr:rowOff>
    </xdr:from>
    <xdr:to>
      <xdr:col>5</xdr:col>
      <xdr:colOff>533400</xdr:colOff>
      <xdr:row>18</xdr:row>
      <xdr:rowOff>161925</xdr:rowOff>
    </xdr:to>
    <xdr:sp macro="" textlink="">
      <xdr:nvSpPr>
        <xdr:cNvPr id="26" name="Rectangle 2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2228850" y="3248025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</a:t>
          </a:r>
          <a:r>
            <a:rPr lang="en-US" sz="1100" b="1" baseline="0"/>
            <a:t> 2.22</a:t>
          </a:r>
          <a:endParaRPr lang="en-US" sz="1100" b="1"/>
        </a:p>
      </xdr:txBody>
    </xdr:sp>
    <xdr:clientData/>
  </xdr:twoCellAnchor>
  <xdr:twoCellAnchor>
    <xdr:from>
      <xdr:col>7</xdr:col>
      <xdr:colOff>9525</xdr:colOff>
      <xdr:row>17</xdr:row>
      <xdr:rowOff>9525</xdr:rowOff>
    </xdr:from>
    <xdr:to>
      <xdr:col>8</xdr:col>
      <xdr:colOff>523875</xdr:colOff>
      <xdr:row>18</xdr:row>
      <xdr:rowOff>161925</xdr:rowOff>
    </xdr:to>
    <xdr:sp macro="" textlink="">
      <xdr:nvSpPr>
        <xdr:cNvPr id="27" name="Rectangle 2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3819525" y="3248025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</a:t>
          </a:r>
          <a:r>
            <a:rPr lang="en-US" sz="1100" b="1" baseline="0"/>
            <a:t> 2.23</a:t>
          </a:r>
          <a:endParaRPr lang="en-US" sz="1100" b="1"/>
        </a:p>
      </xdr:txBody>
    </xdr:sp>
    <xdr:clientData/>
  </xdr:twoCellAnchor>
  <xdr:twoCellAnchor>
    <xdr:from>
      <xdr:col>4</xdr:col>
      <xdr:colOff>9525</xdr:colOff>
      <xdr:row>20</xdr:row>
      <xdr:rowOff>9525</xdr:rowOff>
    </xdr:from>
    <xdr:to>
      <xdr:col>5</xdr:col>
      <xdr:colOff>523875</xdr:colOff>
      <xdr:row>21</xdr:row>
      <xdr:rowOff>161925</xdr:rowOff>
    </xdr:to>
    <xdr:sp macro="" textlink="">
      <xdr:nvSpPr>
        <xdr:cNvPr id="28" name="Rectangle 2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2219325" y="3819525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</a:t>
          </a:r>
          <a:r>
            <a:rPr lang="en-US" sz="1100" b="1" baseline="0"/>
            <a:t> 2.27</a:t>
          </a:r>
          <a:endParaRPr lang="en-US" sz="1100" b="1"/>
        </a:p>
      </xdr:txBody>
    </xdr:sp>
    <xdr:clientData/>
  </xdr:twoCellAnchor>
  <xdr:twoCellAnchor>
    <xdr:from>
      <xdr:col>7</xdr:col>
      <xdr:colOff>9525</xdr:colOff>
      <xdr:row>20</xdr:row>
      <xdr:rowOff>9525</xdr:rowOff>
    </xdr:from>
    <xdr:to>
      <xdr:col>8</xdr:col>
      <xdr:colOff>523875</xdr:colOff>
      <xdr:row>21</xdr:row>
      <xdr:rowOff>161925</xdr:rowOff>
    </xdr:to>
    <xdr:sp macro="" textlink="">
      <xdr:nvSpPr>
        <xdr:cNvPr id="29" name="Rectangle 2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3819525" y="3819525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 2.28</a:t>
          </a:r>
        </a:p>
      </xdr:txBody>
    </xdr:sp>
    <xdr:clientData/>
  </xdr:twoCellAnchor>
  <xdr:twoCellAnchor>
    <xdr:from>
      <xdr:col>9</xdr:col>
      <xdr:colOff>238125</xdr:colOff>
      <xdr:row>5</xdr:row>
      <xdr:rowOff>9525</xdr:rowOff>
    </xdr:from>
    <xdr:to>
      <xdr:col>11</xdr:col>
      <xdr:colOff>142875</xdr:colOff>
      <xdr:row>6</xdr:row>
      <xdr:rowOff>161925</xdr:rowOff>
    </xdr:to>
    <xdr:sp macro="" textlink="">
      <xdr:nvSpPr>
        <xdr:cNvPr id="30" name="Rectangle 2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5267325" y="962025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</a:t>
          </a:r>
          <a:r>
            <a:rPr lang="en-US" sz="1100" b="1" baseline="0"/>
            <a:t> 2.4</a:t>
          </a:r>
          <a:endParaRPr lang="en-US" sz="1100" b="1"/>
        </a:p>
      </xdr:txBody>
    </xdr:sp>
    <xdr:clientData/>
  </xdr:twoCellAnchor>
  <xdr:twoCellAnchor>
    <xdr:from>
      <xdr:col>9</xdr:col>
      <xdr:colOff>238125</xdr:colOff>
      <xdr:row>8</xdr:row>
      <xdr:rowOff>9525</xdr:rowOff>
    </xdr:from>
    <xdr:to>
      <xdr:col>11</xdr:col>
      <xdr:colOff>142875</xdr:colOff>
      <xdr:row>9</xdr:row>
      <xdr:rowOff>161925</xdr:rowOff>
    </xdr:to>
    <xdr:sp macro="" textlink="">
      <xdr:nvSpPr>
        <xdr:cNvPr id="31" name="Rectangle 3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5267325" y="1533525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</a:t>
          </a:r>
          <a:r>
            <a:rPr lang="en-US" sz="1100" b="1" baseline="0"/>
            <a:t> 2.9</a:t>
          </a:r>
          <a:endParaRPr lang="en-US" sz="1100" b="1"/>
        </a:p>
      </xdr:txBody>
    </xdr:sp>
    <xdr:clientData/>
  </xdr:twoCellAnchor>
  <xdr:twoCellAnchor>
    <xdr:from>
      <xdr:col>9</xdr:col>
      <xdr:colOff>238125</xdr:colOff>
      <xdr:row>11</xdr:row>
      <xdr:rowOff>9525</xdr:rowOff>
    </xdr:from>
    <xdr:to>
      <xdr:col>11</xdr:col>
      <xdr:colOff>142875</xdr:colOff>
      <xdr:row>12</xdr:row>
      <xdr:rowOff>161925</xdr:rowOff>
    </xdr:to>
    <xdr:sp macro="" textlink="">
      <xdr:nvSpPr>
        <xdr:cNvPr id="32" name="Rectangle 3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5267325" y="2105025"/>
          <a:ext cx="1123950" cy="342900"/>
        </a:xfrm>
        <a:prstGeom prst="rect">
          <a:avLst/>
        </a:prstGeom>
        <a:gradFill>
          <a:gsLst>
            <a:gs pos="64160">
              <a:srgbClr val="94BA44"/>
            </a:gs>
            <a:gs pos="0">
              <a:schemeClr val="accent3">
                <a:shade val="51000"/>
                <a:satMod val="130000"/>
              </a:schemeClr>
            </a:gs>
            <a:gs pos="80000">
              <a:schemeClr val="accent3">
                <a:shade val="93000"/>
                <a:satMod val="130000"/>
              </a:schemeClr>
            </a:gs>
            <a:gs pos="100000">
              <a:schemeClr val="accent3">
                <a:shade val="94000"/>
                <a:satMod val="135000"/>
              </a:schemeClr>
            </a:gs>
          </a:gsLst>
        </a:gra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 2.14</a:t>
          </a:r>
        </a:p>
      </xdr:txBody>
    </xdr:sp>
    <xdr:clientData/>
  </xdr:twoCellAnchor>
  <xdr:twoCellAnchor>
    <xdr:from>
      <xdr:col>9</xdr:col>
      <xdr:colOff>238125</xdr:colOff>
      <xdr:row>14</xdr:row>
      <xdr:rowOff>19050</xdr:rowOff>
    </xdr:from>
    <xdr:to>
      <xdr:col>11</xdr:col>
      <xdr:colOff>142875</xdr:colOff>
      <xdr:row>15</xdr:row>
      <xdr:rowOff>171450</xdr:rowOff>
    </xdr:to>
    <xdr:sp macro="" textlink="">
      <xdr:nvSpPr>
        <xdr:cNvPr id="33" name="Rectangle 3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5267325" y="2686050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 2.19</a:t>
          </a:r>
        </a:p>
      </xdr:txBody>
    </xdr:sp>
    <xdr:clientData/>
  </xdr:twoCellAnchor>
  <xdr:twoCellAnchor>
    <xdr:from>
      <xdr:col>9</xdr:col>
      <xdr:colOff>238125</xdr:colOff>
      <xdr:row>17</xdr:row>
      <xdr:rowOff>9525</xdr:rowOff>
    </xdr:from>
    <xdr:to>
      <xdr:col>11</xdr:col>
      <xdr:colOff>142875</xdr:colOff>
      <xdr:row>18</xdr:row>
      <xdr:rowOff>161925</xdr:rowOff>
    </xdr:to>
    <xdr:sp macro="" textlink="">
      <xdr:nvSpPr>
        <xdr:cNvPr id="34" name="Rectangle 3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5267325" y="3248025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 2.24</a:t>
          </a:r>
        </a:p>
      </xdr:txBody>
    </xdr:sp>
    <xdr:clientData/>
  </xdr:twoCellAnchor>
  <xdr:twoCellAnchor>
    <xdr:from>
      <xdr:col>9</xdr:col>
      <xdr:colOff>238125</xdr:colOff>
      <xdr:row>20</xdr:row>
      <xdr:rowOff>9525</xdr:rowOff>
    </xdr:from>
    <xdr:to>
      <xdr:col>11</xdr:col>
      <xdr:colOff>142875</xdr:colOff>
      <xdr:row>21</xdr:row>
      <xdr:rowOff>161925</xdr:rowOff>
    </xdr:to>
    <xdr:sp macro="" textlink="">
      <xdr:nvSpPr>
        <xdr:cNvPr id="35" name="Rectangle 34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267325" y="3819525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 2.29</a:t>
          </a:r>
        </a:p>
      </xdr:txBody>
    </xdr:sp>
    <xdr:clientData/>
  </xdr:twoCellAnchor>
  <xdr:twoCellAnchor>
    <xdr:from>
      <xdr:col>11</xdr:col>
      <xdr:colOff>457200</xdr:colOff>
      <xdr:row>5</xdr:row>
      <xdr:rowOff>0</xdr:rowOff>
    </xdr:from>
    <xdr:to>
      <xdr:col>13</xdr:col>
      <xdr:colOff>361950</xdr:colOff>
      <xdr:row>6</xdr:row>
      <xdr:rowOff>152400</xdr:rowOff>
    </xdr:to>
    <xdr:sp macro="" textlink="">
      <xdr:nvSpPr>
        <xdr:cNvPr id="36" name="Rectangle 35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6705600" y="952500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</a:t>
          </a:r>
          <a:r>
            <a:rPr lang="en-US" sz="1100" b="1" baseline="0"/>
            <a:t> 2.5</a:t>
          </a:r>
          <a:endParaRPr lang="en-US" sz="1100" b="1"/>
        </a:p>
      </xdr:txBody>
    </xdr:sp>
    <xdr:clientData/>
  </xdr:twoCellAnchor>
  <xdr:twoCellAnchor>
    <xdr:from>
      <xdr:col>11</xdr:col>
      <xdr:colOff>457200</xdr:colOff>
      <xdr:row>8</xdr:row>
      <xdr:rowOff>0</xdr:rowOff>
    </xdr:from>
    <xdr:to>
      <xdr:col>13</xdr:col>
      <xdr:colOff>361950</xdr:colOff>
      <xdr:row>9</xdr:row>
      <xdr:rowOff>152400</xdr:rowOff>
    </xdr:to>
    <xdr:sp macro="" textlink="">
      <xdr:nvSpPr>
        <xdr:cNvPr id="37" name="Rectangle 36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6705600" y="1524000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 2.10</a:t>
          </a:r>
        </a:p>
      </xdr:txBody>
    </xdr:sp>
    <xdr:clientData/>
  </xdr:twoCellAnchor>
  <xdr:twoCellAnchor>
    <xdr:from>
      <xdr:col>11</xdr:col>
      <xdr:colOff>457200</xdr:colOff>
      <xdr:row>11</xdr:row>
      <xdr:rowOff>0</xdr:rowOff>
    </xdr:from>
    <xdr:to>
      <xdr:col>13</xdr:col>
      <xdr:colOff>361950</xdr:colOff>
      <xdr:row>12</xdr:row>
      <xdr:rowOff>152400</xdr:rowOff>
    </xdr:to>
    <xdr:sp macro="" textlink="">
      <xdr:nvSpPr>
        <xdr:cNvPr id="38" name="Rectangle 37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6705600" y="2095500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 2.15</a:t>
          </a:r>
        </a:p>
      </xdr:txBody>
    </xdr:sp>
    <xdr:clientData/>
  </xdr:twoCellAnchor>
  <xdr:twoCellAnchor>
    <xdr:from>
      <xdr:col>11</xdr:col>
      <xdr:colOff>457200</xdr:colOff>
      <xdr:row>14</xdr:row>
      <xdr:rowOff>9525</xdr:rowOff>
    </xdr:from>
    <xdr:to>
      <xdr:col>13</xdr:col>
      <xdr:colOff>361950</xdr:colOff>
      <xdr:row>15</xdr:row>
      <xdr:rowOff>161925</xdr:rowOff>
    </xdr:to>
    <xdr:sp macro="" textlink="">
      <xdr:nvSpPr>
        <xdr:cNvPr id="39" name="Rectangle 38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6705600" y="2676525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</a:t>
          </a:r>
          <a:r>
            <a:rPr lang="en-US" sz="1100" b="1" baseline="0"/>
            <a:t> 2.20</a:t>
          </a:r>
          <a:endParaRPr lang="en-US" sz="1100" b="1"/>
        </a:p>
      </xdr:txBody>
    </xdr:sp>
    <xdr:clientData/>
  </xdr:twoCellAnchor>
  <xdr:twoCellAnchor>
    <xdr:from>
      <xdr:col>11</xdr:col>
      <xdr:colOff>457200</xdr:colOff>
      <xdr:row>17</xdr:row>
      <xdr:rowOff>0</xdr:rowOff>
    </xdr:from>
    <xdr:to>
      <xdr:col>13</xdr:col>
      <xdr:colOff>361950</xdr:colOff>
      <xdr:row>18</xdr:row>
      <xdr:rowOff>152400</xdr:rowOff>
    </xdr:to>
    <xdr:sp macro="" textlink="">
      <xdr:nvSpPr>
        <xdr:cNvPr id="40" name="Rectangle 39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6705600" y="3238500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</a:t>
          </a:r>
          <a:r>
            <a:rPr lang="en-US" sz="1100" b="1" baseline="0"/>
            <a:t> 2.25</a:t>
          </a:r>
          <a:endParaRPr lang="en-US" sz="1100" b="1"/>
        </a:p>
      </xdr:txBody>
    </xdr:sp>
    <xdr:clientData/>
  </xdr:twoCellAnchor>
  <xdr:twoCellAnchor>
    <xdr:from>
      <xdr:col>11</xdr:col>
      <xdr:colOff>457200</xdr:colOff>
      <xdr:row>20</xdr:row>
      <xdr:rowOff>0</xdr:rowOff>
    </xdr:from>
    <xdr:to>
      <xdr:col>13</xdr:col>
      <xdr:colOff>361950</xdr:colOff>
      <xdr:row>21</xdr:row>
      <xdr:rowOff>152400</xdr:rowOff>
    </xdr:to>
    <xdr:sp macro="" textlink="">
      <xdr:nvSpPr>
        <xdr:cNvPr id="41" name="Rectangle 40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6705600" y="3810000"/>
          <a:ext cx="1123950" cy="342900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EX 2.30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45</xdr:row>
      <xdr:rowOff>119062</xdr:rowOff>
    </xdr:from>
    <xdr:to>
      <xdr:col>8</xdr:col>
      <xdr:colOff>209549</xdr:colOff>
      <xdr:row>60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26</xdr:row>
      <xdr:rowOff>4762</xdr:rowOff>
    </xdr:from>
    <xdr:to>
      <xdr:col>9</xdr:col>
      <xdr:colOff>228599</xdr:colOff>
      <xdr:row>40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33</xdr:row>
      <xdr:rowOff>42862</xdr:rowOff>
    </xdr:from>
    <xdr:to>
      <xdr:col>18</xdr:col>
      <xdr:colOff>95250</xdr:colOff>
      <xdr:row>47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10</xdr:row>
      <xdr:rowOff>4762</xdr:rowOff>
    </xdr:from>
    <xdr:to>
      <xdr:col>20</xdr:col>
      <xdr:colOff>142875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7</xdr:row>
      <xdr:rowOff>185736</xdr:rowOff>
    </xdr:from>
    <xdr:to>
      <xdr:col>19</xdr:col>
      <xdr:colOff>390525</xdr:colOff>
      <xdr:row>22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28</xdr:row>
      <xdr:rowOff>185736</xdr:rowOff>
    </xdr:from>
    <xdr:to>
      <xdr:col>20</xdr:col>
      <xdr:colOff>485775</xdr:colOff>
      <xdr:row>47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27</xdr:row>
      <xdr:rowOff>142875</xdr:rowOff>
    </xdr:from>
    <xdr:to>
      <xdr:col>9</xdr:col>
      <xdr:colOff>133350</xdr:colOff>
      <xdr:row>48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22</xdr:row>
      <xdr:rowOff>14287</xdr:rowOff>
    </xdr:from>
    <xdr:to>
      <xdr:col>9</xdr:col>
      <xdr:colOff>428625</xdr:colOff>
      <xdr:row>40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56</xdr:row>
      <xdr:rowOff>66675</xdr:rowOff>
    </xdr:from>
    <xdr:to>
      <xdr:col>6</xdr:col>
      <xdr:colOff>466725</xdr:colOff>
      <xdr:row>74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45</xdr:row>
      <xdr:rowOff>33337</xdr:rowOff>
    </xdr:from>
    <xdr:to>
      <xdr:col>6</xdr:col>
      <xdr:colOff>676275</xdr:colOff>
      <xdr:row>59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33</xdr:row>
      <xdr:rowOff>152400</xdr:rowOff>
    </xdr:from>
    <xdr:to>
      <xdr:col>7</xdr:col>
      <xdr:colOff>609600</xdr:colOff>
      <xdr:row>61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53</xdr:row>
      <xdr:rowOff>23812</xdr:rowOff>
    </xdr:from>
    <xdr:to>
      <xdr:col>4</xdr:col>
      <xdr:colOff>890587</xdr:colOff>
      <xdr:row>67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24</xdr:row>
      <xdr:rowOff>66675</xdr:rowOff>
    </xdr:from>
    <xdr:to>
      <xdr:col>5</xdr:col>
      <xdr:colOff>285750</xdr:colOff>
      <xdr:row>34</xdr:row>
      <xdr:rowOff>95250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>
          <a:spLocks noChangeShapeType="1"/>
        </xdr:cNvSpPr>
      </xdr:nvSpPr>
      <xdr:spPr bwMode="auto">
        <a:xfrm flipV="1">
          <a:off x="1409700" y="3952875"/>
          <a:ext cx="2619375" cy="1676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66675</xdr:colOff>
      <xdr:row>23</xdr:row>
      <xdr:rowOff>57150</xdr:rowOff>
    </xdr:from>
    <xdr:to>
      <xdr:col>9</xdr:col>
      <xdr:colOff>495300</xdr:colOff>
      <xdr:row>33</xdr:row>
      <xdr:rowOff>38100</xdr:rowOff>
    </xdr:to>
    <xdr:sp macro="" textlink="">
      <xdr:nvSpPr>
        <xdr:cNvPr id="3" name="Freeform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>
          <a:spLocks/>
        </xdr:cNvSpPr>
      </xdr:nvSpPr>
      <xdr:spPr bwMode="auto">
        <a:xfrm>
          <a:off x="6705600" y="3781425"/>
          <a:ext cx="1038225" cy="1628775"/>
        </a:xfrm>
        <a:custGeom>
          <a:avLst/>
          <a:gdLst>
            <a:gd name="T0" fmla="*/ 0 w 109"/>
            <a:gd name="T1" fmla="*/ 171 h 171"/>
            <a:gd name="T2" fmla="*/ 108 w 109"/>
            <a:gd name="T3" fmla="*/ 41 h 171"/>
            <a:gd name="T4" fmla="*/ 6 w 109"/>
            <a:gd name="T5" fmla="*/ 0 h 17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09" h="171">
              <a:moveTo>
                <a:pt x="0" y="171"/>
              </a:moveTo>
              <a:cubicBezTo>
                <a:pt x="53" y="120"/>
                <a:pt x="107" y="69"/>
                <a:pt x="108" y="41"/>
              </a:cubicBezTo>
              <a:cubicBezTo>
                <a:pt x="109" y="13"/>
                <a:pt x="23" y="6"/>
                <a:pt x="6" y="0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 type="non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20</xdr:row>
      <xdr:rowOff>76200</xdr:rowOff>
    </xdr:from>
    <xdr:to>
      <xdr:col>10</xdr:col>
      <xdr:colOff>152400</xdr:colOff>
      <xdr:row>41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rtheastern-my.sharepoint.com/Users/Hillary/Downloads/Solutions%20to%20Exercises%20Chapter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2.1"/>
      <sheetName val="EX2.2"/>
      <sheetName val="EX2.3"/>
      <sheetName val="EX2.4"/>
      <sheetName val="EX2.5"/>
      <sheetName val="EX2.6"/>
      <sheetName val="EX2.7"/>
      <sheetName val="EX2.8"/>
      <sheetName val="EX 2.9"/>
      <sheetName val="EX2.10"/>
      <sheetName val="EX2.11"/>
      <sheetName val="EX2.12"/>
    </sheetNames>
    <sheetDataSet>
      <sheetData sheetId="0"/>
      <sheetData sheetId="1">
        <row r="11">
          <cell r="B11" t="str">
            <v>Data</v>
          </cell>
          <cell r="C11" t="str">
            <v>4-MA</v>
          </cell>
          <cell r="D11" t="str">
            <v>6-MA</v>
          </cell>
        </row>
        <row r="12">
          <cell r="A12" t="str">
            <v>January</v>
          </cell>
          <cell r="B12">
            <v>543</v>
          </cell>
        </row>
        <row r="13">
          <cell r="A13" t="str">
            <v>February</v>
          </cell>
          <cell r="B13">
            <v>528</v>
          </cell>
        </row>
        <row r="14">
          <cell r="A14" t="str">
            <v>March</v>
          </cell>
          <cell r="B14">
            <v>531</v>
          </cell>
        </row>
        <row r="15">
          <cell r="A15" t="str">
            <v>April</v>
          </cell>
          <cell r="B15">
            <v>542</v>
          </cell>
        </row>
        <row r="16">
          <cell r="A16" t="str">
            <v>May</v>
          </cell>
          <cell r="B16">
            <v>558</v>
          </cell>
          <cell r="C16">
            <v>536</v>
          </cell>
        </row>
        <row r="17">
          <cell r="A17" t="str">
            <v>June</v>
          </cell>
          <cell r="B17">
            <v>545</v>
          </cell>
          <cell r="C17">
            <v>539.75</v>
          </cell>
        </row>
        <row r="18">
          <cell r="A18" t="str">
            <v>July</v>
          </cell>
          <cell r="B18">
            <v>543</v>
          </cell>
          <cell r="C18">
            <v>544</v>
          </cell>
          <cell r="D18">
            <v>541.16666666666663</v>
          </cell>
        </row>
        <row r="19">
          <cell r="A19" t="str">
            <v>August</v>
          </cell>
          <cell r="B19">
            <v>550</v>
          </cell>
          <cell r="C19">
            <v>547</v>
          </cell>
          <cell r="D19">
            <v>541.16666666666663</v>
          </cell>
        </row>
        <row r="20">
          <cell r="A20" t="str">
            <v>September</v>
          </cell>
          <cell r="B20">
            <v>546</v>
          </cell>
          <cell r="C20">
            <v>549</v>
          </cell>
          <cell r="D20">
            <v>544.83333333333337</v>
          </cell>
        </row>
        <row r="21">
          <cell r="A21" t="str">
            <v>October</v>
          </cell>
          <cell r="B21">
            <v>540</v>
          </cell>
          <cell r="C21">
            <v>546</v>
          </cell>
          <cell r="D21">
            <v>547.33333333333337</v>
          </cell>
        </row>
        <row r="22">
          <cell r="A22" t="str">
            <v>November</v>
          </cell>
          <cell r="B22">
            <v>535</v>
          </cell>
          <cell r="C22">
            <v>544.75</v>
          </cell>
          <cell r="D22">
            <v>547</v>
          </cell>
        </row>
        <row r="23">
          <cell r="A23" t="str">
            <v>December</v>
          </cell>
          <cell r="B23">
            <v>529</v>
          </cell>
          <cell r="C23">
            <v>542.75</v>
          </cell>
          <cell r="D23">
            <v>543.16666666666663</v>
          </cell>
        </row>
        <row r="24">
          <cell r="A24" t="str">
            <v>January</v>
          </cell>
          <cell r="C24">
            <v>537.5</v>
          </cell>
          <cell r="D24">
            <v>540.5</v>
          </cell>
        </row>
      </sheetData>
      <sheetData sheetId="2"/>
      <sheetData sheetId="3"/>
      <sheetData sheetId="4">
        <row r="5">
          <cell r="B5">
            <v>1</v>
          </cell>
          <cell r="D5">
            <v>11</v>
          </cell>
          <cell r="E5">
            <v>11.657897</v>
          </cell>
        </row>
        <row r="6">
          <cell r="B6">
            <v>2</v>
          </cell>
          <cell r="D6">
            <v>14</v>
          </cell>
          <cell r="E6">
            <v>11.824564000000001</v>
          </cell>
        </row>
        <row r="7">
          <cell r="B7">
            <v>3</v>
          </cell>
          <cell r="D7">
            <v>17</v>
          </cell>
          <cell r="E7">
            <v>11.991230999999999</v>
          </cell>
        </row>
        <row r="8">
          <cell r="B8">
            <v>4</v>
          </cell>
          <cell r="D8">
            <v>15</v>
          </cell>
          <cell r="E8">
            <v>12.157897999999999</v>
          </cell>
        </row>
        <row r="9">
          <cell r="B9">
            <v>5</v>
          </cell>
          <cell r="D9">
            <v>12</v>
          </cell>
          <cell r="E9">
            <v>12.324565</v>
          </cell>
        </row>
        <row r="10">
          <cell r="B10">
            <v>6</v>
          </cell>
          <cell r="D10">
            <v>11</v>
          </cell>
          <cell r="E10">
            <v>12.491232</v>
          </cell>
        </row>
        <row r="11">
          <cell r="B11">
            <v>7</v>
          </cell>
          <cell r="D11">
            <v>9</v>
          </cell>
          <cell r="E11">
            <v>12.657899</v>
          </cell>
        </row>
        <row r="12">
          <cell r="B12">
            <v>8</v>
          </cell>
          <cell r="D12">
            <v>9</v>
          </cell>
          <cell r="E12">
            <v>12.824566000000001</v>
          </cell>
        </row>
        <row r="13">
          <cell r="B13">
            <v>9</v>
          </cell>
          <cell r="D13">
            <v>12</v>
          </cell>
          <cell r="E13">
            <v>12.991232999999999</v>
          </cell>
        </row>
        <row r="14">
          <cell r="B14">
            <v>10</v>
          </cell>
          <cell r="D14">
            <v>8</v>
          </cell>
          <cell r="E14">
            <v>13.1579</v>
          </cell>
        </row>
        <row r="15">
          <cell r="B15">
            <v>11</v>
          </cell>
          <cell r="D15">
            <v>13</v>
          </cell>
          <cell r="E15">
            <v>13.324567</v>
          </cell>
        </row>
        <row r="16">
          <cell r="B16">
            <v>12</v>
          </cell>
          <cell r="D16">
            <v>11</v>
          </cell>
          <cell r="E16">
            <v>13.491234</v>
          </cell>
        </row>
        <row r="17">
          <cell r="B17">
            <v>13</v>
          </cell>
          <cell r="D17">
            <v>15</v>
          </cell>
          <cell r="E17">
            <v>13.657900999999999</v>
          </cell>
        </row>
        <row r="18">
          <cell r="B18">
            <v>14</v>
          </cell>
          <cell r="D18">
            <v>17</v>
          </cell>
          <cell r="E18">
            <v>13.824567999999999</v>
          </cell>
        </row>
        <row r="19">
          <cell r="B19">
            <v>15</v>
          </cell>
          <cell r="D19">
            <v>14</v>
          </cell>
          <cell r="E19">
            <v>13.991235</v>
          </cell>
        </row>
        <row r="20">
          <cell r="B20">
            <v>16</v>
          </cell>
          <cell r="D20">
            <v>19</v>
          </cell>
          <cell r="E20">
            <v>14.157902</v>
          </cell>
        </row>
        <row r="21">
          <cell r="B21">
            <v>17</v>
          </cell>
          <cell r="D21">
            <v>13</v>
          </cell>
          <cell r="E21">
            <v>14.324569</v>
          </cell>
        </row>
        <row r="22">
          <cell r="B22">
            <v>18</v>
          </cell>
          <cell r="D22">
            <v>17</v>
          </cell>
          <cell r="E22">
            <v>14.491236000000001</v>
          </cell>
        </row>
        <row r="23">
          <cell r="B23">
            <v>19</v>
          </cell>
          <cell r="D23">
            <v>13</v>
          </cell>
          <cell r="E23">
            <v>14.657903000000001</v>
          </cell>
        </row>
      </sheetData>
      <sheetData sheetId="5">
        <row r="5">
          <cell r="A5">
            <v>32996</v>
          </cell>
          <cell r="B5">
            <v>516</v>
          </cell>
        </row>
        <row r="6">
          <cell r="A6">
            <v>34242</v>
          </cell>
          <cell r="B6">
            <v>530</v>
          </cell>
        </row>
        <row r="7">
          <cell r="A7">
            <v>27825</v>
          </cell>
          <cell r="B7">
            <v>528</v>
          </cell>
        </row>
        <row r="8">
          <cell r="A8">
            <v>29807</v>
          </cell>
          <cell r="B8">
            <v>517</v>
          </cell>
        </row>
        <row r="9">
          <cell r="A9">
            <v>28692</v>
          </cell>
          <cell r="B9">
            <v>500</v>
          </cell>
        </row>
        <row r="10">
          <cell r="A10">
            <v>34449</v>
          </cell>
          <cell r="B10">
            <v>514</v>
          </cell>
        </row>
        <row r="11">
          <cell r="A11">
            <v>33335</v>
          </cell>
          <cell r="B11">
            <v>515</v>
          </cell>
        </row>
        <row r="12">
          <cell r="A12">
            <v>38217</v>
          </cell>
          <cell r="B12">
            <v>509</v>
          </cell>
        </row>
        <row r="13">
          <cell r="A13">
            <v>36690</v>
          </cell>
          <cell r="B13">
            <v>524</v>
          </cell>
        </row>
        <row r="14">
          <cell r="A14">
            <v>35303</v>
          </cell>
          <cell r="B14">
            <v>524</v>
          </cell>
        </row>
        <row r="15">
          <cell r="A15">
            <v>33780</v>
          </cell>
          <cell r="B15">
            <v>539</v>
          </cell>
        </row>
        <row r="16">
          <cell r="A16">
            <v>32843</v>
          </cell>
          <cell r="B16">
            <v>551</v>
          </cell>
        </row>
        <row r="17">
          <cell r="A17">
            <v>37781</v>
          </cell>
          <cell r="B17">
            <v>543</v>
          </cell>
        </row>
        <row r="18">
          <cell r="A18">
            <v>27716</v>
          </cell>
          <cell r="B18">
            <v>528</v>
          </cell>
        </row>
        <row r="19">
          <cell r="A19">
            <v>31876</v>
          </cell>
          <cell r="B19">
            <v>531</v>
          </cell>
        </row>
        <row r="20">
          <cell r="A20">
            <v>31463</v>
          </cell>
          <cell r="B20">
            <v>542</v>
          </cell>
        </row>
        <row r="21">
          <cell r="A21">
            <v>29829</v>
          </cell>
          <cell r="B21">
            <v>558</v>
          </cell>
        </row>
      </sheetData>
      <sheetData sheetId="6"/>
      <sheetData sheetId="7"/>
      <sheetData sheetId="8"/>
      <sheetData sheetId="9"/>
      <sheetData sheetId="10"/>
      <sheetData sheetId="11">
        <row r="22">
          <cell r="B22" t="str">
            <v>4-MA Tracking</v>
          </cell>
          <cell r="C22" t="str">
            <v>6-MA Tracking</v>
          </cell>
        </row>
        <row r="23">
          <cell r="A23" t="str">
            <v>May</v>
          </cell>
          <cell r="B23">
            <v>1</v>
          </cell>
        </row>
        <row r="24">
          <cell r="A24" t="str">
            <v>June</v>
          </cell>
          <cell r="B24">
            <v>2</v>
          </cell>
        </row>
        <row r="25">
          <cell r="A25" t="str">
            <v>July</v>
          </cell>
          <cell r="B25">
            <v>2.7876106194690267</v>
          </cell>
          <cell r="C25">
            <v>1</v>
          </cell>
        </row>
        <row r="26">
          <cell r="A26" t="str">
            <v>August</v>
          </cell>
          <cell r="B26">
            <v>3.7440000000000002</v>
          </cell>
          <cell r="C26">
            <v>2</v>
          </cell>
        </row>
        <row r="27">
          <cell r="A27" t="str">
            <v>September</v>
          </cell>
          <cell r="B27">
            <v>3.832116788321168</v>
          </cell>
          <cell r="C27">
            <v>3</v>
          </cell>
        </row>
        <row r="28">
          <cell r="A28" t="str">
            <v>October</v>
          </cell>
          <cell r="B28">
            <v>3.018633540372671</v>
          </cell>
          <cell r="C28">
            <v>0.93913370133461249</v>
          </cell>
        </row>
        <row r="29">
          <cell r="A29" t="str">
            <v>November</v>
          </cell>
          <cell r="B29">
            <v>1.47</v>
          </cell>
          <cell r="C29">
            <v>-1.2032111298633787</v>
          </cell>
        </row>
        <row r="30">
          <cell r="A30" t="str">
            <v>December</v>
          </cell>
          <cell r="B30">
            <v>-0.40784313725490196</v>
          </cell>
          <cell r="C30">
            <v>-2.8676535791570421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B2:B4"/>
  <sheetViews>
    <sheetView showGridLines="0" workbookViewId="0"/>
  </sheetViews>
  <sheetFormatPr baseColWidth="10" defaultColWidth="8.83203125" defaultRowHeight="15"/>
  <cols>
    <col min="4" max="4" width="5.6640625" customWidth="1"/>
    <col min="7" max="7" width="5.6640625" customWidth="1"/>
  </cols>
  <sheetData>
    <row r="2" spans="2:2">
      <c r="B2" s="6" t="s">
        <v>327</v>
      </c>
    </row>
    <row r="4" spans="2:2">
      <c r="B4" s="6" t="s">
        <v>290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4"/>
  <sheetViews>
    <sheetView workbookViewId="0">
      <selection activeCell="K10" sqref="K10"/>
    </sheetView>
  </sheetViews>
  <sheetFormatPr baseColWidth="10" defaultColWidth="8.83203125" defaultRowHeight="15"/>
  <cols>
    <col min="1" max="1" width="13.1640625" customWidth="1"/>
    <col min="2" max="2" width="11.6640625" bestFit="1" customWidth="1"/>
    <col min="3" max="3" width="9.1640625" style="59"/>
    <col min="7" max="10" width="9.1640625" style="151"/>
    <col min="13" max="13" width="15.1640625" customWidth="1"/>
    <col min="257" max="257" width="13.1640625" customWidth="1"/>
    <col min="258" max="258" width="11.6640625" bestFit="1" customWidth="1"/>
    <col min="513" max="513" width="13.1640625" customWidth="1"/>
    <col min="514" max="514" width="11.6640625" bestFit="1" customWidth="1"/>
    <col min="769" max="769" width="13.1640625" customWidth="1"/>
    <col min="770" max="770" width="11.6640625" bestFit="1" customWidth="1"/>
    <col min="1025" max="1025" width="13.1640625" customWidth="1"/>
    <col min="1026" max="1026" width="11.6640625" bestFit="1" customWidth="1"/>
    <col min="1281" max="1281" width="13.1640625" customWidth="1"/>
    <col min="1282" max="1282" width="11.6640625" bestFit="1" customWidth="1"/>
    <col min="1537" max="1537" width="13.1640625" customWidth="1"/>
    <col min="1538" max="1538" width="11.6640625" bestFit="1" customWidth="1"/>
    <col min="1793" max="1793" width="13.1640625" customWidth="1"/>
    <col min="1794" max="1794" width="11.6640625" bestFit="1" customWidth="1"/>
    <col min="2049" max="2049" width="13.1640625" customWidth="1"/>
    <col min="2050" max="2050" width="11.6640625" bestFit="1" customWidth="1"/>
    <col min="2305" max="2305" width="13.1640625" customWidth="1"/>
    <col min="2306" max="2306" width="11.6640625" bestFit="1" customWidth="1"/>
    <col min="2561" max="2561" width="13.1640625" customWidth="1"/>
    <col min="2562" max="2562" width="11.6640625" bestFit="1" customWidth="1"/>
    <col min="2817" max="2817" width="13.1640625" customWidth="1"/>
    <col min="2818" max="2818" width="11.6640625" bestFit="1" customWidth="1"/>
    <col min="3073" max="3073" width="13.1640625" customWidth="1"/>
    <col min="3074" max="3074" width="11.6640625" bestFit="1" customWidth="1"/>
    <col min="3329" max="3329" width="13.1640625" customWidth="1"/>
    <col min="3330" max="3330" width="11.6640625" bestFit="1" customWidth="1"/>
    <col min="3585" max="3585" width="13.1640625" customWidth="1"/>
    <col min="3586" max="3586" width="11.6640625" bestFit="1" customWidth="1"/>
    <col min="3841" max="3841" width="13.1640625" customWidth="1"/>
    <col min="3842" max="3842" width="11.6640625" bestFit="1" customWidth="1"/>
    <col min="4097" max="4097" width="13.1640625" customWidth="1"/>
    <col min="4098" max="4098" width="11.6640625" bestFit="1" customWidth="1"/>
    <col min="4353" max="4353" width="13.1640625" customWidth="1"/>
    <col min="4354" max="4354" width="11.6640625" bestFit="1" customWidth="1"/>
    <col min="4609" max="4609" width="13.1640625" customWidth="1"/>
    <col min="4610" max="4610" width="11.6640625" bestFit="1" customWidth="1"/>
    <col min="4865" max="4865" width="13.1640625" customWidth="1"/>
    <col min="4866" max="4866" width="11.6640625" bestFit="1" customWidth="1"/>
    <col min="5121" max="5121" width="13.1640625" customWidth="1"/>
    <col min="5122" max="5122" width="11.6640625" bestFit="1" customWidth="1"/>
    <col min="5377" max="5377" width="13.1640625" customWidth="1"/>
    <col min="5378" max="5378" width="11.6640625" bestFit="1" customWidth="1"/>
    <col min="5633" max="5633" width="13.1640625" customWidth="1"/>
    <col min="5634" max="5634" width="11.6640625" bestFit="1" customWidth="1"/>
    <col min="5889" max="5889" width="13.1640625" customWidth="1"/>
    <col min="5890" max="5890" width="11.6640625" bestFit="1" customWidth="1"/>
    <col min="6145" max="6145" width="13.1640625" customWidth="1"/>
    <col min="6146" max="6146" width="11.6640625" bestFit="1" customWidth="1"/>
    <col min="6401" max="6401" width="13.1640625" customWidth="1"/>
    <col min="6402" max="6402" width="11.6640625" bestFit="1" customWidth="1"/>
    <col min="6657" max="6657" width="13.1640625" customWidth="1"/>
    <col min="6658" max="6658" width="11.6640625" bestFit="1" customWidth="1"/>
    <col min="6913" max="6913" width="13.1640625" customWidth="1"/>
    <col min="6914" max="6914" width="11.6640625" bestFit="1" customWidth="1"/>
    <col min="7169" max="7169" width="13.1640625" customWidth="1"/>
    <col min="7170" max="7170" width="11.6640625" bestFit="1" customWidth="1"/>
    <col min="7425" max="7425" width="13.1640625" customWidth="1"/>
    <col min="7426" max="7426" width="11.6640625" bestFit="1" customWidth="1"/>
    <col min="7681" max="7681" width="13.1640625" customWidth="1"/>
    <col min="7682" max="7682" width="11.6640625" bestFit="1" customWidth="1"/>
    <col min="7937" max="7937" width="13.1640625" customWidth="1"/>
    <col min="7938" max="7938" width="11.6640625" bestFit="1" customWidth="1"/>
    <col min="8193" max="8193" width="13.1640625" customWidth="1"/>
    <col min="8194" max="8194" width="11.6640625" bestFit="1" customWidth="1"/>
    <col min="8449" max="8449" width="13.1640625" customWidth="1"/>
    <col min="8450" max="8450" width="11.6640625" bestFit="1" customWidth="1"/>
    <col min="8705" max="8705" width="13.1640625" customWidth="1"/>
    <col min="8706" max="8706" width="11.6640625" bestFit="1" customWidth="1"/>
    <col min="8961" max="8961" width="13.1640625" customWidth="1"/>
    <col min="8962" max="8962" width="11.6640625" bestFit="1" customWidth="1"/>
    <col min="9217" max="9217" width="13.1640625" customWidth="1"/>
    <col min="9218" max="9218" width="11.6640625" bestFit="1" customWidth="1"/>
    <col min="9473" max="9473" width="13.1640625" customWidth="1"/>
    <col min="9474" max="9474" width="11.6640625" bestFit="1" customWidth="1"/>
    <col min="9729" max="9729" width="13.1640625" customWidth="1"/>
    <col min="9730" max="9730" width="11.6640625" bestFit="1" customWidth="1"/>
    <col min="9985" max="9985" width="13.1640625" customWidth="1"/>
    <col min="9986" max="9986" width="11.6640625" bestFit="1" customWidth="1"/>
    <col min="10241" max="10241" width="13.1640625" customWidth="1"/>
    <col min="10242" max="10242" width="11.6640625" bestFit="1" customWidth="1"/>
    <col min="10497" max="10497" width="13.1640625" customWidth="1"/>
    <col min="10498" max="10498" width="11.6640625" bestFit="1" customWidth="1"/>
    <col min="10753" max="10753" width="13.1640625" customWidth="1"/>
    <col min="10754" max="10754" width="11.6640625" bestFit="1" customWidth="1"/>
    <col min="11009" max="11009" width="13.1640625" customWidth="1"/>
    <col min="11010" max="11010" width="11.6640625" bestFit="1" customWidth="1"/>
    <col min="11265" max="11265" width="13.1640625" customWidth="1"/>
    <col min="11266" max="11266" width="11.6640625" bestFit="1" customWidth="1"/>
    <col min="11521" max="11521" width="13.1640625" customWidth="1"/>
    <col min="11522" max="11522" width="11.6640625" bestFit="1" customWidth="1"/>
    <col min="11777" max="11777" width="13.1640625" customWidth="1"/>
    <col min="11778" max="11778" width="11.6640625" bestFit="1" customWidth="1"/>
    <col min="12033" max="12033" width="13.1640625" customWidth="1"/>
    <col min="12034" max="12034" width="11.6640625" bestFit="1" customWidth="1"/>
    <col min="12289" max="12289" width="13.1640625" customWidth="1"/>
    <col min="12290" max="12290" width="11.6640625" bestFit="1" customWidth="1"/>
    <col min="12545" max="12545" width="13.1640625" customWidth="1"/>
    <col min="12546" max="12546" width="11.6640625" bestFit="1" customWidth="1"/>
    <col min="12801" max="12801" width="13.1640625" customWidth="1"/>
    <col min="12802" max="12802" width="11.6640625" bestFit="1" customWidth="1"/>
    <col min="13057" max="13057" width="13.1640625" customWidth="1"/>
    <col min="13058" max="13058" width="11.6640625" bestFit="1" customWidth="1"/>
    <col min="13313" max="13313" width="13.1640625" customWidth="1"/>
    <col min="13314" max="13314" width="11.6640625" bestFit="1" customWidth="1"/>
    <col min="13569" max="13569" width="13.1640625" customWidth="1"/>
    <col min="13570" max="13570" width="11.6640625" bestFit="1" customWidth="1"/>
    <col min="13825" max="13825" width="13.1640625" customWidth="1"/>
    <col min="13826" max="13826" width="11.6640625" bestFit="1" customWidth="1"/>
    <col min="14081" max="14081" width="13.1640625" customWidth="1"/>
    <col min="14082" max="14082" width="11.6640625" bestFit="1" customWidth="1"/>
    <col min="14337" max="14337" width="13.1640625" customWidth="1"/>
    <col min="14338" max="14338" width="11.6640625" bestFit="1" customWidth="1"/>
    <col min="14593" max="14593" width="13.1640625" customWidth="1"/>
    <col min="14594" max="14594" width="11.6640625" bestFit="1" customWidth="1"/>
    <col min="14849" max="14849" width="13.1640625" customWidth="1"/>
    <col min="14850" max="14850" width="11.6640625" bestFit="1" customWidth="1"/>
    <col min="15105" max="15105" width="13.1640625" customWidth="1"/>
    <col min="15106" max="15106" width="11.6640625" bestFit="1" customWidth="1"/>
    <col min="15361" max="15361" width="13.1640625" customWidth="1"/>
    <col min="15362" max="15362" width="11.6640625" bestFit="1" customWidth="1"/>
    <col min="15617" max="15617" width="13.1640625" customWidth="1"/>
    <col min="15618" max="15618" width="11.6640625" bestFit="1" customWidth="1"/>
    <col min="15873" max="15873" width="13.1640625" customWidth="1"/>
    <col min="15874" max="15874" width="11.6640625" bestFit="1" customWidth="1"/>
    <col min="16129" max="16129" width="13.1640625" customWidth="1"/>
    <col min="16130" max="16130" width="11.6640625" bestFit="1" customWidth="1"/>
  </cols>
  <sheetData>
    <row r="1" spans="1:13">
      <c r="A1" s="1" t="s">
        <v>89</v>
      </c>
      <c r="G1"/>
      <c r="H1"/>
      <c r="I1" s="6" t="s">
        <v>118</v>
      </c>
      <c r="J1"/>
    </row>
    <row r="2" spans="1:13" ht="16" thickBot="1">
      <c r="A2" s="1"/>
      <c r="C2" s="76"/>
      <c r="D2" s="7"/>
      <c r="E2" s="7"/>
      <c r="G2"/>
      <c r="H2"/>
      <c r="I2" s="201" t="s">
        <v>141</v>
      </c>
      <c r="J2"/>
    </row>
    <row r="3" spans="1:13">
      <c r="C3" s="75" t="s">
        <v>27</v>
      </c>
      <c r="D3" s="75" t="s">
        <v>27</v>
      </c>
      <c r="E3" s="75" t="s">
        <v>27</v>
      </c>
      <c r="G3"/>
      <c r="H3"/>
      <c r="I3" s="657" t="s">
        <v>137</v>
      </c>
      <c r="J3" s="658"/>
      <c r="K3" s="658"/>
      <c r="L3" s="658"/>
      <c r="M3" s="175"/>
    </row>
    <row r="4" spans="1:13" ht="16" thickBot="1">
      <c r="C4">
        <v>0.1</v>
      </c>
      <c r="D4">
        <v>0.6</v>
      </c>
      <c r="E4" s="3">
        <v>0</v>
      </c>
      <c r="G4"/>
      <c r="H4"/>
      <c r="I4" s="176"/>
      <c r="J4" s="177"/>
      <c r="K4" s="177"/>
      <c r="L4" s="177"/>
      <c r="M4" s="178"/>
    </row>
    <row r="5" spans="1:13" ht="16" thickBot="1">
      <c r="A5" s="1" t="s">
        <v>0</v>
      </c>
      <c r="B5" s="1" t="s">
        <v>1</v>
      </c>
      <c r="C5" s="60" t="s">
        <v>185</v>
      </c>
      <c r="D5" s="60" t="s">
        <v>185</v>
      </c>
      <c r="E5" s="60" t="s">
        <v>185</v>
      </c>
      <c r="G5"/>
      <c r="H5"/>
      <c r="I5" s="659" t="s">
        <v>138</v>
      </c>
      <c r="J5" s="660"/>
      <c r="K5" s="660"/>
      <c r="L5" s="161">
        <v>0.1</v>
      </c>
      <c r="M5" s="178"/>
    </row>
    <row r="6" spans="1:13" ht="16" thickBot="1">
      <c r="A6" s="5">
        <v>1</v>
      </c>
      <c r="B6" s="5">
        <v>321</v>
      </c>
      <c r="D6" s="59"/>
      <c r="E6" s="59"/>
      <c r="G6"/>
      <c r="H6"/>
      <c r="I6" s="176"/>
      <c r="J6" s="177"/>
      <c r="K6" s="177"/>
      <c r="L6" s="177"/>
      <c r="M6" s="178"/>
    </row>
    <row r="7" spans="1:13">
      <c r="A7" s="5">
        <v>2</v>
      </c>
      <c r="B7" s="5">
        <v>385</v>
      </c>
      <c r="C7" s="59">
        <f>B6</f>
        <v>321</v>
      </c>
      <c r="D7" s="59">
        <f>B6</f>
        <v>321</v>
      </c>
      <c r="E7" s="59">
        <f>B6</f>
        <v>321</v>
      </c>
      <c r="G7"/>
      <c r="H7"/>
      <c r="I7" s="179" t="s">
        <v>121</v>
      </c>
      <c r="J7" s="162">
        <v>79.564480000000003</v>
      </c>
      <c r="K7" s="180"/>
      <c r="L7" s="181"/>
      <c r="M7" s="178"/>
    </row>
    <row r="8" spans="1:13" ht="16" thickBot="1">
      <c r="A8" s="5">
        <v>3</v>
      </c>
      <c r="B8" s="5">
        <v>349</v>
      </c>
      <c r="C8" s="59">
        <f>C7+C4*(B7-C7)</f>
        <v>327.39999999999998</v>
      </c>
      <c r="D8" s="59">
        <f>D7+D4*(B7-D7)</f>
        <v>359.4</v>
      </c>
      <c r="E8" s="59">
        <f>E7+E4*(B7-E7)</f>
        <v>321</v>
      </c>
      <c r="G8"/>
      <c r="H8"/>
      <c r="I8" s="179" t="s">
        <v>122</v>
      </c>
      <c r="J8" s="163">
        <v>0.19311766990291263</v>
      </c>
      <c r="K8" s="180"/>
      <c r="L8" s="181"/>
      <c r="M8" s="178"/>
    </row>
    <row r="9" spans="1:13" ht="16" thickBot="1">
      <c r="A9" s="5">
        <v>4</v>
      </c>
      <c r="B9" s="5">
        <v>403</v>
      </c>
      <c r="C9" s="59">
        <f>C8+C4*(B8-C8)</f>
        <v>329.56</v>
      </c>
      <c r="D9" s="59">
        <f>D8+D4*(B8-D8)</f>
        <v>353.15999999999997</v>
      </c>
      <c r="E9" s="59">
        <f>E8+E4*(B8-E8)</f>
        <v>321</v>
      </c>
      <c r="G9"/>
      <c r="H9"/>
      <c r="I9" s="176"/>
      <c r="J9" s="177"/>
      <c r="K9" s="177"/>
      <c r="L9" s="177"/>
      <c r="M9" s="178"/>
    </row>
    <row r="10" spans="1:13" ht="21" customHeight="1" thickBot="1">
      <c r="A10" s="5">
        <v>5</v>
      </c>
      <c r="B10" s="5">
        <v>441</v>
      </c>
      <c r="C10" s="59">
        <f>C9+C4*(B9-C9)</f>
        <v>336.904</v>
      </c>
      <c r="D10" s="59">
        <f>D9+D4*(B9-D9)</f>
        <v>383.06399999999996</v>
      </c>
      <c r="E10" s="59">
        <f>E9+E4*(B9-E9)</f>
        <v>321</v>
      </c>
      <c r="G10"/>
      <c r="H10"/>
      <c r="I10" s="164" t="s">
        <v>39</v>
      </c>
      <c r="J10" s="164" t="s">
        <v>38</v>
      </c>
      <c r="K10" s="164" t="s">
        <v>185</v>
      </c>
      <c r="L10" s="164" t="s">
        <v>37</v>
      </c>
      <c r="M10" s="165" t="s">
        <v>123</v>
      </c>
    </row>
    <row r="11" spans="1:13">
      <c r="A11" s="5">
        <v>6</v>
      </c>
      <c r="B11" s="5">
        <v>482</v>
      </c>
      <c r="C11" s="59">
        <f>C10+C4*(B10-C10)</f>
        <v>347.31360000000001</v>
      </c>
      <c r="D11" s="59">
        <f>D10+D4*(B10-D10)</f>
        <v>417.82560000000001</v>
      </c>
      <c r="E11" s="59">
        <f>E10+E4*(B10-E10)</f>
        <v>321</v>
      </c>
      <c r="G11"/>
      <c r="H11"/>
      <c r="I11" s="166">
        <v>1</v>
      </c>
      <c r="J11" s="200">
        <v>321</v>
      </c>
      <c r="K11" s="168" t="s">
        <v>124</v>
      </c>
      <c r="L11" s="194" t="s">
        <v>124</v>
      </c>
      <c r="M11" s="170" t="s">
        <v>124</v>
      </c>
    </row>
    <row r="12" spans="1:13">
      <c r="A12" s="77">
        <v>7</v>
      </c>
      <c r="B12" s="61"/>
      <c r="C12" s="519">
        <f>C11+C4*(B11-C11)</f>
        <v>360.78224</v>
      </c>
      <c r="D12" s="519">
        <f>D11+D4*(B11-D11)</f>
        <v>456.33024</v>
      </c>
      <c r="E12" s="519">
        <f>E11+E4*(B11-E11)</f>
        <v>321</v>
      </c>
      <c r="G12"/>
      <c r="H12"/>
      <c r="I12" s="171">
        <v>2</v>
      </c>
      <c r="J12" s="167">
        <v>385</v>
      </c>
      <c r="K12" s="172">
        <v>321</v>
      </c>
      <c r="L12" s="195">
        <v>64</v>
      </c>
      <c r="M12" s="174">
        <v>1</v>
      </c>
    </row>
    <row r="13" spans="1:13">
      <c r="A13" s="523"/>
      <c r="G13"/>
      <c r="H13"/>
      <c r="I13" s="171">
        <v>3</v>
      </c>
      <c r="J13" s="167">
        <v>349</v>
      </c>
      <c r="K13" s="172">
        <v>327.39999999999998</v>
      </c>
      <c r="L13" s="195">
        <v>21.600000000000023</v>
      </c>
      <c r="M13" s="174">
        <v>2</v>
      </c>
    </row>
    <row r="14" spans="1:13">
      <c r="A14" s="511" t="s">
        <v>11</v>
      </c>
      <c r="B14" s="524">
        <f>C12</f>
        <v>360.78224</v>
      </c>
      <c r="G14"/>
      <c r="H14"/>
      <c r="I14" s="171">
        <v>4</v>
      </c>
      <c r="J14" s="167">
        <v>403</v>
      </c>
      <c r="K14" s="172">
        <v>329.56</v>
      </c>
      <c r="L14" s="195">
        <v>73.44</v>
      </c>
      <c r="M14" s="174">
        <v>3</v>
      </c>
    </row>
    <row r="15" spans="1:13">
      <c r="A15" s="511"/>
      <c r="B15" s="6"/>
      <c r="G15"/>
      <c r="H15"/>
      <c r="I15" s="171">
        <v>5</v>
      </c>
      <c r="J15" s="167">
        <v>441</v>
      </c>
      <c r="K15" s="172">
        <v>336.904</v>
      </c>
      <c r="L15" s="195">
        <v>104.096</v>
      </c>
      <c r="M15" s="174">
        <v>4</v>
      </c>
    </row>
    <row r="16" spans="1:13">
      <c r="A16" s="511" t="s">
        <v>12</v>
      </c>
      <c r="B16" s="524">
        <f>D12</f>
        <v>456.33024</v>
      </c>
      <c r="G16"/>
      <c r="H16"/>
      <c r="I16" s="171">
        <v>6</v>
      </c>
      <c r="J16" s="167">
        <v>482</v>
      </c>
      <c r="K16" s="172">
        <v>347.31360000000001</v>
      </c>
      <c r="L16" s="195">
        <v>134.68639999999999</v>
      </c>
      <c r="M16" s="174">
        <v>5</v>
      </c>
    </row>
    <row r="17" spans="1:13" ht="16" thickBot="1">
      <c r="A17" s="511"/>
      <c r="B17" s="6"/>
      <c r="G17"/>
      <c r="H17"/>
      <c r="I17" s="182">
        <v>7</v>
      </c>
      <c r="J17" s="183"/>
      <c r="K17" s="184">
        <v>360.78224</v>
      </c>
      <c r="L17" s="198" t="s">
        <v>124</v>
      </c>
      <c r="M17" s="186" t="s">
        <v>124</v>
      </c>
    </row>
    <row r="18" spans="1:13">
      <c r="A18" s="511" t="s">
        <v>13</v>
      </c>
      <c r="B18" s="524">
        <f>E12</f>
        <v>321</v>
      </c>
      <c r="G18"/>
      <c r="H18"/>
      <c r="I18"/>
      <c r="J18"/>
    </row>
    <row r="19" spans="1:13" ht="13.5" customHeight="1" thickBot="1">
      <c r="A19" s="10"/>
      <c r="B19" s="11"/>
      <c r="C19" s="62"/>
      <c r="D19" s="11"/>
      <c r="E19" s="11"/>
      <c r="F19" s="11"/>
      <c r="G19" s="11"/>
      <c r="H19" s="11"/>
      <c r="I19" s="201" t="s">
        <v>142</v>
      </c>
      <c r="J19" s="11"/>
      <c r="K19" s="11"/>
      <c r="L19" s="11"/>
    </row>
    <row r="20" spans="1:13">
      <c r="A20" s="677"/>
      <c r="B20" s="677"/>
      <c r="C20" s="677"/>
      <c r="D20" s="677"/>
      <c r="E20" s="63"/>
      <c r="F20" s="11"/>
      <c r="G20" s="147"/>
      <c r="H20" s="147"/>
      <c r="I20" s="657" t="s">
        <v>137</v>
      </c>
      <c r="J20" s="658"/>
      <c r="K20" s="658"/>
      <c r="L20" s="658"/>
      <c r="M20" s="175"/>
    </row>
    <row r="21" spans="1:13" ht="16" thickBot="1">
      <c r="A21" s="63"/>
      <c r="B21" s="63"/>
      <c r="C21" s="63"/>
      <c r="D21" s="63"/>
      <c r="E21" s="63"/>
      <c r="F21" s="11"/>
      <c r="G21" s="63"/>
      <c r="H21" s="63"/>
      <c r="I21" s="176"/>
      <c r="J21" s="177"/>
      <c r="K21" s="177"/>
      <c r="L21" s="177"/>
      <c r="M21" s="178"/>
    </row>
    <row r="22" spans="1:13" ht="16" thickBot="1">
      <c r="A22" s="676"/>
      <c r="B22" s="676"/>
      <c r="C22" s="676"/>
      <c r="D22" s="64"/>
      <c r="E22" s="63"/>
      <c r="F22" s="11"/>
      <c r="G22" s="146"/>
      <c r="H22" s="146"/>
      <c r="I22" s="659" t="s">
        <v>138</v>
      </c>
      <c r="J22" s="660"/>
      <c r="K22" s="660"/>
      <c r="L22" s="161">
        <v>0.6</v>
      </c>
      <c r="M22" s="178"/>
    </row>
    <row r="23" spans="1:13" ht="16" thickBot="1">
      <c r="A23" s="63"/>
      <c r="B23" s="63"/>
      <c r="C23" s="63"/>
      <c r="D23" s="63"/>
      <c r="E23" s="63"/>
      <c r="F23" s="11"/>
      <c r="G23" s="202"/>
      <c r="H23" s="202"/>
      <c r="I23" s="176"/>
      <c r="J23" s="177"/>
      <c r="K23" s="177"/>
      <c r="L23" s="177"/>
      <c r="M23" s="178"/>
    </row>
    <row r="24" spans="1:13">
      <c r="A24" s="65"/>
      <c r="B24" s="66"/>
      <c r="C24" s="67"/>
      <c r="D24" s="68"/>
      <c r="E24" s="63"/>
      <c r="F24" s="11"/>
      <c r="G24" s="203"/>
      <c r="H24" s="204"/>
      <c r="I24" s="179" t="s">
        <v>121</v>
      </c>
      <c r="J24" s="162">
        <v>49.270080000000007</v>
      </c>
      <c r="K24" s="180"/>
      <c r="L24" s="181"/>
      <c r="M24" s="178"/>
    </row>
    <row r="25" spans="1:13" ht="16" thickBot="1">
      <c r="A25" s="65"/>
      <c r="B25" s="69"/>
      <c r="C25" s="67"/>
      <c r="D25" s="68"/>
      <c r="E25" s="63"/>
      <c r="F25" s="11"/>
      <c r="G25" s="203"/>
      <c r="H25" s="205"/>
      <c r="I25" s="179" t="s">
        <v>122</v>
      </c>
      <c r="J25" s="163">
        <v>0.119587572815534</v>
      </c>
      <c r="K25" s="180"/>
      <c r="L25" s="181"/>
      <c r="M25" s="178"/>
    </row>
    <row r="26" spans="1:13" ht="16" thickBot="1">
      <c r="A26" s="63"/>
      <c r="B26" s="63"/>
      <c r="C26" s="63"/>
      <c r="D26" s="63"/>
      <c r="E26" s="63"/>
      <c r="F26" s="11"/>
      <c r="G26" s="202"/>
      <c r="H26" s="202"/>
      <c r="I26" s="176"/>
      <c r="J26" s="177"/>
      <c r="K26" s="177"/>
      <c r="L26" s="177"/>
      <c r="M26" s="178"/>
    </row>
    <row r="27" spans="1:13" ht="16" thickBot="1">
      <c r="A27" s="70"/>
      <c r="B27" s="70"/>
      <c r="C27" s="70"/>
      <c r="D27" s="70"/>
      <c r="E27" s="71"/>
      <c r="F27" s="11"/>
      <c r="G27" s="146"/>
      <c r="H27" s="146"/>
      <c r="I27" s="164" t="s">
        <v>39</v>
      </c>
      <c r="J27" s="164" t="s">
        <v>38</v>
      </c>
      <c r="K27" s="164" t="s">
        <v>185</v>
      </c>
      <c r="L27" s="164" t="s">
        <v>37</v>
      </c>
      <c r="M27" s="165" t="s">
        <v>123</v>
      </c>
    </row>
    <row r="28" spans="1:13">
      <c r="A28" s="70"/>
      <c r="B28" s="72"/>
      <c r="C28" s="73"/>
      <c r="D28" s="73"/>
      <c r="E28" s="73"/>
      <c r="F28" s="11"/>
      <c r="G28" s="146"/>
      <c r="H28" s="72"/>
      <c r="I28" s="166">
        <v>1</v>
      </c>
      <c r="J28" s="200">
        <v>321</v>
      </c>
      <c r="K28" s="168" t="s">
        <v>124</v>
      </c>
      <c r="L28" s="194" t="s">
        <v>124</v>
      </c>
      <c r="M28" s="170" t="s">
        <v>124</v>
      </c>
    </row>
    <row r="29" spans="1:13">
      <c r="A29" s="70"/>
      <c r="B29" s="72"/>
      <c r="C29" s="73"/>
      <c r="D29" s="73"/>
      <c r="E29" s="73"/>
      <c r="F29" s="11"/>
      <c r="G29" s="146"/>
      <c r="H29" s="72"/>
      <c r="I29" s="171">
        <v>2</v>
      </c>
      <c r="J29" s="167">
        <v>385</v>
      </c>
      <c r="K29" s="172">
        <v>321</v>
      </c>
      <c r="L29" s="195">
        <v>64</v>
      </c>
      <c r="M29" s="174">
        <v>1</v>
      </c>
    </row>
    <row r="30" spans="1:13">
      <c r="A30" s="70"/>
      <c r="B30" s="72"/>
      <c r="C30" s="73"/>
      <c r="D30" s="73"/>
      <c r="E30" s="73"/>
      <c r="F30" s="11"/>
      <c r="G30" s="146"/>
      <c r="H30" s="72"/>
      <c r="I30" s="171">
        <v>3</v>
      </c>
      <c r="J30" s="167">
        <v>349</v>
      </c>
      <c r="K30" s="172">
        <v>359.4</v>
      </c>
      <c r="L30" s="195">
        <v>-10.399999999999977</v>
      </c>
      <c r="M30" s="174">
        <v>1.4408602150537644</v>
      </c>
    </row>
    <row r="31" spans="1:13">
      <c r="A31" s="70"/>
      <c r="B31" s="72"/>
      <c r="C31" s="73"/>
      <c r="D31" s="73"/>
      <c r="E31" s="73"/>
      <c r="F31" s="11"/>
      <c r="G31" s="146"/>
      <c r="H31" s="72"/>
      <c r="I31" s="171">
        <v>4</v>
      </c>
      <c r="J31" s="167">
        <v>403</v>
      </c>
      <c r="K31" s="172">
        <v>353.15999999999997</v>
      </c>
      <c r="L31" s="195">
        <v>49.840000000000032</v>
      </c>
      <c r="M31" s="174">
        <v>2.4977462974887326</v>
      </c>
    </row>
    <row r="32" spans="1:13">
      <c r="A32" s="70"/>
      <c r="B32" s="72"/>
      <c r="C32" s="73"/>
      <c r="D32" s="73"/>
      <c r="E32" s="73"/>
      <c r="F32" s="11"/>
      <c r="G32" s="146"/>
      <c r="H32" s="72"/>
      <c r="I32" s="171">
        <v>5</v>
      </c>
      <c r="J32" s="167">
        <v>441</v>
      </c>
      <c r="K32" s="172">
        <v>383.06399999999996</v>
      </c>
      <c r="L32" s="195">
        <v>57.936000000000035</v>
      </c>
      <c r="M32" s="174">
        <v>3.543298787985246</v>
      </c>
    </row>
    <row r="33" spans="1:13">
      <c r="A33" s="70"/>
      <c r="B33" s="72"/>
      <c r="C33" s="73"/>
      <c r="D33" s="73"/>
      <c r="E33" s="73"/>
      <c r="F33" s="11"/>
      <c r="G33" s="146"/>
      <c r="H33" s="72"/>
      <c r="I33" s="171">
        <v>6</v>
      </c>
      <c r="J33" s="167">
        <v>482</v>
      </c>
      <c r="K33" s="172">
        <v>417.82560000000001</v>
      </c>
      <c r="L33" s="195">
        <v>64.174399999999991</v>
      </c>
      <c r="M33" s="174">
        <v>4.5778370970779845</v>
      </c>
    </row>
    <row r="34" spans="1:13" ht="16" thickBot="1">
      <c r="A34" s="70"/>
      <c r="B34" s="74"/>
      <c r="C34" s="73"/>
      <c r="D34" s="73"/>
      <c r="E34" s="73"/>
      <c r="F34" s="11"/>
      <c r="G34" s="146"/>
      <c r="H34" s="74"/>
      <c r="I34" s="182">
        <v>7</v>
      </c>
      <c r="J34" s="183"/>
      <c r="K34" s="184">
        <v>456.33024</v>
      </c>
      <c r="L34" s="198" t="s">
        <v>124</v>
      </c>
      <c r="M34" s="186" t="s">
        <v>124</v>
      </c>
    </row>
    <row r="35" spans="1:13">
      <c r="A35" s="11"/>
      <c r="B35" s="11"/>
      <c r="C35" s="62"/>
      <c r="D35" s="11"/>
      <c r="E35" s="11"/>
      <c r="F35" s="11"/>
      <c r="G35" s="87"/>
      <c r="H35" s="87"/>
      <c r="I35" s="87"/>
      <c r="J35" s="87"/>
      <c r="K35" s="11"/>
      <c r="L35" s="11"/>
    </row>
    <row r="36" spans="1:13" ht="16" thickBot="1">
      <c r="A36" s="677"/>
      <c r="B36" s="677"/>
      <c r="C36" s="677"/>
      <c r="D36" s="677"/>
      <c r="E36" s="63"/>
      <c r="F36" s="11"/>
      <c r="G36" s="147"/>
      <c r="H36" s="147"/>
      <c r="I36" s="201" t="s">
        <v>143</v>
      </c>
      <c r="J36" s="147"/>
      <c r="K36" s="63"/>
      <c r="L36" s="11"/>
    </row>
    <row r="37" spans="1:13">
      <c r="A37" s="63"/>
      <c r="B37" s="63"/>
      <c r="C37" s="63"/>
      <c r="D37" s="63"/>
      <c r="E37" s="63"/>
      <c r="F37" s="11"/>
      <c r="G37" s="202"/>
      <c r="H37" s="202"/>
      <c r="I37" s="657" t="s">
        <v>137</v>
      </c>
      <c r="J37" s="658"/>
      <c r="K37" s="658"/>
      <c r="L37" s="658"/>
      <c r="M37" s="175"/>
    </row>
    <row r="38" spans="1:13" ht="16" thickBot="1">
      <c r="A38" s="676"/>
      <c r="B38" s="676"/>
      <c r="C38" s="676"/>
      <c r="D38" s="64"/>
      <c r="E38" s="63"/>
      <c r="F38" s="11"/>
      <c r="G38" s="146"/>
      <c r="H38" s="146"/>
      <c r="I38" s="176"/>
      <c r="J38" s="177"/>
      <c r="K38" s="177"/>
      <c r="L38" s="177"/>
      <c r="M38" s="178"/>
    </row>
    <row r="39" spans="1:13" ht="16" thickBot="1">
      <c r="A39" s="63"/>
      <c r="B39" s="63"/>
      <c r="C39" s="63"/>
      <c r="D39" s="63"/>
      <c r="E39" s="63"/>
      <c r="F39" s="11"/>
      <c r="G39" s="202"/>
      <c r="H39" s="202"/>
      <c r="I39" s="659" t="s">
        <v>138</v>
      </c>
      <c r="J39" s="660"/>
      <c r="K39" s="660"/>
      <c r="L39" s="161">
        <v>0</v>
      </c>
      <c r="M39" s="178"/>
    </row>
    <row r="40" spans="1:13" ht="16" thickBot="1">
      <c r="A40" s="65"/>
      <c r="B40" s="66"/>
      <c r="C40" s="67"/>
      <c r="D40" s="68"/>
      <c r="E40" s="63"/>
      <c r="F40" s="11"/>
      <c r="G40" s="203"/>
      <c r="H40" s="204"/>
      <c r="I40" s="176"/>
      <c r="J40" s="177"/>
      <c r="K40" s="177"/>
      <c r="L40" s="177"/>
      <c r="M40" s="178"/>
    </row>
    <row r="41" spans="1:13">
      <c r="A41" s="65"/>
      <c r="B41" s="69"/>
      <c r="C41" s="67"/>
      <c r="D41" s="68"/>
      <c r="E41" s="63"/>
      <c r="F41" s="11"/>
      <c r="G41" s="203"/>
      <c r="H41" s="205"/>
      <c r="I41" s="179" t="s">
        <v>121</v>
      </c>
      <c r="J41" s="162">
        <v>91</v>
      </c>
      <c r="K41" s="180"/>
      <c r="L41" s="181"/>
      <c r="M41" s="178"/>
    </row>
    <row r="42" spans="1:13" ht="16" thickBot="1">
      <c r="A42" s="63"/>
      <c r="B42" s="63"/>
      <c r="C42" s="63"/>
      <c r="D42" s="63"/>
      <c r="E42" s="63"/>
      <c r="F42" s="11"/>
      <c r="G42" s="202"/>
      <c r="H42" s="202"/>
      <c r="I42" s="179" t="s">
        <v>122</v>
      </c>
      <c r="J42" s="163">
        <v>0.220873786407767</v>
      </c>
      <c r="K42" s="180"/>
      <c r="L42" s="181"/>
      <c r="M42" s="178"/>
    </row>
    <row r="43" spans="1:13" ht="16" thickBot="1">
      <c r="A43" s="70"/>
      <c r="B43" s="70"/>
      <c r="C43" s="70"/>
      <c r="D43" s="70"/>
      <c r="E43" s="71"/>
      <c r="F43" s="11"/>
      <c r="G43" s="146"/>
      <c r="H43" s="146"/>
      <c r="I43" s="176"/>
      <c r="J43" s="177"/>
      <c r="K43" s="177"/>
      <c r="L43" s="177"/>
      <c r="M43" s="178"/>
    </row>
    <row r="44" spans="1:13" ht="16" thickBot="1">
      <c r="A44" s="70"/>
      <c r="B44" s="72"/>
      <c r="C44" s="73"/>
      <c r="D44" s="73"/>
      <c r="E44" s="73"/>
      <c r="F44" s="11"/>
      <c r="G44" s="146"/>
      <c r="H44" s="72"/>
      <c r="I44" s="164" t="s">
        <v>39</v>
      </c>
      <c r="J44" s="164" t="s">
        <v>38</v>
      </c>
      <c r="K44" s="164" t="s">
        <v>185</v>
      </c>
      <c r="L44" s="164" t="s">
        <v>37</v>
      </c>
      <c r="M44" s="165" t="s">
        <v>123</v>
      </c>
    </row>
    <row r="45" spans="1:13">
      <c r="A45" s="70"/>
      <c r="B45" s="72"/>
      <c r="C45" s="73"/>
      <c r="D45" s="73"/>
      <c r="E45" s="73"/>
      <c r="F45" s="11"/>
      <c r="G45" s="146"/>
      <c r="H45" s="72"/>
      <c r="I45" s="166">
        <v>1</v>
      </c>
      <c r="J45" s="200">
        <v>321</v>
      </c>
      <c r="K45" s="168" t="s">
        <v>124</v>
      </c>
      <c r="L45" s="194" t="s">
        <v>124</v>
      </c>
      <c r="M45" s="170" t="s">
        <v>124</v>
      </c>
    </row>
    <row r="46" spans="1:13">
      <c r="A46" s="70"/>
      <c r="B46" s="72"/>
      <c r="C46" s="73"/>
      <c r="D46" s="73"/>
      <c r="E46" s="73"/>
      <c r="F46" s="11"/>
      <c r="G46" s="146"/>
      <c r="H46" s="72"/>
      <c r="I46" s="171">
        <v>2</v>
      </c>
      <c r="J46" s="167">
        <v>385</v>
      </c>
      <c r="K46" s="172">
        <v>321</v>
      </c>
      <c r="L46" s="195">
        <v>64</v>
      </c>
      <c r="M46" s="174">
        <v>1</v>
      </c>
    </row>
    <row r="47" spans="1:13">
      <c r="A47" s="70"/>
      <c r="B47" s="72"/>
      <c r="C47" s="73"/>
      <c r="D47" s="73"/>
      <c r="E47" s="73"/>
      <c r="F47" s="11"/>
      <c r="G47" s="146"/>
      <c r="H47" s="72"/>
      <c r="I47" s="171">
        <v>3</v>
      </c>
      <c r="J47" s="167">
        <v>349</v>
      </c>
      <c r="K47" s="172">
        <v>321</v>
      </c>
      <c r="L47" s="195">
        <v>28</v>
      </c>
      <c r="M47" s="174">
        <v>2</v>
      </c>
    </row>
    <row r="48" spans="1:13">
      <c r="A48" s="70"/>
      <c r="B48" s="72"/>
      <c r="C48" s="73"/>
      <c r="D48" s="73"/>
      <c r="E48" s="73"/>
      <c r="F48" s="11"/>
      <c r="G48" s="146"/>
      <c r="H48" s="72"/>
      <c r="I48" s="171">
        <v>4</v>
      </c>
      <c r="J48" s="167">
        <v>403</v>
      </c>
      <c r="K48" s="172">
        <v>321</v>
      </c>
      <c r="L48" s="195">
        <v>82</v>
      </c>
      <c r="M48" s="174">
        <v>3</v>
      </c>
    </row>
    <row r="49" spans="1:13">
      <c r="A49" s="70"/>
      <c r="B49" s="72"/>
      <c r="C49" s="73"/>
      <c r="D49" s="73"/>
      <c r="E49" s="73"/>
      <c r="F49" s="11"/>
      <c r="G49" s="146"/>
      <c r="H49" s="72"/>
      <c r="I49" s="171">
        <v>5</v>
      </c>
      <c r="J49" s="167">
        <v>441</v>
      </c>
      <c r="K49" s="172">
        <v>321</v>
      </c>
      <c r="L49" s="195">
        <v>120</v>
      </c>
      <c r="M49" s="174">
        <v>4</v>
      </c>
    </row>
    <row r="50" spans="1:13">
      <c r="A50" s="70"/>
      <c r="B50" s="74"/>
      <c r="C50" s="73"/>
      <c r="D50" s="73"/>
      <c r="E50" s="73"/>
      <c r="F50" s="11"/>
      <c r="G50" s="146"/>
      <c r="H50" s="74"/>
      <c r="I50" s="171">
        <v>6</v>
      </c>
      <c r="J50" s="167">
        <v>482</v>
      </c>
      <c r="K50" s="172">
        <v>321</v>
      </c>
      <c r="L50" s="195">
        <v>161</v>
      </c>
      <c r="M50" s="174">
        <v>5</v>
      </c>
    </row>
    <row r="51" spans="1:13" ht="16" thickBot="1">
      <c r="A51" s="11"/>
      <c r="B51" s="11"/>
      <c r="C51" s="62"/>
      <c r="D51" s="11"/>
      <c r="E51" s="11"/>
      <c r="F51" s="11"/>
      <c r="G51" s="87"/>
      <c r="H51" s="87"/>
      <c r="I51" s="182">
        <v>7</v>
      </c>
      <c r="J51" s="183"/>
      <c r="K51" s="184">
        <v>321</v>
      </c>
      <c r="L51" s="198" t="s">
        <v>124</v>
      </c>
      <c r="M51" s="186" t="s">
        <v>124</v>
      </c>
    </row>
    <row r="52" spans="1:13">
      <c r="A52" s="11"/>
      <c r="B52" s="11"/>
      <c r="C52" s="62"/>
      <c r="D52" s="11"/>
      <c r="E52" s="11"/>
      <c r="F52" s="11"/>
      <c r="G52" s="87"/>
      <c r="H52" s="87"/>
      <c r="I52" s="87"/>
      <c r="J52" s="87"/>
      <c r="K52" s="11"/>
      <c r="L52" s="11"/>
    </row>
    <row r="53" spans="1:13">
      <c r="A53" s="11"/>
      <c r="B53" s="11"/>
      <c r="C53" s="62"/>
      <c r="D53" s="11"/>
      <c r="E53" s="11"/>
      <c r="F53" s="11"/>
      <c r="G53" s="87"/>
      <c r="H53" s="87"/>
      <c r="I53" s="87"/>
      <c r="J53" s="87"/>
      <c r="K53" s="11"/>
      <c r="L53" s="11"/>
    </row>
    <row r="54" spans="1:13">
      <c r="A54" s="11"/>
      <c r="B54" s="11"/>
      <c r="C54" s="62"/>
      <c r="D54" s="11"/>
      <c r="E54" s="11"/>
      <c r="F54" s="11"/>
      <c r="G54" s="87"/>
      <c r="H54" s="87"/>
      <c r="I54" s="87"/>
      <c r="J54" s="87"/>
      <c r="K54" s="11"/>
      <c r="L54" s="11"/>
    </row>
  </sheetData>
  <mergeCells count="10">
    <mergeCell ref="I3:L3"/>
    <mergeCell ref="I5:K5"/>
    <mergeCell ref="I20:L20"/>
    <mergeCell ref="I22:K22"/>
    <mergeCell ref="I37:L37"/>
    <mergeCell ref="A38:C38"/>
    <mergeCell ref="A20:D20"/>
    <mergeCell ref="A22:C22"/>
    <mergeCell ref="A36:D36"/>
    <mergeCell ref="I39:K3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79"/>
  <sheetViews>
    <sheetView workbookViewId="0">
      <selection activeCell="H67" sqref="H67"/>
    </sheetView>
  </sheetViews>
  <sheetFormatPr baseColWidth="10" defaultColWidth="8.83203125" defaultRowHeight="15"/>
  <cols>
    <col min="2" max="2" width="11.6640625" customWidth="1"/>
    <col min="4" max="4" width="19.83203125" style="291" bestFit="1" customWidth="1"/>
    <col min="5" max="5" width="19.83203125" style="291" customWidth="1"/>
    <col min="6" max="6" width="11.6640625" style="291" customWidth="1"/>
    <col min="7" max="7" width="12.6640625" customWidth="1"/>
    <col min="9" max="9" width="18.6640625" bestFit="1" customWidth="1"/>
    <col min="10" max="10" width="11.6640625" customWidth="1"/>
    <col min="11" max="11" width="15.5" customWidth="1"/>
    <col min="14" max="14" width="13.5" customWidth="1"/>
    <col min="15" max="15" width="10.5" customWidth="1"/>
    <col min="16" max="16" width="11.5" customWidth="1"/>
    <col min="17" max="17" width="11.33203125" customWidth="1"/>
    <col min="258" max="258" width="11.6640625" customWidth="1"/>
    <col min="260" max="260" width="19.83203125" bestFit="1" customWidth="1"/>
    <col min="261" max="261" width="19.83203125" customWidth="1"/>
    <col min="262" max="262" width="11.6640625" customWidth="1"/>
    <col min="263" max="263" width="12.6640625" customWidth="1"/>
    <col min="265" max="265" width="18.6640625" bestFit="1" customWidth="1"/>
    <col min="266" max="266" width="11.6640625" customWidth="1"/>
    <col min="267" max="267" width="15.5" customWidth="1"/>
    <col min="270" max="270" width="13.5" customWidth="1"/>
    <col min="271" max="271" width="10.5" customWidth="1"/>
    <col min="272" max="272" width="11.5" customWidth="1"/>
    <col min="273" max="273" width="11.33203125" customWidth="1"/>
    <col min="514" max="514" width="11.6640625" customWidth="1"/>
    <col min="516" max="516" width="19.83203125" bestFit="1" customWidth="1"/>
    <col min="517" max="517" width="19.83203125" customWidth="1"/>
    <col min="518" max="518" width="11.6640625" customWidth="1"/>
    <col min="519" max="519" width="12.6640625" customWidth="1"/>
    <col min="521" max="521" width="18.6640625" bestFit="1" customWidth="1"/>
    <col min="522" max="522" width="11.6640625" customWidth="1"/>
    <col min="523" max="523" width="15.5" customWidth="1"/>
    <col min="526" max="526" width="13.5" customWidth="1"/>
    <col min="527" max="527" width="10.5" customWidth="1"/>
    <col min="528" max="528" width="11.5" customWidth="1"/>
    <col min="529" max="529" width="11.33203125" customWidth="1"/>
    <col min="770" max="770" width="11.6640625" customWidth="1"/>
    <col min="772" max="772" width="19.83203125" bestFit="1" customWidth="1"/>
    <col min="773" max="773" width="19.83203125" customWidth="1"/>
    <col min="774" max="774" width="11.6640625" customWidth="1"/>
    <col min="775" max="775" width="12.6640625" customWidth="1"/>
    <col min="777" max="777" width="18.6640625" bestFit="1" customWidth="1"/>
    <col min="778" max="778" width="11.6640625" customWidth="1"/>
    <col min="779" max="779" width="15.5" customWidth="1"/>
    <col min="782" max="782" width="13.5" customWidth="1"/>
    <col min="783" max="783" width="10.5" customWidth="1"/>
    <col min="784" max="784" width="11.5" customWidth="1"/>
    <col min="785" max="785" width="11.33203125" customWidth="1"/>
    <col min="1026" max="1026" width="11.6640625" customWidth="1"/>
    <col min="1028" max="1028" width="19.83203125" bestFit="1" customWidth="1"/>
    <col min="1029" max="1029" width="19.83203125" customWidth="1"/>
    <col min="1030" max="1030" width="11.6640625" customWidth="1"/>
    <col min="1031" max="1031" width="12.6640625" customWidth="1"/>
    <col min="1033" max="1033" width="18.6640625" bestFit="1" customWidth="1"/>
    <col min="1034" max="1034" width="11.6640625" customWidth="1"/>
    <col min="1035" max="1035" width="15.5" customWidth="1"/>
    <col min="1038" max="1038" width="13.5" customWidth="1"/>
    <col min="1039" max="1039" width="10.5" customWidth="1"/>
    <col min="1040" max="1040" width="11.5" customWidth="1"/>
    <col min="1041" max="1041" width="11.33203125" customWidth="1"/>
    <col min="1282" max="1282" width="11.6640625" customWidth="1"/>
    <col min="1284" max="1284" width="19.83203125" bestFit="1" customWidth="1"/>
    <col min="1285" max="1285" width="19.83203125" customWidth="1"/>
    <col min="1286" max="1286" width="11.6640625" customWidth="1"/>
    <col min="1287" max="1287" width="12.6640625" customWidth="1"/>
    <col min="1289" max="1289" width="18.6640625" bestFit="1" customWidth="1"/>
    <col min="1290" max="1290" width="11.6640625" customWidth="1"/>
    <col min="1291" max="1291" width="15.5" customWidth="1"/>
    <col min="1294" max="1294" width="13.5" customWidth="1"/>
    <col min="1295" max="1295" width="10.5" customWidth="1"/>
    <col min="1296" max="1296" width="11.5" customWidth="1"/>
    <col min="1297" max="1297" width="11.33203125" customWidth="1"/>
    <col min="1538" max="1538" width="11.6640625" customWidth="1"/>
    <col min="1540" max="1540" width="19.83203125" bestFit="1" customWidth="1"/>
    <col min="1541" max="1541" width="19.83203125" customWidth="1"/>
    <col min="1542" max="1542" width="11.6640625" customWidth="1"/>
    <col min="1543" max="1543" width="12.6640625" customWidth="1"/>
    <col min="1545" max="1545" width="18.6640625" bestFit="1" customWidth="1"/>
    <col min="1546" max="1546" width="11.6640625" customWidth="1"/>
    <col min="1547" max="1547" width="15.5" customWidth="1"/>
    <col min="1550" max="1550" width="13.5" customWidth="1"/>
    <col min="1551" max="1551" width="10.5" customWidth="1"/>
    <col min="1552" max="1552" width="11.5" customWidth="1"/>
    <col min="1553" max="1553" width="11.33203125" customWidth="1"/>
    <col min="1794" max="1794" width="11.6640625" customWidth="1"/>
    <col min="1796" max="1796" width="19.83203125" bestFit="1" customWidth="1"/>
    <col min="1797" max="1797" width="19.83203125" customWidth="1"/>
    <col min="1798" max="1798" width="11.6640625" customWidth="1"/>
    <col min="1799" max="1799" width="12.6640625" customWidth="1"/>
    <col min="1801" max="1801" width="18.6640625" bestFit="1" customWidth="1"/>
    <col min="1802" max="1802" width="11.6640625" customWidth="1"/>
    <col min="1803" max="1803" width="15.5" customWidth="1"/>
    <col min="1806" max="1806" width="13.5" customWidth="1"/>
    <col min="1807" max="1807" width="10.5" customWidth="1"/>
    <col min="1808" max="1808" width="11.5" customWidth="1"/>
    <col min="1809" max="1809" width="11.33203125" customWidth="1"/>
    <col min="2050" max="2050" width="11.6640625" customWidth="1"/>
    <col min="2052" max="2052" width="19.83203125" bestFit="1" customWidth="1"/>
    <col min="2053" max="2053" width="19.83203125" customWidth="1"/>
    <col min="2054" max="2054" width="11.6640625" customWidth="1"/>
    <col min="2055" max="2055" width="12.6640625" customWidth="1"/>
    <col min="2057" max="2057" width="18.6640625" bestFit="1" customWidth="1"/>
    <col min="2058" max="2058" width="11.6640625" customWidth="1"/>
    <col min="2059" max="2059" width="15.5" customWidth="1"/>
    <col min="2062" max="2062" width="13.5" customWidth="1"/>
    <col min="2063" max="2063" width="10.5" customWidth="1"/>
    <col min="2064" max="2064" width="11.5" customWidth="1"/>
    <col min="2065" max="2065" width="11.33203125" customWidth="1"/>
    <col min="2306" max="2306" width="11.6640625" customWidth="1"/>
    <col min="2308" max="2308" width="19.83203125" bestFit="1" customWidth="1"/>
    <col min="2309" max="2309" width="19.83203125" customWidth="1"/>
    <col min="2310" max="2310" width="11.6640625" customWidth="1"/>
    <col min="2311" max="2311" width="12.6640625" customWidth="1"/>
    <col min="2313" max="2313" width="18.6640625" bestFit="1" customWidth="1"/>
    <col min="2314" max="2314" width="11.6640625" customWidth="1"/>
    <col min="2315" max="2315" width="15.5" customWidth="1"/>
    <col min="2318" max="2318" width="13.5" customWidth="1"/>
    <col min="2319" max="2319" width="10.5" customWidth="1"/>
    <col min="2320" max="2320" width="11.5" customWidth="1"/>
    <col min="2321" max="2321" width="11.33203125" customWidth="1"/>
    <col min="2562" max="2562" width="11.6640625" customWidth="1"/>
    <col min="2564" max="2564" width="19.83203125" bestFit="1" customWidth="1"/>
    <col min="2565" max="2565" width="19.83203125" customWidth="1"/>
    <col min="2566" max="2566" width="11.6640625" customWidth="1"/>
    <col min="2567" max="2567" width="12.6640625" customWidth="1"/>
    <col min="2569" max="2569" width="18.6640625" bestFit="1" customWidth="1"/>
    <col min="2570" max="2570" width="11.6640625" customWidth="1"/>
    <col min="2571" max="2571" width="15.5" customWidth="1"/>
    <col min="2574" max="2574" width="13.5" customWidth="1"/>
    <col min="2575" max="2575" width="10.5" customWidth="1"/>
    <col min="2576" max="2576" width="11.5" customWidth="1"/>
    <col min="2577" max="2577" width="11.33203125" customWidth="1"/>
    <col min="2818" max="2818" width="11.6640625" customWidth="1"/>
    <col min="2820" max="2820" width="19.83203125" bestFit="1" customWidth="1"/>
    <col min="2821" max="2821" width="19.83203125" customWidth="1"/>
    <col min="2822" max="2822" width="11.6640625" customWidth="1"/>
    <col min="2823" max="2823" width="12.6640625" customWidth="1"/>
    <col min="2825" max="2825" width="18.6640625" bestFit="1" customWidth="1"/>
    <col min="2826" max="2826" width="11.6640625" customWidth="1"/>
    <col min="2827" max="2827" width="15.5" customWidth="1"/>
    <col min="2830" max="2830" width="13.5" customWidth="1"/>
    <col min="2831" max="2831" width="10.5" customWidth="1"/>
    <col min="2832" max="2832" width="11.5" customWidth="1"/>
    <col min="2833" max="2833" width="11.33203125" customWidth="1"/>
    <col min="3074" max="3074" width="11.6640625" customWidth="1"/>
    <col min="3076" max="3076" width="19.83203125" bestFit="1" customWidth="1"/>
    <col min="3077" max="3077" width="19.83203125" customWidth="1"/>
    <col min="3078" max="3078" width="11.6640625" customWidth="1"/>
    <col min="3079" max="3079" width="12.6640625" customWidth="1"/>
    <col min="3081" max="3081" width="18.6640625" bestFit="1" customWidth="1"/>
    <col min="3082" max="3082" width="11.6640625" customWidth="1"/>
    <col min="3083" max="3083" width="15.5" customWidth="1"/>
    <col min="3086" max="3086" width="13.5" customWidth="1"/>
    <col min="3087" max="3087" width="10.5" customWidth="1"/>
    <col min="3088" max="3088" width="11.5" customWidth="1"/>
    <col min="3089" max="3089" width="11.33203125" customWidth="1"/>
    <col min="3330" max="3330" width="11.6640625" customWidth="1"/>
    <col min="3332" max="3332" width="19.83203125" bestFit="1" customWidth="1"/>
    <col min="3333" max="3333" width="19.83203125" customWidth="1"/>
    <col min="3334" max="3334" width="11.6640625" customWidth="1"/>
    <col min="3335" max="3335" width="12.6640625" customWidth="1"/>
    <col min="3337" max="3337" width="18.6640625" bestFit="1" customWidth="1"/>
    <col min="3338" max="3338" width="11.6640625" customWidth="1"/>
    <col min="3339" max="3339" width="15.5" customWidth="1"/>
    <col min="3342" max="3342" width="13.5" customWidth="1"/>
    <col min="3343" max="3343" width="10.5" customWidth="1"/>
    <col min="3344" max="3344" width="11.5" customWidth="1"/>
    <col min="3345" max="3345" width="11.33203125" customWidth="1"/>
    <col min="3586" max="3586" width="11.6640625" customWidth="1"/>
    <col min="3588" max="3588" width="19.83203125" bestFit="1" customWidth="1"/>
    <col min="3589" max="3589" width="19.83203125" customWidth="1"/>
    <col min="3590" max="3590" width="11.6640625" customWidth="1"/>
    <col min="3591" max="3591" width="12.6640625" customWidth="1"/>
    <col min="3593" max="3593" width="18.6640625" bestFit="1" customWidth="1"/>
    <col min="3594" max="3594" width="11.6640625" customWidth="1"/>
    <col min="3595" max="3595" width="15.5" customWidth="1"/>
    <col min="3598" max="3598" width="13.5" customWidth="1"/>
    <col min="3599" max="3599" width="10.5" customWidth="1"/>
    <col min="3600" max="3600" width="11.5" customWidth="1"/>
    <col min="3601" max="3601" width="11.33203125" customWidth="1"/>
    <col min="3842" max="3842" width="11.6640625" customWidth="1"/>
    <col min="3844" max="3844" width="19.83203125" bestFit="1" customWidth="1"/>
    <col min="3845" max="3845" width="19.83203125" customWidth="1"/>
    <col min="3846" max="3846" width="11.6640625" customWidth="1"/>
    <col min="3847" max="3847" width="12.6640625" customWidth="1"/>
    <col min="3849" max="3849" width="18.6640625" bestFit="1" customWidth="1"/>
    <col min="3850" max="3850" width="11.6640625" customWidth="1"/>
    <col min="3851" max="3851" width="15.5" customWidth="1"/>
    <col min="3854" max="3854" width="13.5" customWidth="1"/>
    <col min="3855" max="3855" width="10.5" customWidth="1"/>
    <col min="3856" max="3856" width="11.5" customWidth="1"/>
    <col min="3857" max="3857" width="11.33203125" customWidth="1"/>
    <col min="4098" max="4098" width="11.6640625" customWidth="1"/>
    <col min="4100" max="4100" width="19.83203125" bestFit="1" customWidth="1"/>
    <col min="4101" max="4101" width="19.83203125" customWidth="1"/>
    <col min="4102" max="4102" width="11.6640625" customWidth="1"/>
    <col min="4103" max="4103" width="12.6640625" customWidth="1"/>
    <col min="4105" max="4105" width="18.6640625" bestFit="1" customWidth="1"/>
    <col min="4106" max="4106" width="11.6640625" customWidth="1"/>
    <col min="4107" max="4107" width="15.5" customWidth="1"/>
    <col min="4110" max="4110" width="13.5" customWidth="1"/>
    <col min="4111" max="4111" width="10.5" customWidth="1"/>
    <col min="4112" max="4112" width="11.5" customWidth="1"/>
    <col min="4113" max="4113" width="11.33203125" customWidth="1"/>
    <col min="4354" max="4354" width="11.6640625" customWidth="1"/>
    <col min="4356" max="4356" width="19.83203125" bestFit="1" customWidth="1"/>
    <col min="4357" max="4357" width="19.83203125" customWidth="1"/>
    <col min="4358" max="4358" width="11.6640625" customWidth="1"/>
    <col min="4359" max="4359" width="12.6640625" customWidth="1"/>
    <col min="4361" max="4361" width="18.6640625" bestFit="1" customWidth="1"/>
    <col min="4362" max="4362" width="11.6640625" customWidth="1"/>
    <col min="4363" max="4363" width="15.5" customWidth="1"/>
    <col min="4366" max="4366" width="13.5" customWidth="1"/>
    <col min="4367" max="4367" width="10.5" customWidth="1"/>
    <col min="4368" max="4368" width="11.5" customWidth="1"/>
    <col min="4369" max="4369" width="11.33203125" customWidth="1"/>
    <col min="4610" max="4610" width="11.6640625" customWidth="1"/>
    <col min="4612" max="4612" width="19.83203125" bestFit="1" customWidth="1"/>
    <col min="4613" max="4613" width="19.83203125" customWidth="1"/>
    <col min="4614" max="4614" width="11.6640625" customWidth="1"/>
    <col min="4615" max="4615" width="12.6640625" customWidth="1"/>
    <col min="4617" max="4617" width="18.6640625" bestFit="1" customWidth="1"/>
    <col min="4618" max="4618" width="11.6640625" customWidth="1"/>
    <col min="4619" max="4619" width="15.5" customWidth="1"/>
    <col min="4622" max="4622" width="13.5" customWidth="1"/>
    <col min="4623" max="4623" width="10.5" customWidth="1"/>
    <col min="4624" max="4624" width="11.5" customWidth="1"/>
    <col min="4625" max="4625" width="11.33203125" customWidth="1"/>
    <col min="4866" max="4866" width="11.6640625" customWidth="1"/>
    <col min="4868" max="4868" width="19.83203125" bestFit="1" customWidth="1"/>
    <col min="4869" max="4869" width="19.83203125" customWidth="1"/>
    <col min="4870" max="4870" width="11.6640625" customWidth="1"/>
    <col min="4871" max="4871" width="12.6640625" customWidth="1"/>
    <col min="4873" max="4873" width="18.6640625" bestFit="1" customWidth="1"/>
    <col min="4874" max="4874" width="11.6640625" customWidth="1"/>
    <col min="4875" max="4875" width="15.5" customWidth="1"/>
    <col min="4878" max="4878" width="13.5" customWidth="1"/>
    <col min="4879" max="4879" width="10.5" customWidth="1"/>
    <col min="4880" max="4880" width="11.5" customWidth="1"/>
    <col min="4881" max="4881" width="11.33203125" customWidth="1"/>
    <col min="5122" max="5122" width="11.6640625" customWidth="1"/>
    <col min="5124" max="5124" width="19.83203125" bestFit="1" customWidth="1"/>
    <col min="5125" max="5125" width="19.83203125" customWidth="1"/>
    <col min="5126" max="5126" width="11.6640625" customWidth="1"/>
    <col min="5127" max="5127" width="12.6640625" customWidth="1"/>
    <col min="5129" max="5129" width="18.6640625" bestFit="1" customWidth="1"/>
    <col min="5130" max="5130" width="11.6640625" customWidth="1"/>
    <col min="5131" max="5131" width="15.5" customWidth="1"/>
    <col min="5134" max="5134" width="13.5" customWidth="1"/>
    <col min="5135" max="5135" width="10.5" customWidth="1"/>
    <col min="5136" max="5136" width="11.5" customWidth="1"/>
    <col min="5137" max="5137" width="11.33203125" customWidth="1"/>
    <col min="5378" max="5378" width="11.6640625" customWidth="1"/>
    <col min="5380" max="5380" width="19.83203125" bestFit="1" customWidth="1"/>
    <col min="5381" max="5381" width="19.83203125" customWidth="1"/>
    <col min="5382" max="5382" width="11.6640625" customWidth="1"/>
    <col min="5383" max="5383" width="12.6640625" customWidth="1"/>
    <col min="5385" max="5385" width="18.6640625" bestFit="1" customWidth="1"/>
    <col min="5386" max="5386" width="11.6640625" customWidth="1"/>
    <col min="5387" max="5387" width="15.5" customWidth="1"/>
    <col min="5390" max="5390" width="13.5" customWidth="1"/>
    <col min="5391" max="5391" width="10.5" customWidth="1"/>
    <col min="5392" max="5392" width="11.5" customWidth="1"/>
    <col min="5393" max="5393" width="11.33203125" customWidth="1"/>
    <col min="5634" max="5634" width="11.6640625" customWidth="1"/>
    <col min="5636" max="5636" width="19.83203125" bestFit="1" customWidth="1"/>
    <col min="5637" max="5637" width="19.83203125" customWidth="1"/>
    <col min="5638" max="5638" width="11.6640625" customWidth="1"/>
    <col min="5639" max="5639" width="12.6640625" customWidth="1"/>
    <col min="5641" max="5641" width="18.6640625" bestFit="1" customWidth="1"/>
    <col min="5642" max="5642" width="11.6640625" customWidth="1"/>
    <col min="5643" max="5643" width="15.5" customWidth="1"/>
    <col min="5646" max="5646" width="13.5" customWidth="1"/>
    <col min="5647" max="5647" width="10.5" customWidth="1"/>
    <col min="5648" max="5648" width="11.5" customWidth="1"/>
    <col min="5649" max="5649" width="11.33203125" customWidth="1"/>
    <col min="5890" max="5890" width="11.6640625" customWidth="1"/>
    <col min="5892" max="5892" width="19.83203125" bestFit="1" customWidth="1"/>
    <col min="5893" max="5893" width="19.83203125" customWidth="1"/>
    <col min="5894" max="5894" width="11.6640625" customWidth="1"/>
    <col min="5895" max="5895" width="12.6640625" customWidth="1"/>
    <col min="5897" max="5897" width="18.6640625" bestFit="1" customWidth="1"/>
    <col min="5898" max="5898" width="11.6640625" customWidth="1"/>
    <col min="5899" max="5899" width="15.5" customWidth="1"/>
    <col min="5902" max="5902" width="13.5" customWidth="1"/>
    <col min="5903" max="5903" width="10.5" customWidth="1"/>
    <col min="5904" max="5904" width="11.5" customWidth="1"/>
    <col min="5905" max="5905" width="11.33203125" customWidth="1"/>
    <col min="6146" max="6146" width="11.6640625" customWidth="1"/>
    <col min="6148" max="6148" width="19.83203125" bestFit="1" customWidth="1"/>
    <col min="6149" max="6149" width="19.83203125" customWidth="1"/>
    <col min="6150" max="6150" width="11.6640625" customWidth="1"/>
    <col min="6151" max="6151" width="12.6640625" customWidth="1"/>
    <col min="6153" max="6153" width="18.6640625" bestFit="1" customWidth="1"/>
    <col min="6154" max="6154" width="11.6640625" customWidth="1"/>
    <col min="6155" max="6155" width="15.5" customWidth="1"/>
    <col min="6158" max="6158" width="13.5" customWidth="1"/>
    <col min="6159" max="6159" width="10.5" customWidth="1"/>
    <col min="6160" max="6160" width="11.5" customWidth="1"/>
    <col min="6161" max="6161" width="11.33203125" customWidth="1"/>
    <col min="6402" max="6402" width="11.6640625" customWidth="1"/>
    <col min="6404" max="6404" width="19.83203125" bestFit="1" customWidth="1"/>
    <col min="6405" max="6405" width="19.83203125" customWidth="1"/>
    <col min="6406" max="6406" width="11.6640625" customWidth="1"/>
    <col min="6407" max="6407" width="12.6640625" customWidth="1"/>
    <col min="6409" max="6409" width="18.6640625" bestFit="1" customWidth="1"/>
    <col min="6410" max="6410" width="11.6640625" customWidth="1"/>
    <col min="6411" max="6411" width="15.5" customWidth="1"/>
    <col min="6414" max="6414" width="13.5" customWidth="1"/>
    <col min="6415" max="6415" width="10.5" customWidth="1"/>
    <col min="6416" max="6416" width="11.5" customWidth="1"/>
    <col min="6417" max="6417" width="11.33203125" customWidth="1"/>
    <col min="6658" max="6658" width="11.6640625" customWidth="1"/>
    <col min="6660" max="6660" width="19.83203125" bestFit="1" customWidth="1"/>
    <col min="6661" max="6661" width="19.83203125" customWidth="1"/>
    <col min="6662" max="6662" width="11.6640625" customWidth="1"/>
    <col min="6663" max="6663" width="12.6640625" customWidth="1"/>
    <col min="6665" max="6665" width="18.6640625" bestFit="1" customWidth="1"/>
    <col min="6666" max="6666" width="11.6640625" customWidth="1"/>
    <col min="6667" max="6667" width="15.5" customWidth="1"/>
    <col min="6670" max="6670" width="13.5" customWidth="1"/>
    <col min="6671" max="6671" width="10.5" customWidth="1"/>
    <col min="6672" max="6672" width="11.5" customWidth="1"/>
    <col min="6673" max="6673" width="11.33203125" customWidth="1"/>
    <col min="6914" max="6914" width="11.6640625" customWidth="1"/>
    <col min="6916" max="6916" width="19.83203125" bestFit="1" customWidth="1"/>
    <col min="6917" max="6917" width="19.83203125" customWidth="1"/>
    <col min="6918" max="6918" width="11.6640625" customWidth="1"/>
    <col min="6919" max="6919" width="12.6640625" customWidth="1"/>
    <col min="6921" max="6921" width="18.6640625" bestFit="1" customWidth="1"/>
    <col min="6922" max="6922" width="11.6640625" customWidth="1"/>
    <col min="6923" max="6923" width="15.5" customWidth="1"/>
    <col min="6926" max="6926" width="13.5" customWidth="1"/>
    <col min="6927" max="6927" width="10.5" customWidth="1"/>
    <col min="6928" max="6928" width="11.5" customWidth="1"/>
    <col min="6929" max="6929" width="11.33203125" customWidth="1"/>
    <col min="7170" max="7170" width="11.6640625" customWidth="1"/>
    <col min="7172" max="7172" width="19.83203125" bestFit="1" customWidth="1"/>
    <col min="7173" max="7173" width="19.83203125" customWidth="1"/>
    <col min="7174" max="7174" width="11.6640625" customWidth="1"/>
    <col min="7175" max="7175" width="12.6640625" customWidth="1"/>
    <col min="7177" max="7177" width="18.6640625" bestFit="1" customWidth="1"/>
    <col min="7178" max="7178" width="11.6640625" customWidth="1"/>
    <col min="7179" max="7179" width="15.5" customWidth="1"/>
    <col min="7182" max="7182" width="13.5" customWidth="1"/>
    <col min="7183" max="7183" width="10.5" customWidth="1"/>
    <col min="7184" max="7184" width="11.5" customWidth="1"/>
    <col min="7185" max="7185" width="11.33203125" customWidth="1"/>
    <col min="7426" max="7426" width="11.6640625" customWidth="1"/>
    <col min="7428" max="7428" width="19.83203125" bestFit="1" customWidth="1"/>
    <col min="7429" max="7429" width="19.83203125" customWidth="1"/>
    <col min="7430" max="7430" width="11.6640625" customWidth="1"/>
    <col min="7431" max="7431" width="12.6640625" customWidth="1"/>
    <col min="7433" max="7433" width="18.6640625" bestFit="1" customWidth="1"/>
    <col min="7434" max="7434" width="11.6640625" customWidth="1"/>
    <col min="7435" max="7435" width="15.5" customWidth="1"/>
    <col min="7438" max="7438" width="13.5" customWidth="1"/>
    <col min="7439" max="7439" width="10.5" customWidth="1"/>
    <col min="7440" max="7440" width="11.5" customWidth="1"/>
    <col min="7441" max="7441" width="11.33203125" customWidth="1"/>
    <col min="7682" max="7682" width="11.6640625" customWidth="1"/>
    <col min="7684" max="7684" width="19.83203125" bestFit="1" customWidth="1"/>
    <col min="7685" max="7685" width="19.83203125" customWidth="1"/>
    <col min="7686" max="7686" width="11.6640625" customWidth="1"/>
    <col min="7687" max="7687" width="12.6640625" customWidth="1"/>
    <col min="7689" max="7689" width="18.6640625" bestFit="1" customWidth="1"/>
    <col min="7690" max="7690" width="11.6640625" customWidth="1"/>
    <col min="7691" max="7691" width="15.5" customWidth="1"/>
    <col min="7694" max="7694" width="13.5" customWidth="1"/>
    <col min="7695" max="7695" width="10.5" customWidth="1"/>
    <col min="7696" max="7696" width="11.5" customWidth="1"/>
    <col min="7697" max="7697" width="11.33203125" customWidth="1"/>
    <col min="7938" max="7938" width="11.6640625" customWidth="1"/>
    <col min="7940" max="7940" width="19.83203125" bestFit="1" customWidth="1"/>
    <col min="7941" max="7941" width="19.83203125" customWidth="1"/>
    <col min="7942" max="7942" width="11.6640625" customWidth="1"/>
    <col min="7943" max="7943" width="12.6640625" customWidth="1"/>
    <col min="7945" max="7945" width="18.6640625" bestFit="1" customWidth="1"/>
    <col min="7946" max="7946" width="11.6640625" customWidth="1"/>
    <col min="7947" max="7947" width="15.5" customWidth="1"/>
    <col min="7950" max="7950" width="13.5" customWidth="1"/>
    <col min="7951" max="7951" width="10.5" customWidth="1"/>
    <col min="7952" max="7952" width="11.5" customWidth="1"/>
    <col min="7953" max="7953" width="11.33203125" customWidth="1"/>
    <col min="8194" max="8194" width="11.6640625" customWidth="1"/>
    <col min="8196" max="8196" width="19.83203125" bestFit="1" customWidth="1"/>
    <col min="8197" max="8197" width="19.83203125" customWidth="1"/>
    <col min="8198" max="8198" width="11.6640625" customWidth="1"/>
    <col min="8199" max="8199" width="12.6640625" customWidth="1"/>
    <col min="8201" max="8201" width="18.6640625" bestFit="1" customWidth="1"/>
    <col min="8202" max="8202" width="11.6640625" customWidth="1"/>
    <col min="8203" max="8203" width="15.5" customWidth="1"/>
    <col min="8206" max="8206" width="13.5" customWidth="1"/>
    <col min="8207" max="8207" width="10.5" customWidth="1"/>
    <col min="8208" max="8208" width="11.5" customWidth="1"/>
    <col min="8209" max="8209" width="11.33203125" customWidth="1"/>
    <col min="8450" max="8450" width="11.6640625" customWidth="1"/>
    <col min="8452" max="8452" width="19.83203125" bestFit="1" customWidth="1"/>
    <col min="8453" max="8453" width="19.83203125" customWidth="1"/>
    <col min="8454" max="8454" width="11.6640625" customWidth="1"/>
    <col min="8455" max="8455" width="12.6640625" customWidth="1"/>
    <col min="8457" max="8457" width="18.6640625" bestFit="1" customWidth="1"/>
    <col min="8458" max="8458" width="11.6640625" customWidth="1"/>
    <col min="8459" max="8459" width="15.5" customWidth="1"/>
    <col min="8462" max="8462" width="13.5" customWidth="1"/>
    <col min="8463" max="8463" width="10.5" customWidth="1"/>
    <col min="8464" max="8464" width="11.5" customWidth="1"/>
    <col min="8465" max="8465" width="11.33203125" customWidth="1"/>
    <col min="8706" max="8706" width="11.6640625" customWidth="1"/>
    <col min="8708" max="8708" width="19.83203125" bestFit="1" customWidth="1"/>
    <col min="8709" max="8709" width="19.83203125" customWidth="1"/>
    <col min="8710" max="8710" width="11.6640625" customWidth="1"/>
    <col min="8711" max="8711" width="12.6640625" customWidth="1"/>
    <col min="8713" max="8713" width="18.6640625" bestFit="1" customWidth="1"/>
    <col min="8714" max="8714" width="11.6640625" customWidth="1"/>
    <col min="8715" max="8715" width="15.5" customWidth="1"/>
    <col min="8718" max="8718" width="13.5" customWidth="1"/>
    <col min="8719" max="8719" width="10.5" customWidth="1"/>
    <col min="8720" max="8720" width="11.5" customWidth="1"/>
    <col min="8721" max="8721" width="11.33203125" customWidth="1"/>
    <col min="8962" max="8962" width="11.6640625" customWidth="1"/>
    <col min="8964" max="8964" width="19.83203125" bestFit="1" customWidth="1"/>
    <col min="8965" max="8965" width="19.83203125" customWidth="1"/>
    <col min="8966" max="8966" width="11.6640625" customWidth="1"/>
    <col min="8967" max="8967" width="12.6640625" customWidth="1"/>
    <col min="8969" max="8969" width="18.6640625" bestFit="1" customWidth="1"/>
    <col min="8970" max="8970" width="11.6640625" customWidth="1"/>
    <col min="8971" max="8971" width="15.5" customWidth="1"/>
    <col min="8974" max="8974" width="13.5" customWidth="1"/>
    <col min="8975" max="8975" width="10.5" customWidth="1"/>
    <col min="8976" max="8976" width="11.5" customWidth="1"/>
    <col min="8977" max="8977" width="11.33203125" customWidth="1"/>
    <col min="9218" max="9218" width="11.6640625" customWidth="1"/>
    <col min="9220" max="9220" width="19.83203125" bestFit="1" customWidth="1"/>
    <col min="9221" max="9221" width="19.83203125" customWidth="1"/>
    <col min="9222" max="9222" width="11.6640625" customWidth="1"/>
    <col min="9223" max="9223" width="12.6640625" customWidth="1"/>
    <col min="9225" max="9225" width="18.6640625" bestFit="1" customWidth="1"/>
    <col min="9226" max="9226" width="11.6640625" customWidth="1"/>
    <col min="9227" max="9227" width="15.5" customWidth="1"/>
    <col min="9230" max="9230" width="13.5" customWidth="1"/>
    <col min="9231" max="9231" width="10.5" customWidth="1"/>
    <col min="9232" max="9232" width="11.5" customWidth="1"/>
    <col min="9233" max="9233" width="11.33203125" customWidth="1"/>
    <col min="9474" max="9474" width="11.6640625" customWidth="1"/>
    <col min="9476" max="9476" width="19.83203125" bestFit="1" customWidth="1"/>
    <col min="9477" max="9477" width="19.83203125" customWidth="1"/>
    <col min="9478" max="9478" width="11.6640625" customWidth="1"/>
    <col min="9479" max="9479" width="12.6640625" customWidth="1"/>
    <col min="9481" max="9481" width="18.6640625" bestFit="1" customWidth="1"/>
    <col min="9482" max="9482" width="11.6640625" customWidth="1"/>
    <col min="9483" max="9483" width="15.5" customWidth="1"/>
    <col min="9486" max="9486" width="13.5" customWidth="1"/>
    <col min="9487" max="9487" width="10.5" customWidth="1"/>
    <col min="9488" max="9488" width="11.5" customWidth="1"/>
    <col min="9489" max="9489" width="11.33203125" customWidth="1"/>
    <col min="9730" max="9730" width="11.6640625" customWidth="1"/>
    <col min="9732" max="9732" width="19.83203125" bestFit="1" customWidth="1"/>
    <col min="9733" max="9733" width="19.83203125" customWidth="1"/>
    <col min="9734" max="9734" width="11.6640625" customWidth="1"/>
    <col min="9735" max="9735" width="12.6640625" customWidth="1"/>
    <col min="9737" max="9737" width="18.6640625" bestFit="1" customWidth="1"/>
    <col min="9738" max="9738" width="11.6640625" customWidth="1"/>
    <col min="9739" max="9739" width="15.5" customWidth="1"/>
    <col min="9742" max="9742" width="13.5" customWidth="1"/>
    <col min="9743" max="9743" width="10.5" customWidth="1"/>
    <col min="9744" max="9744" width="11.5" customWidth="1"/>
    <col min="9745" max="9745" width="11.33203125" customWidth="1"/>
    <col min="9986" max="9986" width="11.6640625" customWidth="1"/>
    <col min="9988" max="9988" width="19.83203125" bestFit="1" customWidth="1"/>
    <col min="9989" max="9989" width="19.83203125" customWidth="1"/>
    <col min="9990" max="9990" width="11.6640625" customWidth="1"/>
    <col min="9991" max="9991" width="12.6640625" customWidth="1"/>
    <col min="9993" max="9993" width="18.6640625" bestFit="1" customWidth="1"/>
    <col min="9994" max="9994" width="11.6640625" customWidth="1"/>
    <col min="9995" max="9995" width="15.5" customWidth="1"/>
    <col min="9998" max="9998" width="13.5" customWidth="1"/>
    <col min="9999" max="9999" width="10.5" customWidth="1"/>
    <col min="10000" max="10000" width="11.5" customWidth="1"/>
    <col min="10001" max="10001" width="11.33203125" customWidth="1"/>
    <col min="10242" max="10242" width="11.6640625" customWidth="1"/>
    <col min="10244" max="10244" width="19.83203125" bestFit="1" customWidth="1"/>
    <col min="10245" max="10245" width="19.83203125" customWidth="1"/>
    <col min="10246" max="10246" width="11.6640625" customWidth="1"/>
    <col min="10247" max="10247" width="12.6640625" customWidth="1"/>
    <col min="10249" max="10249" width="18.6640625" bestFit="1" customWidth="1"/>
    <col min="10250" max="10250" width="11.6640625" customWidth="1"/>
    <col min="10251" max="10251" width="15.5" customWidth="1"/>
    <col min="10254" max="10254" width="13.5" customWidth="1"/>
    <col min="10255" max="10255" width="10.5" customWidth="1"/>
    <col min="10256" max="10256" width="11.5" customWidth="1"/>
    <col min="10257" max="10257" width="11.33203125" customWidth="1"/>
    <col min="10498" max="10498" width="11.6640625" customWidth="1"/>
    <col min="10500" max="10500" width="19.83203125" bestFit="1" customWidth="1"/>
    <col min="10501" max="10501" width="19.83203125" customWidth="1"/>
    <col min="10502" max="10502" width="11.6640625" customWidth="1"/>
    <col min="10503" max="10503" width="12.6640625" customWidth="1"/>
    <col min="10505" max="10505" width="18.6640625" bestFit="1" customWidth="1"/>
    <col min="10506" max="10506" width="11.6640625" customWidth="1"/>
    <col min="10507" max="10507" width="15.5" customWidth="1"/>
    <col min="10510" max="10510" width="13.5" customWidth="1"/>
    <col min="10511" max="10511" width="10.5" customWidth="1"/>
    <col min="10512" max="10512" width="11.5" customWidth="1"/>
    <col min="10513" max="10513" width="11.33203125" customWidth="1"/>
    <col min="10754" max="10754" width="11.6640625" customWidth="1"/>
    <col min="10756" max="10756" width="19.83203125" bestFit="1" customWidth="1"/>
    <col min="10757" max="10757" width="19.83203125" customWidth="1"/>
    <col min="10758" max="10758" width="11.6640625" customWidth="1"/>
    <col min="10759" max="10759" width="12.6640625" customWidth="1"/>
    <col min="10761" max="10761" width="18.6640625" bestFit="1" customWidth="1"/>
    <col min="10762" max="10762" width="11.6640625" customWidth="1"/>
    <col min="10763" max="10763" width="15.5" customWidth="1"/>
    <col min="10766" max="10766" width="13.5" customWidth="1"/>
    <col min="10767" max="10767" width="10.5" customWidth="1"/>
    <col min="10768" max="10768" width="11.5" customWidth="1"/>
    <col min="10769" max="10769" width="11.33203125" customWidth="1"/>
    <col min="11010" max="11010" width="11.6640625" customWidth="1"/>
    <col min="11012" max="11012" width="19.83203125" bestFit="1" customWidth="1"/>
    <col min="11013" max="11013" width="19.83203125" customWidth="1"/>
    <col min="11014" max="11014" width="11.6640625" customWidth="1"/>
    <col min="11015" max="11015" width="12.6640625" customWidth="1"/>
    <col min="11017" max="11017" width="18.6640625" bestFit="1" customWidth="1"/>
    <col min="11018" max="11018" width="11.6640625" customWidth="1"/>
    <col min="11019" max="11019" width="15.5" customWidth="1"/>
    <col min="11022" max="11022" width="13.5" customWidth="1"/>
    <col min="11023" max="11023" width="10.5" customWidth="1"/>
    <col min="11024" max="11024" width="11.5" customWidth="1"/>
    <col min="11025" max="11025" width="11.33203125" customWidth="1"/>
    <col min="11266" max="11266" width="11.6640625" customWidth="1"/>
    <col min="11268" max="11268" width="19.83203125" bestFit="1" customWidth="1"/>
    <col min="11269" max="11269" width="19.83203125" customWidth="1"/>
    <col min="11270" max="11270" width="11.6640625" customWidth="1"/>
    <col min="11271" max="11271" width="12.6640625" customWidth="1"/>
    <col min="11273" max="11273" width="18.6640625" bestFit="1" customWidth="1"/>
    <col min="11274" max="11274" width="11.6640625" customWidth="1"/>
    <col min="11275" max="11275" width="15.5" customWidth="1"/>
    <col min="11278" max="11278" width="13.5" customWidth="1"/>
    <col min="11279" max="11279" width="10.5" customWidth="1"/>
    <col min="11280" max="11280" width="11.5" customWidth="1"/>
    <col min="11281" max="11281" width="11.33203125" customWidth="1"/>
    <col min="11522" max="11522" width="11.6640625" customWidth="1"/>
    <col min="11524" max="11524" width="19.83203125" bestFit="1" customWidth="1"/>
    <col min="11525" max="11525" width="19.83203125" customWidth="1"/>
    <col min="11526" max="11526" width="11.6640625" customWidth="1"/>
    <col min="11527" max="11527" width="12.6640625" customWidth="1"/>
    <col min="11529" max="11529" width="18.6640625" bestFit="1" customWidth="1"/>
    <col min="11530" max="11530" width="11.6640625" customWidth="1"/>
    <col min="11531" max="11531" width="15.5" customWidth="1"/>
    <col min="11534" max="11534" width="13.5" customWidth="1"/>
    <col min="11535" max="11535" width="10.5" customWidth="1"/>
    <col min="11536" max="11536" width="11.5" customWidth="1"/>
    <col min="11537" max="11537" width="11.33203125" customWidth="1"/>
    <col min="11778" max="11778" width="11.6640625" customWidth="1"/>
    <col min="11780" max="11780" width="19.83203125" bestFit="1" customWidth="1"/>
    <col min="11781" max="11781" width="19.83203125" customWidth="1"/>
    <col min="11782" max="11782" width="11.6640625" customWidth="1"/>
    <col min="11783" max="11783" width="12.6640625" customWidth="1"/>
    <col min="11785" max="11785" width="18.6640625" bestFit="1" customWidth="1"/>
    <col min="11786" max="11786" width="11.6640625" customWidth="1"/>
    <col min="11787" max="11787" width="15.5" customWidth="1"/>
    <col min="11790" max="11790" width="13.5" customWidth="1"/>
    <col min="11791" max="11791" width="10.5" customWidth="1"/>
    <col min="11792" max="11792" width="11.5" customWidth="1"/>
    <col min="11793" max="11793" width="11.33203125" customWidth="1"/>
    <col min="12034" max="12034" width="11.6640625" customWidth="1"/>
    <col min="12036" max="12036" width="19.83203125" bestFit="1" customWidth="1"/>
    <col min="12037" max="12037" width="19.83203125" customWidth="1"/>
    <col min="12038" max="12038" width="11.6640625" customWidth="1"/>
    <col min="12039" max="12039" width="12.6640625" customWidth="1"/>
    <col min="12041" max="12041" width="18.6640625" bestFit="1" customWidth="1"/>
    <col min="12042" max="12042" width="11.6640625" customWidth="1"/>
    <col min="12043" max="12043" width="15.5" customWidth="1"/>
    <col min="12046" max="12046" width="13.5" customWidth="1"/>
    <col min="12047" max="12047" width="10.5" customWidth="1"/>
    <col min="12048" max="12048" width="11.5" customWidth="1"/>
    <col min="12049" max="12049" width="11.33203125" customWidth="1"/>
    <col min="12290" max="12290" width="11.6640625" customWidth="1"/>
    <col min="12292" max="12292" width="19.83203125" bestFit="1" customWidth="1"/>
    <col min="12293" max="12293" width="19.83203125" customWidth="1"/>
    <col min="12294" max="12294" width="11.6640625" customWidth="1"/>
    <col min="12295" max="12295" width="12.6640625" customWidth="1"/>
    <col min="12297" max="12297" width="18.6640625" bestFit="1" customWidth="1"/>
    <col min="12298" max="12298" width="11.6640625" customWidth="1"/>
    <col min="12299" max="12299" width="15.5" customWidth="1"/>
    <col min="12302" max="12302" width="13.5" customWidth="1"/>
    <col min="12303" max="12303" width="10.5" customWidth="1"/>
    <col min="12304" max="12304" width="11.5" customWidth="1"/>
    <col min="12305" max="12305" width="11.33203125" customWidth="1"/>
    <col min="12546" max="12546" width="11.6640625" customWidth="1"/>
    <col min="12548" max="12548" width="19.83203125" bestFit="1" customWidth="1"/>
    <col min="12549" max="12549" width="19.83203125" customWidth="1"/>
    <col min="12550" max="12550" width="11.6640625" customWidth="1"/>
    <col min="12551" max="12551" width="12.6640625" customWidth="1"/>
    <col min="12553" max="12553" width="18.6640625" bestFit="1" customWidth="1"/>
    <col min="12554" max="12554" width="11.6640625" customWidth="1"/>
    <col min="12555" max="12555" width="15.5" customWidth="1"/>
    <col min="12558" max="12558" width="13.5" customWidth="1"/>
    <col min="12559" max="12559" width="10.5" customWidth="1"/>
    <col min="12560" max="12560" width="11.5" customWidth="1"/>
    <col min="12561" max="12561" width="11.33203125" customWidth="1"/>
    <col min="12802" max="12802" width="11.6640625" customWidth="1"/>
    <col min="12804" max="12804" width="19.83203125" bestFit="1" customWidth="1"/>
    <col min="12805" max="12805" width="19.83203125" customWidth="1"/>
    <col min="12806" max="12806" width="11.6640625" customWidth="1"/>
    <col min="12807" max="12807" width="12.6640625" customWidth="1"/>
    <col min="12809" max="12809" width="18.6640625" bestFit="1" customWidth="1"/>
    <col min="12810" max="12810" width="11.6640625" customWidth="1"/>
    <col min="12811" max="12811" width="15.5" customWidth="1"/>
    <col min="12814" max="12814" width="13.5" customWidth="1"/>
    <col min="12815" max="12815" width="10.5" customWidth="1"/>
    <col min="12816" max="12816" width="11.5" customWidth="1"/>
    <col min="12817" max="12817" width="11.33203125" customWidth="1"/>
    <col min="13058" max="13058" width="11.6640625" customWidth="1"/>
    <col min="13060" max="13060" width="19.83203125" bestFit="1" customWidth="1"/>
    <col min="13061" max="13061" width="19.83203125" customWidth="1"/>
    <col min="13062" max="13062" width="11.6640625" customWidth="1"/>
    <col min="13063" max="13063" width="12.6640625" customWidth="1"/>
    <col min="13065" max="13065" width="18.6640625" bestFit="1" customWidth="1"/>
    <col min="13066" max="13066" width="11.6640625" customWidth="1"/>
    <col min="13067" max="13067" width="15.5" customWidth="1"/>
    <col min="13070" max="13070" width="13.5" customWidth="1"/>
    <col min="13071" max="13071" width="10.5" customWidth="1"/>
    <col min="13072" max="13072" width="11.5" customWidth="1"/>
    <col min="13073" max="13073" width="11.33203125" customWidth="1"/>
    <col min="13314" max="13314" width="11.6640625" customWidth="1"/>
    <col min="13316" max="13316" width="19.83203125" bestFit="1" customWidth="1"/>
    <col min="13317" max="13317" width="19.83203125" customWidth="1"/>
    <col min="13318" max="13318" width="11.6640625" customWidth="1"/>
    <col min="13319" max="13319" width="12.6640625" customWidth="1"/>
    <col min="13321" max="13321" width="18.6640625" bestFit="1" customWidth="1"/>
    <col min="13322" max="13322" width="11.6640625" customWidth="1"/>
    <col min="13323" max="13323" width="15.5" customWidth="1"/>
    <col min="13326" max="13326" width="13.5" customWidth="1"/>
    <col min="13327" max="13327" width="10.5" customWidth="1"/>
    <col min="13328" max="13328" width="11.5" customWidth="1"/>
    <col min="13329" max="13329" width="11.33203125" customWidth="1"/>
    <col min="13570" max="13570" width="11.6640625" customWidth="1"/>
    <col min="13572" max="13572" width="19.83203125" bestFit="1" customWidth="1"/>
    <col min="13573" max="13573" width="19.83203125" customWidth="1"/>
    <col min="13574" max="13574" width="11.6640625" customWidth="1"/>
    <col min="13575" max="13575" width="12.6640625" customWidth="1"/>
    <col min="13577" max="13577" width="18.6640625" bestFit="1" customWidth="1"/>
    <col min="13578" max="13578" width="11.6640625" customWidth="1"/>
    <col min="13579" max="13579" width="15.5" customWidth="1"/>
    <col min="13582" max="13582" width="13.5" customWidth="1"/>
    <col min="13583" max="13583" width="10.5" customWidth="1"/>
    <col min="13584" max="13584" width="11.5" customWidth="1"/>
    <col min="13585" max="13585" width="11.33203125" customWidth="1"/>
    <col min="13826" max="13826" width="11.6640625" customWidth="1"/>
    <col min="13828" max="13828" width="19.83203125" bestFit="1" customWidth="1"/>
    <col min="13829" max="13829" width="19.83203125" customWidth="1"/>
    <col min="13830" max="13830" width="11.6640625" customWidth="1"/>
    <col min="13831" max="13831" width="12.6640625" customWidth="1"/>
    <col min="13833" max="13833" width="18.6640625" bestFit="1" customWidth="1"/>
    <col min="13834" max="13834" width="11.6640625" customWidth="1"/>
    <col min="13835" max="13835" width="15.5" customWidth="1"/>
    <col min="13838" max="13838" width="13.5" customWidth="1"/>
    <col min="13839" max="13839" width="10.5" customWidth="1"/>
    <col min="13840" max="13840" width="11.5" customWidth="1"/>
    <col min="13841" max="13841" width="11.33203125" customWidth="1"/>
    <col min="14082" max="14082" width="11.6640625" customWidth="1"/>
    <col min="14084" max="14084" width="19.83203125" bestFit="1" customWidth="1"/>
    <col min="14085" max="14085" width="19.83203125" customWidth="1"/>
    <col min="14086" max="14086" width="11.6640625" customWidth="1"/>
    <col min="14087" max="14087" width="12.6640625" customWidth="1"/>
    <col min="14089" max="14089" width="18.6640625" bestFit="1" customWidth="1"/>
    <col min="14090" max="14090" width="11.6640625" customWidth="1"/>
    <col min="14091" max="14091" width="15.5" customWidth="1"/>
    <col min="14094" max="14094" width="13.5" customWidth="1"/>
    <col min="14095" max="14095" width="10.5" customWidth="1"/>
    <col min="14096" max="14096" width="11.5" customWidth="1"/>
    <col min="14097" max="14097" width="11.33203125" customWidth="1"/>
    <col min="14338" max="14338" width="11.6640625" customWidth="1"/>
    <col min="14340" max="14340" width="19.83203125" bestFit="1" customWidth="1"/>
    <col min="14341" max="14341" width="19.83203125" customWidth="1"/>
    <col min="14342" max="14342" width="11.6640625" customWidth="1"/>
    <col min="14343" max="14343" width="12.6640625" customWidth="1"/>
    <col min="14345" max="14345" width="18.6640625" bestFit="1" customWidth="1"/>
    <col min="14346" max="14346" width="11.6640625" customWidth="1"/>
    <col min="14347" max="14347" width="15.5" customWidth="1"/>
    <col min="14350" max="14350" width="13.5" customWidth="1"/>
    <col min="14351" max="14351" width="10.5" customWidth="1"/>
    <col min="14352" max="14352" width="11.5" customWidth="1"/>
    <col min="14353" max="14353" width="11.33203125" customWidth="1"/>
    <col min="14594" max="14594" width="11.6640625" customWidth="1"/>
    <col min="14596" max="14596" width="19.83203125" bestFit="1" customWidth="1"/>
    <col min="14597" max="14597" width="19.83203125" customWidth="1"/>
    <col min="14598" max="14598" width="11.6640625" customWidth="1"/>
    <col min="14599" max="14599" width="12.6640625" customWidth="1"/>
    <col min="14601" max="14601" width="18.6640625" bestFit="1" customWidth="1"/>
    <col min="14602" max="14602" width="11.6640625" customWidth="1"/>
    <col min="14603" max="14603" width="15.5" customWidth="1"/>
    <col min="14606" max="14606" width="13.5" customWidth="1"/>
    <col min="14607" max="14607" width="10.5" customWidth="1"/>
    <col min="14608" max="14608" width="11.5" customWidth="1"/>
    <col min="14609" max="14609" width="11.33203125" customWidth="1"/>
    <col min="14850" max="14850" width="11.6640625" customWidth="1"/>
    <col min="14852" max="14852" width="19.83203125" bestFit="1" customWidth="1"/>
    <col min="14853" max="14853" width="19.83203125" customWidth="1"/>
    <col min="14854" max="14854" width="11.6640625" customWidth="1"/>
    <col min="14855" max="14855" width="12.6640625" customWidth="1"/>
    <col min="14857" max="14857" width="18.6640625" bestFit="1" customWidth="1"/>
    <col min="14858" max="14858" width="11.6640625" customWidth="1"/>
    <col min="14859" max="14859" width="15.5" customWidth="1"/>
    <col min="14862" max="14862" width="13.5" customWidth="1"/>
    <col min="14863" max="14863" width="10.5" customWidth="1"/>
    <col min="14864" max="14864" width="11.5" customWidth="1"/>
    <col min="14865" max="14865" width="11.33203125" customWidth="1"/>
    <col min="15106" max="15106" width="11.6640625" customWidth="1"/>
    <col min="15108" max="15108" width="19.83203125" bestFit="1" customWidth="1"/>
    <col min="15109" max="15109" width="19.83203125" customWidth="1"/>
    <col min="15110" max="15110" width="11.6640625" customWidth="1"/>
    <col min="15111" max="15111" width="12.6640625" customWidth="1"/>
    <col min="15113" max="15113" width="18.6640625" bestFit="1" customWidth="1"/>
    <col min="15114" max="15114" width="11.6640625" customWidth="1"/>
    <col min="15115" max="15115" width="15.5" customWidth="1"/>
    <col min="15118" max="15118" width="13.5" customWidth="1"/>
    <col min="15119" max="15119" width="10.5" customWidth="1"/>
    <col min="15120" max="15120" width="11.5" customWidth="1"/>
    <col min="15121" max="15121" width="11.33203125" customWidth="1"/>
    <col min="15362" max="15362" width="11.6640625" customWidth="1"/>
    <col min="15364" max="15364" width="19.83203125" bestFit="1" customWidth="1"/>
    <col min="15365" max="15365" width="19.83203125" customWidth="1"/>
    <col min="15366" max="15366" width="11.6640625" customWidth="1"/>
    <col min="15367" max="15367" width="12.6640625" customWidth="1"/>
    <col min="15369" max="15369" width="18.6640625" bestFit="1" customWidth="1"/>
    <col min="15370" max="15370" width="11.6640625" customWidth="1"/>
    <col min="15371" max="15371" width="15.5" customWidth="1"/>
    <col min="15374" max="15374" width="13.5" customWidth="1"/>
    <col min="15375" max="15375" width="10.5" customWidth="1"/>
    <col min="15376" max="15376" width="11.5" customWidth="1"/>
    <col min="15377" max="15377" width="11.33203125" customWidth="1"/>
    <col min="15618" max="15618" width="11.6640625" customWidth="1"/>
    <col min="15620" max="15620" width="19.83203125" bestFit="1" customWidth="1"/>
    <col min="15621" max="15621" width="19.83203125" customWidth="1"/>
    <col min="15622" max="15622" width="11.6640625" customWidth="1"/>
    <col min="15623" max="15623" width="12.6640625" customWidth="1"/>
    <col min="15625" max="15625" width="18.6640625" bestFit="1" customWidth="1"/>
    <col min="15626" max="15626" width="11.6640625" customWidth="1"/>
    <col min="15627" max="15627" width="15.5" customWidth="1"/>
    <col min="15630" max="15630" width="13.5" customWidth="1"/>
    <col min="15631" max="15631" width="10.5" customWidth="1"/>
    <col min="15632" max="15632" width="11.5" customWidth="1"/>
    <col min="15633" max="15633" width="11.33203125" customWidth="1"/>
    <col min="15874" max="15874" width="11.6640625" customWidth="1"/>
    <col min="15876" max="15876" width="19.83203125" bestFit="1" customWidth="1"/>
    <col min="15877" max="15877" width="19.83203125" customWidth="1"/>
    <col min="15878" max="15878" width="11.6640625" customWidth="1"/>
    <col min="15879" max="15879" width="12.6640625" customWidth="1"/>
    <col min="15881" max="15881" width="18.6640625" bestFit="1" customWidth="1"/>
    <col min="15882" max="15882" width="11.6640625" customWidth="1"/>
    <col min="15883" max="15883" width="15.5" customWidth="1"/>
    <col min="15886" max="15886" width="13.5" customWidth="1"/>
    <col min="15887" max="15887" width="10.5" customWidth="1"/>
    <col min="15888" max="15888" width="11.5" customWidth="1"/>
    <col min="15889" max="15889" width="11.33203125" customWidth="1"/>
    <col min="16130" max="16130" width="11.6640625" customWidth="1"/>
    <col min="16132" max="16132" width="19.83203125" bestFit="1" customWidth="1"/>
    <col min="16133" max="16133" width="19.83203125" customWidth="1"/>
    <col min="16134" max="16134" width="11.6640625" customWidth="1"/>
    <col min="16135" max="16135" width="12.6640625" customWidth="1"/>
    <col min="16137" max="16137" width="18.6640625" bestFit="1" customWidth="1"/>
    <col min="16138" max="16138" width="11.6640625" customWidth="1"/>
    <col min="16139" max="16139" width="15.5" customWidth="1"/>
    <col min="16142" max="16142" width="13.5" customWidth="1"/>
    <col min="16143" max="16143" width="10.5" customWidth="1"/>
    <col min="16144" max="16144" width="11.5" customWidth="1"/>
    <col min="16145" max="16145" width="11.33203125" customWidth="1"/>
  </cols>
  <sheetData>
    <row r="1" spans="1:15">
      <c r="A1" s="1" t="s">
        <v>206</v>
      </c>
    </row>
    <row r="2" spans="1:15">
      <c r="A2" s="1"/>
    </row>
    <row r="3" spans="1:15">
      <c r="A3" s="326" t="s">
        <v>308</v>
      </c>
      <c r="B3" s="8"/>
      <c r="C3" s="8"/>
      <c r="D3" s="28"/>
      <c r="E3" s="28"/>
      <c r="F3" s="28"/>
      <c r="I3" s="82" t="s">
        <v>213</v>
      </c>
    </row>
    <row r="4" spans="1:15" ht="16" thickBot="1">
      <c r="A4" s="8"/>
      <c r="B4" s="8"/>
      <c r="C4" s="83"/>
      <c r="D4" s="28"/>
      <c r="E4" s="28"/>
      <c r="F4" s="28"/>
      <c r="I4" s="678" t="s">
        <v>144</v>
      </c>
      <c r="J4" s="678"/>
      <c r="K4" s="678"/>
      <c r="L4" s="678"/>
      <c r="M4" s="420"/>
    </row>
    <row r="5" spans="1:15" ht="16" thickBot="1">
      <c r="D5" s="291" t="s">
        <v>225</v>
      </c>
      <c r="E5" s="292" t="s">
        <v>185</v>
      </c>
      <c r="F5" s="292" t="s">
        <v>37</v>
      </c>
      <c r="G5" s="291" t="s">
        <v>38</v>
      </c>
      <c r="I5" s="679" t="s">
        <v>145</v>
      </c>
      <c r="J5" s="679"/>
      <c r="K5" s="680"/>
      <c r="L5" s="422">
        <v>0.16666666666666666</v>
      </c>
      <c r="M5" s="420"/>
    </row>
    <row r="6" spans="1:15" ht="16" thickBot="1">
      <c r="A6" s="24"/>
      <c r="B6">
        <v>1</v>
      </c>
      <c r="C6" s="84">
        <v>39783</v>
      </c>
      <c r="D6" s="291">
        <v>11</v>
      </c>
      <c r="E6" s="106">
        <f t="shared" ref="E6:E30" si="0">0.166667*(B6)+11.49123</f>
        <v>11.657897</v>
      </c>
      <c r="F6" s="107">
        <f t="shared" ref="F6:F24" si="1">ABS(E6-D6)</f>
        <v>0.65789700000000018</v>
      </c>
      <c r="G6">
        <f t="shared" ref="G6:G24" si="2">D6*7</f>
        <v>77</v>
      </c>
      <c r="I6" s="679" t="s">
        <v>146</v>
      </c>
      <c r="J6" s="679"/>
      <c r="K6" s="680"/>
      <c r="L6" s="422">
        <v>11.491228070175438</v>
      </c>
      <c r="M6" s="420"/>
      <c r="N6" s="8"/>
      <c r="O6" s="8"/>
    </row>
    <row r="7" spans="1:15" ht="16" thickBot="1">
      <c r="B7">
        <v>2</v>
      </c>
      <c r="C7" s="84">
        <v>39784</v>
      </c>
      <c r="D7" s="291">
        <v>14</v>
      </c>
      <c r="E7" s="106">
        <f t="shared" si="0"/>
        <v>11.824564000000001</v>
      </c>
      <c r="F7" s="107">
        <f t="shared" si="1"/>
        <v>2.1754359999999995</v>
      </c>
      <c r="G7">
        <f t="shared" si="2"/>
        <v>98</v>
      </c>
      <c r="I7" s="420"/>
      <c r="J7" s="420"/>
      <c r="K7" s="420"/>
      <c r="L7" s="420"/>
      <c r="M7" s="420"/>
      <c r="N7" s="8"/>
      <c r="O7" s="8"/>
    </row>
    <row r="8" spans="1:15" ht="16">
      <c r="B8">
        <v>3</v>
      </c>
      <c r="C8" s="84">
        <v>39785</v>
      </c>
      <c r="D8" s="291">
        <v>17</v>
      </c>
      <c r="E8" s="106">
        <f t="shared" si="0"/>
        <v>11.991230999999999</v>
      </c>
      <c r="F8" s="107">
        <f t="shared" si="1"/>
        <v>5.0087690000000009</v>
      </c>
      <c r="G8">
        <f t="shared" si="2"/>
        <v>119</v>
      </c>
      <c r="I8" s="423" t="s">
        <v>121</v>
      </c>
      <c r="J8" s="424">
        <v>2.3056325023084026</v>
      </c>
      <c r="K8" s="421" t="s">
        <v>147</v>
      </c>
      <c r="L8" s="425">
        <v>9.6235871187886499E-2</v>
      </c>
      <c r="M8" s="420"/>
      <c r="N8" s="8"/>
      <c r="O8" s="8"/>
    </row>
    <row r="9" spans="1:15" ht="16" thickBot="1">
      <c r="B9">
        <v>4</v>
      </c>
      <c r="C9" s="84">
        <v>39786</v>
      </c>
      <c r="D9" s="291">
        <v>15</v>
      </c>
      <c r="E9" s="106">
        <f t="shared" si="0"/>
        <v>12.157897999999999</v>
      </c>
      <c r="F9" s="107">
        <f t="shared" si="1"/>
        <v>2.8421020000000006</v>
      </c>
      <c r="G9">
        <f t="shared" si="2"/>
        <v>105</v>
      </c>
      <c r="I9" s="423" t="s">
        <v>122</v>
      </c>
      <c r="J9" s="426">
        <v>0.17522807017543859</v>
      </c>
      <c r="K9" s="421" t="s">
        <v>148</v>
      </c>
      <c r="L9" s="427">
        <v>7.8105648514060844E-6</v>
      </c>
      <c r="M9" s="420"/>
      <c r="N9" s="8"/>
      <c r="O9" s="8"/>
    </row>
    <row r="10" spans="1:15" ht="16" thickBot="1">
      <c r="B10">
        <v>5</v>
      </c>
      <c r="C10" s="84">
        <v>39448</v>
      </c>
      <c r="D10" s="291">
        <v>12</v>
      </c>
      <c r="E10" s="106">
        <f t="shared" si="0"/>
        <v>12.324565</v>
      </c>
      <c r="F10" s="107">
        <f t="shared" si="1"/>
        <v>0.32456499999999977</v>
      </c>
      <c r="G10">
        <f t="shared" si="2"/>
        <v>84</v>
      </c>
      <c r="I10" s="423"/>
      <c r="J10" s="428"/>
      <c r="K10" s="421"/>
      <c r="L10" s="429"/>
      <c r="M10" s="420"/>
      <c r="N10" s="8"/>
      <c r="O10" s="8"/>
    </row>
    <row r="11" spans="1:15" ht="16" thickBot="1">
      <c r="B11">
        <v>6</v>
      </c>
      <c r="C11" s="84">
        <v>39449</v>
      </c>
      <c r="D11" s="291">
        <v>11</v>
      </c>
      <c r="E11" s="106">
        <f t="shared" si="0"/>
        <v>12.491232</v>
      </c>
      <c r="F11" s="107">
        <f t="shared" si="1"/>
        <v>1.4912320000000001</v>
      </c>
      <c r="G11">
        <f t="shared" si="2"/>
        <v>77</v>
      </c>
      <c r="I11" s="681" t="s">
        <v>149</v>
      </c>
      <c r="J11" s="681"/>
      <c r="K11" s="682"/>
      <c r="L11" s="430">
        <v>20</v>
      </c>
      <c r="M11" s="420"/>
      <c r="N11" s="8"/>
      <c r="O11" s="8"/>
    </row>
    <row r="12" spans="1:15" ht="16" thickBot="1">
      <c r="B12">
        <v>7</v>
      </c>
      <c r="C12" s="84">
        <v>39450</v>
      </c>
      <c r="D12" s="291">
        <v>9</v>
      </c>
      <c r="E12" s="106">
        <f t="shared" si="0"/>
        <v>12.657899</v>
      </c>
      <c r="F12" s="107">
        <f t="shared" si="1"/>
        <v>3.6578990000000005</v>
      </c>
      <c r="G12">
        <f t="shared" si="2"/>
        <v>63</v>
      </c>
      <c r="I12" s="681" t="s">
        <v>309</v>
      </c>
      <c r="J12" s="681"/>
      <c r="K12" s="681"/>
      <c r="L12" s="431">
        <v>14.82456140350877</v>
      </c>
      <c r="M12" s="420"/>
      <c r="N12" s="8"/>
      <c r="O12" s="8"/>
    </row>
    <row r="13" spans="1:15" ht="16" thickBot="1">
      <c r="B13">
        <v>8</v>
      </c>
      <c r="C13" s="84">
        <v>39451</v>
      </c>
      <c r="D13" s="291">
        <v>9</v>
      </c>
      <c r="E13" s="106">
        <f t="shared" si="0"/>
        <v>12.824566000000001</v>
      </c>
      <c r="F13" s="107">
        <f t="shared" si="1"/>
        <v>3.8245660000000008</v>
      </c>
      <c r="G13">
        <f t="shared" si="2"/>
        <v>63</v>
      </c>
      <c r="I13" s="420"/>
      <c r="J13" s="420"/>
      <c r="K13" s="420"/>
      <c r="L13" s="420"/>
      <c r="M13" s="420"/>
      <c r="N13" s="8"/>
      <c r="O13" s="8"/>
    </row>
    <row r="14" spans="1:15" ht="30" thickBot="1">
      <c r="B14">
        <v>9</v>
      </c>
      <c r="C14" s="84">
        <v>39479</v>
      </c>
      <c r="D14" s="291">
        <v>12</v>
      </c>
      <c r="E14" s="106">
        <f t="shared" si="0"/>
        <v>12.991232999999999</v>
      </c>
      <c r="F14" s="107">
        <f t="shared" si="1"/>
        <v>0.99123299999999936</v>
      </c>
      <c r="G14">
        <f t="shared" si="2"/>
        <v>84</v>
      </c>
      <c r="I14" s="432" t="s">
        <v>39</v>
      </c>
      <c r="J14" s="432" t="s">
        <v>38</v>
      </c>
      <c r="K14" s="432" t="s">
        <v>185</v>
      </c>
      <c r="L14" s="432" t="s">
        <v>37</v>
      </c>
      <c r="M14" s="433" t="s">
        <v>123</v>
      </c>
      <c r="N14" s="8"/>
      <c r="O14" s="8"/>
    </row>
    <row r="15" spans="1:15">
      <c r="B15">
        <v>10</v>
      </c>
      <c r="C15" s="84">
        <v>39480</v>
      </c>
      <c r="D15" s="85">
        <v>8</v>
      </c>
      <c r="E15" s="106">
        <f t="shared" si="0"/>
        <v>13.1579</v>
      </c>
      <c r="F15" s="107">
        <f t="shared" si="1"/>
        <v>5.1578999999999997</v>
      </c>
      <c r="G15">
        <f t="shared" si="2"/>
        <v>56</v>
      </c>
      <c r="I15" s="434">
        <v>1</v>
      </c>
      <c r="J15" s="435">
        <v>11</v>
      </c>
      <c r="K15" s="436">
        <v>11.657894736842104</v>
      </c>
      <c r="L15" s="437">
        <v>-0.65789473684210442</v>
      </c>
      <c r="M15" s="438">
        <v>-1</v>
      </c>
      <c r="N15" s="8"/>
      <c r="O15" s="8"/>
    </row>
    <row r="16" spans="1:15">
      <c r="B16">
        <v>11</v>
      </c>
      <c r="C16" s="84">
        <v>39481</v>
      </c>
      <c r="D16" s="291">
        <v>13</v>
      </c>
      <c r="E16" s="106">
        <f t="shared" si="0"/>
        <v>13.324567</v>
      </c>
      <c r="F16" s="107">
        <f t="shared" si="1"/>
        <v>0.32456700000000005</v>
      </c>
      <c r="G16">
        <f t="shared" si="2"/>
        <v>91</v>
      </c>
      <c r="I16" s="439">
        <v>2</v>
      </c>
      <c r="J16" s="435">
        <v>14</v>
      </c>
      <c r="K16" s="440">
        <v>11.824561403508772</v>
      </c>
      <c r="L16" s="441">
        <v>2.1754385964912277</v>
      </c>
      <c r="M16" s="442">
        <v>1.0712074303405581</v>
      </c>
      <c r="N16" s="8"/>
      <c r="O16" s="8"/>
    </row>
    <row r="17" spans="1:15">
      <c r="B17">
        <v>12</v>
      </c>
      <c r="C17" s="84">
        <v>39482</v>
      </c>
      <c r="D17" s="291">
        <v>11</v>
      </c>
      <c r="E17" s="106">
        <f t="shared" si="0"/>
        <v>13.491234</v>
      </c>
      <c r="F17" s="107">
        <f t="shared" si="1"/>
        <v>2.4912340000000004</v>
      </c>
      <c r="G17">
        <f t="shared" si="2"/>
        <v>77</v>
      </c>
      <c r="I17" s="439">
        <v>3</v>
      </c>
      <c r="J17" s="435">
        <v>17</v>
      </c>
      <c r="K17" s="440">
        <v>11.991228070175438</v>
      </c>
      <c r="L17" s="441">
        <v>5.0087719298245617</v>
      </c>
      <c r="M17" s="442">
        <v>2.4966442953020138</v>
      </c>
      <c r="N17" s="8"/>
      <c r="O17" s="8"/>
    </row>
    <row r="18" spans="1:15">
      <c r="B18">
        <v>13</v>
      </c>
      <c r="C18" s="84">
        <v>39508</v>
      </c>
      <c r="D18" s="291">
        <v>15</v>
      </c>
      <c r="E18" s="106">
        <f t="shared" si="0"/>
        <v>13.657900999999999</v>
      </c>
      <c r="F18" s="107">
        <f t="shared" si="1"/>
        <v>1.342099000000001</v>
      </c>
      <c r="G18">
        <f t="shared" si="2"/>
        <v>105</v>
      </c>
      <c r="I18" s="439">
        <v>4</v>
      </c>
      <c r="J18" s="435">
        <v>15</v>
      </c>
      <c r="K18" s="440">
        <v>12.157894736842104</v>
      </c>
      <c r="L18" s="441">
        <v>2.8421052631578956</v>
      </c>
      <c r="M18" s="442">
        <v>3.507389162561577</v>
      </c>
      <c r="N18" s="8"/>
      <c r="O18" s="8"/>
    </row>
    <row r="19" spans="1:15">
      <c r="B19">
        <v>14</v>
      </c>
      <c r="C19" s="84">
        <v>39509</v>
      </c>
      <c r="D19" s="291">
        <v>17</v>
      </c>
      <c r="E19" s="106">
        <f t="shared" si="0"/>
        <v>13.824567999999999</v>
      </c>
      <c r="F19" s="107">
        <f t="shared" si="1"/>
        <v>3.1754320000000007</v>
      </c>
      <c r="G19">
        <f t="shared" si="2"/>
        <v>119</v>
      </c>
      <c r="I19" s="439">
        <v>5</v>
      </c>
      <c r="J19" s="435">
        <v>12</v>
      </c>
      <c r="K19" s="440">
        <v>12.324561403508772</v>
      </c>
      <c r="L19" s="441">
        <v>-0.32456140350877227</v>
      </c>
      <c r="M19" s="442">
        <v>4.1075697211155386</v>
      </c>
      <c r="N19" s="8"/>
      <c r="O19" s="8"/>
    </row>
    <row r="20" spans="1:15">
      <c r="B20">
        <v>15</v>
      </c>
      <c r="C20" s="84">
        <v>39510</v>
      </c>
      <c r="D20" s="291">
        <v>14</v>
      </c>
      <c r="E20" s="106">
        <f t="shared" si="0"/>
        <v>13.991235</v>
      </c>
      <c r="F20" s="107">
        <f t="shared" si="1"/>
        <v>8.7650000000003558E-3</v>
      </c>
      <c r="G20">
        <f t="shared" si="2"/>
        <v>98</v>
      </c>
      <c r="I20" s="439">
        <v>6</v>
      </c>
      <c r="J20" s="435">
        <v>11</v>
      </c>
      <c r="K20" s="440">
        <v>12.491228070175438</v>
      </c>
      <c r="L20" s="441">
        <v>-1.4912280701754383</v>
      </c>
      <c r="M20" s="442">
        <v>3.6252631578947372</v>
      </c>
      <c r="N20" s="8"/>
      <c r="O20" s="8"/>
    </row>
    <row r="21" spans="1:15">
      <c r="B21">
        <v>16</v>
      </c>
      <c r="C21" s="84">
        <v>39511</v>
      </c>
      <c r="D21" s="291">
        <v>19</v>
      </c>
      <c r="E21" s="106">
        <f t="shared" si="0"/>
        <v>14.157902</v>
      </c>
      <c r="F21" s="107">
        <f t="shared" si="1"/>
        <v>4.842098</v>
      </c>
      <c r="G21">
        <f t="shared" si="2"/>
        <v>133</v>
      </c>
      <c r="I21" s="439">
        <v>7</v>
      </c>
      <c r="J21" s="435">
        <v>9</v>
      </c>
      <c r="K21" s="440">
        <v>12.657894736842104</v>
      </c>
      <c r="L21" s="441">
        <v>-3.6578947368421044</v>
      </c>
      <c r="M21" s="442">
        <v>1.6872964169381119</v>
      </c>
      <c r="N21" s="8"/>
      <c r="O21" s="8"/>
    </row>
    <row r="22" spans="1:15">
      <c r="B22">
        <v>17</v>
      </c>
      <c r="C22" s="84">
        <v>39512</v>
      </c>
      <c r="D22" s="85">
        <v>13</v>
      </c>
      <c r="E22" s="106">
        <f t="shared" si="0"/>
        <v>14.324569</v>
      </c>
      <c r="F22" s="107">
        <f t="shared" si="1"/>
        <v>1.3245690000000003</v>
      </c>
      <c r="G22">
        <f t="shared" si="2"/>
        <v>91</v>
      </c>
      <c r="I22" s="439">
        <v>8</v>
      </c>
      <c r="J22" s="435">
        <v>9</v>
      </c>
      <c r="K22" s="440">
        <v>12.824561403508772</v>
      </c>
      <c r="L22" s="441">
        <v>-3.8245614035087723</v>
      </c>
      <c r="M22" s="442">
        <v>2.8094820017560061E-2</v>
      </c>
      <c r="N22" s="8"/>
      <c r="O22" s="8"/>
    </row>
    <row r="23" spans="1:15">
      <c r="B23">
        <v>18</v>
      </c>
      <c r="C23" s="84">
        <v>39539</v>
      </c>
      <c r="D23" s="291">
        <v>17</v>
      </c>
      <c r="E23" s="106">
        <f t="shared" si="0"/>
        <v>14.491236000000001</v>
      </c>
      <c r="F23" s="107">
        <f t="shared" si="1"/>
        <v>2.5087639999999993</v>
      </c>
      <c r="G23">
        <f t="shared" si="2"/>
        <v>119</v>
      </c>
      <c r="I23" s="439">
        <v>9</v>
      </c>
      <c r="J23" s="435">
        <v>12</v>
      </c>
      <c r="K23" s="440">
        <v>12.991228070175438</v>
      </c>
      <c r="L23" s="441">
        <v>-0.99122807017543835</v>
      </c>
      <c r="M23" s="442">
        <v>-0.39523212045169287</v>
      </c>
      <c r="N23" s="8"/>
      <c r="O23" s="8"/>
    </row>
    <row r="24" spans="1:15">
      <c r="B24">
        <v>19</v>
      </c>
      <c r="C24" s="84">
        <v>39540</v>
      </c>
      <c r="D24" s="291">
        <v>13</v>
      </c>
      <c r="E24" s="106">
        <f t="shared" si="0"/>
        <v>14.657903000000001</v>
      </c>
      <c r="F24" s="107">
        <f t="shared" si="1"/>
        <v>1.657903000000001</v>
      </c>
      <c r="G24">
        <f t="shared" si="2"/>
        <v>91</v>
      </c>
      <c r="I24" s="439">
        <v>10</v>
      </c>
      <c r="J24" s="443">
        <v>8</v>
      </c>
      <c r="K24" s="440">
        <v>13.157894736842104</v>
      </c>
      <c r="L24" s="441">
        <v>-5.1578947368421044</v>
      </c>
      <c r="M24" s="442">
        <v>-2.3262839879154069</v>
      </c>
    </row>
    <row r="25" spans="1:15">
      <c r="B25">
        <v>20</v>
      </c>
      <c r="C25" s="84">
        <v>39541</v>
      </c>
      <c r="E25" s="106">
        <f t="shared" si="0"/>
        <v>14.82457</v>
      </c>
      <c r="F25" s="28"/>
      <c r="I25" s="439">
        <v>11</v>
      </c>
      <c r="J25" s="435">
        <v>13</v>
      </c>
      <c r="K25" s="440">
        <v>13.324561403508772</v>
      </c>
      <c r="L25" s="441">
        <v>-0.32456140350877227</v>
      </c>
      <c r="M25" s="442">
        <v>-2.662466843501325</v>
      </c>
    </row>
    <row r="26" spans="1:15">
      <c r="B26">
        <v>21</v>
      </c>
      <c r="C26" s="84">
        <v>39542</v>
      </c>
      <c r="E26" s="106">
        <f t="shared" si="0"/>
        <v>14.991237</v>
      </c>
      <c r="F26" s="28"/>
      <c r="G26" s="86"/>
      <c r="I26" s="439">
        <v>12</v>
      </c>
      <c r="J26" s="435">
        <v>11</v>
      </c>
      <c r="K26" s="440">
        <v>13.491228070175438</v>
      </c>
      <c r="L26" s="441">
        <v>-2.4912280701754383</v>
      </c>
      <c r="M26" s="442">
        <v>-3.6872727272727266</v>
      </c>
    </row>
    <row r="27" spans="1:15">
      <c r="B27">
        <v>22</v>
      </c>
      <c r="C27" s="84">
        <v>39569</v>
      </c>
      <c r="E27" s="106">
        <f t="shared" si="0"/>
        <v>15.157904</v>
      </c>
      <c r="F27" s="28"/>
      <c r="I27" s="439">
        <v>13</v>
      </c>
      <c r="J27" s="435">
        <v>15</v>
      </c>
      <c r="K27" s="440">
        <v>13.657894736842104</v>
      </c>
      <c r="L27" s="441">
        <v>1.3421052631578956</v>
      </c>
      <c r="M27" s="442">
        <v>-3.2415291051259758</v>
      </c>
    </row>
    <row r="28" spans="1:15">
      <c r="B28">
        <v>23</v>
      </c>
      <c r="C28" s="84">
        <v>39570</v>
      </c>
      <c r="E28" s="106">
        <f t="shared" si="0"/>
        <v>15.324571000000001</v>
      </c>
      <c r="F28" s="28"/>
      <c r="I28" s="439">
        <v>14</v>
      </c>
      <c r="J28" s="435">
        <v>17</v>
      </c>
      <c r="K28" s="440">
        <v>13.82456140350877</v>
      </c>
      <c r="L28" s="441">
        <v>3.1754385964912295</v>
      </c>
      <c r="M28" s="442">
        <v>-1.8311926605504565</v>
      </c>
    </row>
    <row r="29" spans="1:15">
      <c r="B29">
        <v>24</v>
      </c>
      <c r="C29" s="84">
        <v>39571</v>
      </c>
      <c r="E29" s="106">
        <f t="shared" si="0"/>
        <v>15.491237999999999</v>
      </c>
      <c r="F29" s="28"/>
      <c r="I29" s="439">
        <v>15</v>
      </c>
      <c r="J29" s="435">
        <v>14</v>
      </c>
      <c r="K29" s="440">
        <v>13.991228070175438</v>
      </c>
      <c r="L29" s="441">
        <v>8.7719298245616528E-3</v>
      </c>
      <c r="M29" s="442">
        <v>-1.9575471698113185</v>
      </c>
    </row>
    <row r="30" spans="1:15">
      <c r="B30">
        <v>25</v>
      </c>
      <c r="C30" s="84">
        <v>39572</v>
      </c>
      <c r="E30" s="106">
        <f t="shared" si="0"/>
        <v>15.657905</v>
      </c>
      <c r="F30" s="28"/>
      <c r="I30" s="439">
        <v>16</v>
      </c>
      <c r="J30" s="435">
        <v>19</v>
      </c>
      <c r="K30" s="440">
        <v>14.157894736842104</v>
      </c>
      <c r="L30" s="441">
        <v>4.8421052631578956</v>
      </c>
      <c r="M30" s="442">
        <v>0.19780219780220046</v>
      </c>
    </row>
    <row r="31" spans="1:15">
      <c r="B31" s="8"/>
      <c r="C31" s="8"/>
      <c r="D31" s="28"/>
      <c r="E31" s="28"/>
      <c r="F31" s="28"/>
      <c r="I31" s="439">
        <v>17</v>
      </c>
      <c r="J31" s="443">
        <v>13</v>
      </c>
      <c r="K31" s="440">
        <v>14.32456140350877</v>
      </c>
      <c r="L31" s="441">
        <v>-1.3245614035087705</v>
      </c>
      <c r="M31" s="442">
        <v>-0.36490373976543145</v>
      </c>
    </row>
    <row r="32" spans="1:15">
      <c r="A32" t="s">
        <v>40</v>
      </c>
      <c r="D32"/>
      <c r="E32"/>
      <c r="F32"/>
      <c r="I32" s="439">
        <v>18</v>
      </c>
      <c r="J32" s="435">
        <v>17</v>
      </c>
      <c r="K32" s="440">
        <v>14.491228070175438</v>
      </c>
      <c r="L32" s="441">
        <v>2.5087719298245617</v>
      </c>
      <c r="M32" s="442">
        <v>0.70801248699271924</v>
      </c>
    </row>
    <row r="33" spans="1:16" ht="16" thickBot="1">
      <c r="D33"/>
      <c r="E33"/>
      <c r="F33"/>
      <c r="I33" s="439">
        <v>19</v>
      </c>
      <c r="J33" s="435">
        <v>13</v>
      </c>
      <c r="K33" s="440">
        <v>14.657894736842104</v>
      </c>
      <c r="L33" s="441">
        <v>-1.6578947368421044</v>
      </c>
      <c r="M33" s="442">
        <v>3.8522115680225695E-15</v>
      </c>
    </row>
    <row r="34" spans="1:16">
      <c r="A34" s="525" t="s">
        <v>41</v>
      </c>
      <c r="B34" s="525"/>
      <c r="D34"/>
      <c r="E34"/>
      <c r="F34"/>
      <c r="I34" s="439">
        <v>20</v>
      </c>
      <c r="J34" s="444"/>
      <c r="K34" s="440">
        <v>14.82456140350877</v>
      </c>
      <c r="L34" s="441" t="s">
        <v>124</v>
      </c>
      <c r="M34" s="442" t="s">
        <v>124</v>
      </c>
    </row>
    <row r="35" spans="1:16">
      <c r="A35" s="87" t="s">
        <v>42</v>
      </c>
      <c r="B35" s="87">
        <v>0.31021906967155771</v>
      </c>
      <c r="D35"/>
      <c r="E35"/>
      <c r="F35"/>
    </row>
    <row r="36" spans="1:16">
      <c r="A36" s="87" t="s">
        <v>43</v>
      </c>
      <c r="B36" s="526">
        <v>9.6235871187886776E-2</v>
      </c>
      <c r="D36"/>
      <c r="E36"/>
      <c r="F36"/>
    </row>
    <row r="37" spans="1:16">
      <c r="A37" s="87" t="s">
        <v>44</v>
      </c>
      <c r="B37" s="87">
        <v>4.3073275375409531E-2</v>
      </c>
      <c r="D37"/>
      <c r="E37"/>
      <c r="F37"/>
    </row>
    <row r="38" spans="1:16">
      <c r="A38" s="87" t="s">
        <v>45</v>
      </c>
      <c r="B38" s="87">
        <v>2.9574729122735484</v>
      </c>
      <c r="D38"/>
      <c r="E38"/>
      <c r="F38"/>
      <c r="K38" s="11"/>
      <c r="L38" s="11"/>
      <c r="M38" s="11"/>
      <c r="N38" s="11"/>
      <c r="O38" s="11"/>
      <c r="P38" s="11"/>
    </row>
    <row r="39" spans="1:16" ht="16" thickBot="1">
      <c r="A39" s="88" t="s">
        <v>46</v>
      </c>
      <c r="B39" s="88">
        <v>19</v>
      </c>
      <c r="D39"/>
      <c r="E39"/>
      <c r="F39"/>
      <c r="K39" s="11"/>
      <c r="L39" s="11"/>
      <c r="M39" s="11"/>
      <c r="N39" s="11"/>
      <c r="O39" s="11"/>
      <c r="P39" s="11"/>
    </row>
    <row r="40" spans="1:16">
      <c r="D40"/>
      <c r="E40"/>
      <c r="F40"/>
      <c r="K40" s="11"/>
      <c r="L40" s="11"/>
      <c r="M40" s="11"/>
      <c r="N40" s="11"/>
      <c r="O40" s="11"/>
      <c r="P40" s="11"/>
    </row>
    <row r="41" spans="1:16" ht="16" thickBot="1">
      <c r="A41" t="s">
        <v>47</v>
      </c>
      <c r="D41"/>
      <c r="E41"/>
      <c r="F41"/>
      <c r="K41" s="11"/>
      <c r="L41" s="11"/>
      <c r="M41" s="11"/>
      <c r="N41" s="11"/>
      <c r="O41" s="11"/>
      <c r="P41" s="11"/>
    </row>
    <row r="42" spans="1:16">
      <c r="A42" s="527"/>
      <c r="B42" s="527" t="s">
        <v>48</v>
      </c>
      <c r="C42" s="527" t="s">
        <v>49</v>
      </c>
      <c r="D42" s="527" t="s">
        <v>50</v>
      </c>
      <c r="E42" s="527" t="s">
        <v>51</v>
      </c>
      <c r="F42" s="527" t="s">
        <v>52</v>
      </c>
    </row>
    <row r="43" spans="1:16">
      <c r="A43" s="87" t="s">
        <v>53</v>
      </c>
      <c r="B43" s="87">
        <v>1</v>
      </c>
      <c r="C43" s="87">
        <v>15.833333333333371</v>
      </c>
      <c r="D43" s="87">
        <v>15.833333333333371</v>
      </c>
      <c r="E43" s="87">
        <v>1.810217686272201</v>
      </c>
      <c r="F43" s="87">
        <v>0.19615487765488093</v>
      </c>
    </row>
    <row r="44" spans="1:16">
      <c r="A44" s="87" t="s">
        <v>54</v>
      </c>
      <c r="B44" s="87">
        <v>17</v>
      </c>
      <c r="C44" s="87">
        <v>148.6929824561403</v>
      </c>
      <c r="D44" s="87">
        <v>8.7466460268317832</v>
      </c>
      <c r="E44" s="87"/>
      <c r="F44" s="87"/>
    </row>
    <row r="45" spans="1:16" ht="16" thickBot="1">
      <c r="A45" s="88" t="s">
        <v>55</v>
      </c>
      <c r="B45" s="88">
        <v>18</v>
      </c>
      <c r="C45" s="88">
        <v>164.52631578947367</v>
      </c>
      <c r="D45" s="88"/>
      <c r="E45" s="88"/>
      <c r="F45" s="88"/>
    </row>
    <row r="46" spans="1:16" ht="16" thickBot="1">
      <c r="D46"/>
      <c r="E46"/>
      <c r="F46"/>
    </row>
    <row r="47" spans="1:16">
      <c r="A47" s="527"/>
      <c r="B47" s="527" t="s">
        <v>56</v>
      </c>
      <c r="C47" s="527" t="s">
        <v>45</v>
      </c>
      <c r="D47" s="527" t="s">
        <v>57</v>
      </c>
      <c r="E47" s="527" t="s">
        <v>58</v>
      </c>
      <c r="F47" s="527" t="s">
        <v>59</v>
      </c>
      <c r="G47" s="527" t="s">
        <v>60</v>
      </c>
      <c r="H47" s="527" t="s">
        <v>61</v>
      </c>
      <c r="I47" s="527" t="s">
        <v>62</v>
      </c>
    </row>
    <row r="48" spans="1:16">
      <c r="A48" s="87" t="s">
        <v>63</v>
      </c>
      <c r="B48" s="528">
        <v>11.491228070175438</v>
      </c>
      <c r="C48" s="87">
        <v>1.4123912679703268</v>
      </c>
      <c r="D48" s="87">
        <v>8.1360090017328393</v>
      </c>
      <c r="E48" s="87">
        <v>2.8991502407658967E-7</v>
      </c>
      <c r="F48" s="87">
        <v>8.5113429981912265</v>
      </c>
      <c r="G48" s="87">
        <v>14.47111314215965</v>
      </c>
      <c r="H48" s="87">
        <v>8.5113429981912265</v>
      </c>
      <c r="I48" s="87">
        <v>14.47111314215965</v>
      </c>
    </row>
    <row r="49" spans="1:9" ht="16" thickBot="1">
      <c r="A49" s="88" t="s">
        <v>64</v>
      </c>
      <c r="B49" s="529">
        <v>0.16666666666666669</v>
      </c>
      <c r="C49" s="88">
        <v>0.12387490879725983</v>
      </c>
      <c r="D49" s="88">
        <v>1.3454433047409309</v>
      </c>
      <c r="E49" s="88">
        <v>0.19615487765488171</v>
      </c>
      <c r="F49" s="88">
        <v>-9.4686543233039044E-2</v>
      </c>
      <c r="G49" s="88">
        <v>0.42801987656637241</v>
      </c>
      <c r="H49" s="88">
        <v>-9.4686543233039044E-2</v>
      </c>
      <c r="I49" s="88">
        <v>0.42801987656637241</v>
      </c>
    </row>
    <row r="51" spans="1:9">
      <c r="A51" s="530" t="s">
        <v>310</v>
      </c>
    </row>
    <row r="52" spans="1:9">
      <c r="A52" s="39" t="s">
        <v>226</v>
      </c>
      <c r="B52" s="8"/>
      <c r="C52" s="8"/>
    </row>
    <row r="54" spans="1:9">
      <c r="A54" t="s">
        <v>311</v>
      </c>
    </row>
    <row r="56" spans="1:9">
      <c r="A56" s="325"/>
    </row>
    <row r="76" spans="1:6">
      <c r="A76" s="531" t="s">
        <v>312</v>
      </c>
      <c r="B76" s="253"/>
      <c r="C76" s="253"/>
      <c r="D76" s="283"/>
      <c r="E76" s="283"/>
      <c r="F76" s="283"/>
    </row>
    <row r="77" spans="1:6">
      <c r="A77" s="531" t="s">
        <v>227</v>
      </c>
      <c r="B77" s="253"/>
      <c r="C77" s="253"/>
      <c r="D77" s="283"/>
      <c r="E77" s="283"/>
      <c r="F77" s="283"/>
    </row>
    <row r="78" spans="1:6">
      <c r="A78" s="532" t="s">
        <v>228</v>
      </c>
      <c r="B78" s="253"/>
      <c r="C78" s="253"/>
      <c r="D78" s="283"/>
      <c r="E78" s="283"/>
      <c r="F78" s="283"/>
    </row>
    <row r="79" spans="1:6">
      <c r="A79" s="531" t="s">
        <v>313</v>
      </c>
      <c r="B79" s="253"/>
      <c r="C79" s="253"/>
      <c r="D79" s="283"/>
      <c r="E79" s="283"/>
      <c r="F79" s="283"/>
    </row>
  </sheetData>
  <mergeCells count="5">
    <mergeCell ref="I4:L4"/>
    <mergeCell ref="I5:K5"/>
    <mergeCell ref="I6:K6"/>
    <mergeCell ref="I11:K11"/>
    <mergeCell ref="I12:K1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64"/>
  <sheetViews>
    <sheetView topLeftCell="A10" zoomScaleNormal="100" workbookViewId="0">
      <selection activeCell="E24" sqref="E24:I26"/>
    </sheetView>
  </sheetViews>
  <sheetFormatPr baseColWidth="10" defaultColWidth="8.83203125" defaultRowHeight="15"/>
  <cols>
    <col min="1" max="1" width="16.83203125" customWidth="1"/>
    <col min="2" max="2" width="11.6640625" customWidth="1"/>
    <col min="3" max="3" width="18.33203125" customWidth="1"/>
    <col min="4" max="4" width="19.83203125" style="30" bestFit="1" customWidth="1"/>
    <col min="5" max="5" width="19.83203125" style="30" customWidth="1"/>
    <col min="6" max="6" width="11.6640625" style="30" customWidth="1"/>
    <col min="7" max="7" width="12.6640625" customWidth="1"/>
    <col min="9" max="9" width="9.83203125" style="11" customWidth="1"/>
    <col min="10" max="10" width="11.5" customWidth="1"/>
    <col min="11" max="11" width="11.33203125" customWidth="1"/>
    <col min="15" max="15" width="18.33203125" customWidth="1"/>
    <col min="252" max="252" width="11.6640625" customWidth="1"/>
    <col min="254" max="254" width="19.83203125" bestFit="1" customWidth="1"/>
    <col min="255" max="255" width="19.83203125" customWidth="1"/>
    <col min="256" max="256" width="11.6640625" customWidth="1"/>
    <col min="257" max="257" width="12.6640625" customWidth="1"/>
    <col min="259" max="259" width="18.6640625" bestFit="1" customWidth="1"/>
    <col min="260" max="260" width="11.6640625" customWidth="1"/>
    <col min="261" max="261" width="15.5" customWidth="1"/>
    <col min="264" max="264" width="13.5" customWidth="1"/>
    <col min="265" max="265" width="10.5" customWidth="1"/>
    <col min="266" max="266" width="11.5" customWidth="1"/>
    <col min="267" max="267" width="11.33203125" customWidth="1"/>
    <col min="508" max="508" width="11.6640625" customWidth="1"/>
    <col min="510" max="510" width="19.83203125" bestFit="1" customWidth="1"/>
    <col min="511" max="511" width="19.83203125" customWidth="1"/>
    <col min="512" max="512" width="11.6640625" customWidth="1"/>
    <col min="513" max="513" width="12.6640625" customWidth="1"/>
    <col min="515" max="515" width="18.6640625" bestFit="1" customWidth="1"/>
    <col min="516" max="516" width="11.6640625" customWidth="1"/>
    <col min="517" max="517" width="15.5" customWidth="1"/>
    <col min="520" max="520" width="13.5" customWidth="1"/>
    <col min="521" max="521" width="10.5" customWidth="1"/>
    <col min="522" max="522" width="11.5" customWidth="1"/>
    <col min="523" max="523" width="11.33203125" customWidth="1"/>
    <col min="764" max="764" width="11.6640625" customWidth="1"/>
    <col min="766" max="766" width="19.83203125" bestFit="1" customWidth="1"/>
    <col min="767" max="767" width="19.83203125" customWidth="1"/>
    <col min="768" max="768" width="11.6640625" customWidth="1"/>
    <col min="769" max="769" width="12.6640625" customWidth="1"/>
    <col min="771" max="771" width="18.6640625" bestFit="1" customWidth="1"/>
    <col min="772" max="772" width="11.6640625" customWidth="1"/>
    <col min="773" max="773" width="15.5" customWidth="1"/>
    <col min="776" max="776" width="13.5" customWidth="1"/>
    <col min="777" max="777" width="10.5" customWidth="1"/>
    <col min="778" max="778" width="11.5" customWidth="1"/>
    <col min="779" max="779" width="11.33203125" customWidth="1"/>
    <col min="1020" max="1020" width="11.6640625" customWidth="1"/>
    <col min="1022" max="1022" width="19.83203125" bestFit="1" customWidth="1"/>
    <col min="1023" max="1023" width="19.83203125" customWidth="1"/>
    <col min="1024" max="1024" width="11.6640625" customWidth="1"/>
    <col min="1025" max="1025" width="12.6640625" customWidth="1"/>
    <col min="1027" max="1027" width="18.6640625" bestFit="1" customWidth="1"/>
    <col min="1028" max="1028" width="11.6640625" customWidth="1"/>
    <col min="1029" max="1029" width="15.5" customWidth="1"/>
    <col min="1032" max="1032" width="13.5" customWidth="1"/>
    <col min="1033" max="1033" width="10.5" customWidth="1"/>
    <col min="1034" max="1034" width="11.5" customWidth="1"/>
    <col min="1035" max="1035" width="11.33203125" customWidth="1"/>
    <col min="1276" max="1276" width="11.6640625" customWidth="1"/>
    <col min="1278" max="1278" width="19.83203125" bestFit="1" customWidth="1"/>
    <col min="1279" max="1279" width="19.83203125" customWidth="1"/>
    <col min="1280" max="1280" width="11.6640625" customWidth="1"/>
    <col min="1281" max="1281" width="12.6640625" customWidth="1"/>
    <col min="1283" max="1283" width="18.6640625" bestFit="1" customWidth="1"/>
    <col min="1284" max="1284" width="11.6640625" customWidth="1"/>
    <col min="1285" max="1285" width="15.5" customWidth="1"/>
    <col min="1288" max="1288" width="13.5" customWidth="1"/>
    <col min="1289" max="1289" width="10.5" customWidth="1"/>
    <col min="1290" max="1290" width="11.5" customWidth="1"/>
    <col min="1291" max="1291" width="11.33203125" customWidth="1"/>
    <col min="1532" max="1532" width="11.6640625" customWidth="1"/>
    <col min="1534" max="1534" width="19.83203125" bestFit="1" customWidth="1"/>
    <col min="1535" max="1535" width="19.83203125" customWidth="1"/>
    <col min="1536" max="1536" width="11.6640625" customWidth="1"/>
    <col min="1537" max="1537" width="12.6640625" customWidth="1"/>
    <col min="1539" max="1539" width="18.6640625" bestFit="1" customWidth="1"/>
    <col min="1540" max="1540" width="11.6640625" customWidth="1"/>
    <col min="1541" max="1541" width="15.5" customWidth="1"/>
    <col min="1544" max="1544" width="13.5" customWidth="1"/>
    <col min="1545" max="1545" width="10.5" customWidth="1"/>
    <col min="1546" max="1546" width="11.5" customWidth="1"/>
    <col min="1547" max="1547" width="11.33203125" customWidth="1"/>
    <col min="1788" max="1788" width="11.6640625" customWidth="1"/>
    <col min="1790" max="1790" width="19.83203125" bestFit="1" customWidth="1"/>
    <col min="1791" max="1791" width="19.83203125" customWidth="1"/>
    <col min="1792" max="1792" width="11.6640625" customWidth="1"/>
    <col min="1793" max="1793" width="12.6640625" customWidth="1"/>
    <col min="1795" max="1795" width="18.6640625" bestFit="1" customWidth="1"/>
    <col min="1796" max="1796" width="11.6640625" customWidth="1"/>
    <col min="1797" max="1797" width="15.5" customWidth="1"/>
    <col min="1800" max="1800" width="13.5" customWidth="1"/>
    <col min="1801" max="1801" width="10.5" customWidth="1"/>
    <col min="1802" max="1802" width="11.5" customWidth="1"/>
    <col min="1803" max="1803" width="11.33203125" customWidth="1"/>
    <col min="2044" max="2044" width="11.6640625" customWidth="1"/>
    <col min="2046" max="2046" width="19.83203125" bestFit="1" customWidth="1"/>
    <col min="2047" max="2047" width="19.83203125" customWidth="1"/>
    <col min="2048" max="2048" width="11.6640625" customWidth="1"/>
    <col min="2049" max="2049" width="12.6640625" customWidth="1"/>
    <col min="2051" max="2051" width="18.6640625" bestFit="1" customWidth="1"/>
    <col min="2052" max="2052" width="11.6640625" customWidth="1"/>
    <col min="2053" max="2053" width="15.5" customWidth="1"/>
    <col min="2056" max="2056" width="13.5" customWidth="1"/>
    <col min="2057" max="2057" width="10.5" customWidth="1"/>
    <col min="2058" max="2058" width="11.5" customWidth="1"/>
    <col min="2059" max="2059" width="11.33203125" customWidth="1"/>
    <col min="2300" max="2300" width="11.6640625" customWidth="1"/>
    <col min="2302" max="2302" width="19.83203125" bestFit="1" customWidth="1"/>
    <col min="2303" max="2303" width="19.83203125" customWidth="1"/>
    <col min="2304" max="2304" width="11.6640625" customWidth="1"/>
    <col min="2305" max="2305" width="12.6640625" customWidth="1"/>
    <col min="2307" max="2307" width="18.6640625" bestFit="1" customWidth="1"/>
    <col min="2308" max="2308" width="11.6640625" customWidth="1"/>
    <col min="2309" max="2309" width="15.5" customWidth="1"/>
    <col min="2312" max="2312" width="13.5" customWidth="1"/>
    <col min="2313" max="2313" width="10.5" customWidth="1"/>
    <col min="2314" max="2314" width="11.5" customWidth="1"/>
    <col min="2315" max="2315" width="11.33203125" customWidth="1"/>
    <col min="2556" max="2556" width="11.6640625" customWidth="1"/>
    <col min="2558" max="2558" width="19.83203125" bestFit="1" customWidth="1"/>
    <col min="2559" max="2559" width="19.83203125" customWidth="1"/>
    <col min="2560" max="2560" width="11.6640625" customWidth="1"/>
    <col min="2561" max="2561" width="12.6640625" customWidth="1"/>
    <col min="2563" max="2563" width="18.6640625" bestFit="1" customWidth="1"/>
    <col min="2564" max="2564" width="11.6640625" customWidth="1"/>
    <col min="2565" max="2565" width="15.5" customWidth="1"/>
    <col min="2568" max="2568" width="13.5" customWidth="1"/>
    <col min="2569" max="2569" width="10.5" customWidth="1"/>
    <col min="2570" max="2570" width="11.5" customWidth="1"/>
    <col min="2571" max="2571" width="11.33203125" customWidth="1"/>
    <col min="2812" max="2812" width="11.6640625" customWidth="1"/>
    <col min="2814" max="2814" width="19.83203125" bestFit="1" customWidth="1"/>
    <col min="2815" max="2815" width="19.83203125" customWidth="1"/>
    <col min="2816" max="2816" width="11.6640625" customWidth="1"/>
    <col min="2817" max="2817" width="12.6640625" customWidth="1"/>
    <col min="2819" max="2819" width="18.6640625" bestFit="1" customWidth="1"/>
    <col min="2820" max="2820" width="11.6640625" customWidth="1"/>
    <col min="2821" max="2821" width="15.5" customWidth="1"/>
    <col min="2824" max="2824" width="13.5" customWidth="1"/>
    <col min="2825" max="2825" width="10.5" customWidth="1"/>
    <col min="2826" max="2826" width="11.5" customWidth="1"/>
    <col min="2827" max="2827" width="11.33203125" customWidth="1"/>
    <col min="3068" max="3068" width="11.6640625" customWidth="1"/>
    <col min="3070" max="3070" width="19.83203125" bestFit="1" customWidth="1"/>
    <col min="3071" max="3071" width="19.83203125" customWidth="1"/>
    <col min="3072" max="3072" width="11.6640625" customWidth="1"/>
    <col min="3073" max="3073" width="12.6640625" customWidth="1"/>
    <col min="3075" max="3075" width="18.6640625" bestFit="1" customWidth="1"/>
    <col min="3076" max="3076" width="11.6640625" customWidth="1"/>
    <col min="3077" max="3077" width="15.5" customWidth="1"/>
    <col min="3080" max="3080" width="13.5" customWidth="1"/>
    <col min="3081" max="3081" width="10.5" customWidth="1"/>
    <col min="3082" max="3082" width="11.5" customWidth="1"/>
    <col min="3083" max="3083" width="11.33203125" customWidth="1"/>
    <col min="3324" max="3324" width="11.6640625" customWidth="1"/>
    <col min="3326" max="3326" width="19.83203125" bestFit="1" customWidth="1"/>
    <col min="3327" max="3327" width="19.83203125" customWidth="1"/>
    <col min="3328" max="3328" width="11.6640625" customWidth="1"/>
    <col min="3329" max="3329" width="12.6640625" customWidth="1"/>
    <col min="3331" max="3331" width="18.6640625" bestFit="1" customWidth="1"/>
    <col min="3332" max="3332" width="11.6640625" customWidth="1"/>
    <col min="3333" max="3333" width="15.5" customWidth="1"/>
    <col min="3336" max="3336" width="13.5" customWidth="1"/>
    <col min="3337" max="3337" width="10.5" customWidth="1"/>
    <col min="3338" max="3338" width="11.5" customWidth="1"/>
    <col min="3339" max="3339" width="11.33203125" customWidth="1"/>
    <col min="3580" max="3580" width="11.6640625" customWidth="1"/>
    <col min="3582" max="3582" width="19.83203125" bestFit="1" customWidth="1"/>
    <col min="3583" max="3583" width="19.83203125" customWidth="1"/>
    <col min="3584" max="3584" width="11.6640625" customWidth="1"/>
    <col min="3585" max="3585" width="12.6640625" customWidth="1"/>
    <col min="3587" max="3587" width="18.6640625" bestFit="1" customWidth="1"/>
    <col min="3588" max="3588" width="11.6640625" customWidth="1"/>
    <col min="3589" max="3589" width="15.5" customWidth="1"/>
    <col min="3592" max="3592" width="13.5" customWidth="1"/>
    <col min="3593" max="3593" width="10.5" customWidth="1"/>
    <col min="3594" max="3594" width="11.5" customWidth="1"/>
    <col min="3595" max="3595" width="11.33203125" customWidth="1"/>
    <col min="3836" max="3836" width="11.6640625" customWidth="1"/>
    <col min="3838" max="3838" width="19.83203125" bestFit="1" customWidth="1"/>
    <col min="3839" max="3839" width="19.83203125" customWidth="1"/>
    <col min="3840" max="3840" width="11.6640625" customWidth="1"/>
    <col min="3841" max="3841" width="12.6640625" customWidth="1"/>
    <col min="3843" max="3843" width="18.6640625" bestFit="1" customWidth="1"/>
    <col min="3844" max="3844" width="11.6640625" customWidth="1"/>
    <col min="3845" max="3845" width="15.5" customWidth="1"/>
    <col min="3848" max="3848" width="13.5" customWidth="1"/>
    <col min="3849" max="3849" width="10.5" customWidth="1"/>
    <col min="3850" max="3850" width="11.5" customWidth="1"/>
    <col min="3851" max="3851" width="11.33203125" customWidth="1"/>
    <col min="4092" max="4092" width="11.6640625" customWidth="1"/>
    <col min="4094" max="4094" width="19.83203125" bestFit="1" customWidth="1"/>
    <col min="4095" max="4095" width="19.83203125" customWidth="1"/>
    <col min="4096" max="4096" width="11.6640625" customWidth="1"/>
    <col min="4097" max="4097" width="12.6640625" customWidth="1"/>
    <col min="4099" max="4099" width="18.6640625" bestFit="1" customWidth="1"/>
    <col min="4100" max="4100" width="11.6640625" customWidth="1"/>
    <col min="4101" max="4101" width="15.5" customWidth="1"/>
    <col min="4104" max="4104" width="13.5" customWidth="1"/>
    <col min="4105" max="4105" width="10.5" customWidth="1"/>
    <col min="4106" max="4106" width="11.5" customWidth="1"/>
    <col min="4107" max="4107" width="11.33203125" customWidth="1"/>
    <col min="4348" max="4348" width="11.6640625" customWidth="1"/>
    <col min="4350" max="4350" width="19.83203125" bestFit="1" customWidth="1"/>
    <col min="4351" max="4351" width="19.83203125" customWidth="1"/>
    <col min="4352" max="4352" width="11.6640625" customWidth="1"/>
    <col min="4353" max="4353" width="12.6640625" customWidth="1"/>
    <col min="4355" max="4355" width="18.6640625" bestFit="1" customWidth="1"/>
    <col min="4356" max="4356" width="11.6640625" customWidth="1"/>
    <col min="4357" max="4357" width="15.5" customWidth="1"/>
    <col min="4360" max="4360" width="13.5" customWidth="1"/>
    <col min="4361" max="4361" width="10.5" customWidth="1"/>
    <col min="4362" max="4362" width="11.5" customWidth="1"/>
    <col min="4363" max="4363" width="11.33203125" customWidth="1"/>
    <col min="4604" max="4604" width="11.6640625" customWidth="1"/>
    <col min="4606" max="4606" width="19.83203125" bestFit="1" customWidth="1"/>
    <col min="4607" max="4607" width="19.83203125" customWidth="1"/>
    <col min="4608" max="4608" width="11.6640625" customWidth="1"/>
    <col min="4609" max="4609" width="12.6640625" customWidth="1"/>
    <col min="4611" max="4611" width="18.6640625" bestFit="1" customWidth="1"/>
    <col min="4612" max="4612" width="11.6640625" customWidth="1"/>
    <col min="4613" max="4613" width="15.5" customWidth="1"/>
    <col min="4616" max="4616" width="13.5" customWidth="1"/>
    <col min="4617" max="4617" width="10.5" customWidth="1"/>
    <col min="4618" max="4618" width="11.5" customWidth="1"/>
    <col min="4619" max="4619" width="11.33203125" customWidth="1"/>
    <col min="4860" max="4860" width="11.6640625" customWidth="1"/>
    <col min="4862" max="4862" width="19.83203125" bestFit="1" customWidth="1"/>
    <col min="4863" max="4863" width="19.83203125" customWidth="1"/>
    <col min="4864" max="4864" width="11.6640625" customWidth="1"/>
    <col min="4865" max="4865" width="12.6640625" customWidth="1"/>
    <col min="4867" max="4867" width="18.6640625" bestFit="1" customWidth="1"/>
    <col min="4868" max="4868" width="11.6640625" customWidth="1"/>
    <col min="4869" max="4869" width="15.5" customWidth="1"/>
    <col min="4872" max="4872" width="13.5" customWidth="1"/>
    <col min="4873" max="4873" width="10.5" customWidth="1"/>
    <col min="4874" max="4874" width="11.5" customWidth="1"/>
    <col min="4875" max="4875" width="11.33203125" customWidth="1"/>
    <col min="5116" max="5116" width="11.6640625" customWidth="1"/>
    <col min="5118" max="5118" width="19.83203125" bestFit="1" customWidth="1"/>
    <col min="5119" max="5119" width="19.83203125" customWidth="1"/>
    <col min="5120" max="5120" width="11.6640625" customWidth="1"/>
    <col min="5121" max="5121" width="12.6640625" customWidth="1"/>
    <col min="5123" max="5123" width="18.6640625" bestFit="1" customWidth="1"/>
    <col min="5124" max="5124" width="11.6640625" customWidth="1"/>
    <col min="5125" max="5125" width="15.5" customWidth="1"/>
    <col min="5128" max="5128" width="13.5" customWidth="1"/>
    <col min="5129" max="5129" width="10.5" customWidth="1"/>
    <col min="5130" max="5130" width="11.5" customWidth="1"/>
    <col min="5131" max="5131" width="11.33203125" customWidth="1"/>
    <col min="5372" max="5372" width="11.6640625" customWidth="1"/>
    <col min="5374" max="5374" width="19.83203125" bestFit="1" customWidth="1"/>
    <col min="5375" max="5375" width="19.83203125" customWidth="1"/>
    <col min="5376" max="5376" width="11.6640625" customWidth="1"/>
    <col min="5377" max="5377" width="12.6640625" customWidth="1"/>
    <col min="5379" max="5379" width="18.6640625" bestFit="1" customWidth="1"/>
    <col min="5380" max="5380" width="11.6640625" customWidth="1"/>
    <col min="5381" max="5381" width="15.5" customWidth="1"/>
    <col min="5384" max="5384" width="13.5" customWidth="1"/>
    <col min="5385" max="5385" width="10.5" customWidth="1"/>
    <col min="5386" max="5386" width="11.5" customWidth="1"/>
    <col min="5387" max="5387" width="11.33203125" customWidth="1"/>
    <col min="5628" max="5628" width="11.6640625" customWidth="1"/>
    <col min="5630" max="5630" width="19.83203125" bestFit="1" customWidth="1"/>
    <col min="5631" max="5631" width="19.83203125" customWidth="1"/>
    <col min="5632" max="5632" width="11.6640625" customWidth="1"/>
    <col min="5633" max="5633" width="12.6640625" customWidth="1"/>
    <col min="5635" max="5635" width="18.6640625" bestFit="1" customWidth="1"/>
    <col min="5636" max="5636" width="11.6640625" customWidth="1"/>
    <col min="5637" max="5637" width="15.5" customWidth="1"/>
    <col min="5640" max="5640" width="13.5" customWidth="1"/>
    <col min="5641" max="5641" width="10.5" customWidth="1"/>
    <col min="5642" max="5642" width="11.5" customWidth="1"/>
    <col min="5643" max="5643" width="11.33203125" customWidth="1"/>
    <col min="5884" max="5884" width="11.6640625" customWidth="1"/>
    <col min="5886" max="5886" width="19.83203125" bestFit="1" customWidth="1"/>
    <col min="5887" max="5887" width="19.83203125" customWidth="1"/>
    <col min="5888" max="5888" width="11.6640625" customWidth="1"/>
    <col min="5889" max="5889" width="12.6640625" customWidth="1"/>
    <col min="5891" max="5891" width="18.6640625" bestFit="1" customWidth="1"/>
    <col min="5892" max="5892" width="11.6640625" customWidth="1"/>
    <col min="5893" max="5893" width="15.5" customWidth="1"/>
    <col min="5896" max="5896" width="13.5" customWidth="1"/>
    <col min="5897" max="5897" width="10.5" customWidth="1"/>
    <col min="5898" max="5898" width="11.5" customWidth="1"/>
    <col min="5899" max="5899" width="11.33203125" customWidth="1"/>
    <col min="6140" max="6140" width="11.6640625" customWidth="1"/>
    <col min="6142" max="6142" width="19.83203125" bestFit="1" customWidth="1"/>
    <col min="6143" max="6143" width="19.83203125" customWidth="1"/>
    <col min="6144" max="6144" width="11.6640625" customWidth="1"/>
    <col min="6145" max="6145" width="12.6640625" customWidth="1"/>
    <col min="6147" max="6147" width="18.6640625" bestFit="1" customWidth="1"/>
    <col min="6148" max="6148" width="11.6640625" customWidth="1"/>
    <col min="6149" max="6149" width="15.5" customWidth="1"/>
    <col min="6152" max="6152" width="13.5" customWidth="1"/>
    <col min="6153" max="6153" width="10.5" customWidth="1"/>
    <col min="6154" max="6154" width="11.5" customWidth="1"/>
    <col min="6155" max="6155" width="11.33203125" customWidth="1"/>
    <col min="6396" max="6396" width="11.6640625" customWidth="1"/>
    <col min="6398" max="6398" width="19.83203125" bestFit="1" customWidth="1"/>
    <col min="6399" max="6399" width="19.83203125" customWidth="1"/>
    <col min="6400" max="6400" width="11.6640625" customWidth="1"/>
    <col min="6401" max="6401" width="12.6640625" customWidth="1"/>
    <col min="6403" max="6403" width="18.6640625" bestFit="1" customWidth="1"/>
    <col min="6404" max="6404" width="11.6640625" customWidth="1"/>
    <col min="6405" max="6405" width="15.5" customWidth="1"/>
    <col min="6408" max="6408" width="13.5" customWidth="1"/>
    <col min="6409" max="6409" width="10.5" customWidth="1"/>
    <col min="6410" max="6410" width="11.5" customWidth="1"/>
    <col min="6411" max="6411" width="11.33203125" customWidth="1"/>
    <col min="6652" max="6652" width="11.6640625" customWidth="1"/>
    <col min="6654" max="6654" width="19.83203125" bestFit="1" customWidth="1"/>
    <col min="6655" max="6655" width="19.83203125" customWidth="1"/>
    <col min="6656" max="6656" width="11.6640625" customWidth="1"/>
    <col min="6657" max="6657" width="12.6640625" customWidth="1"/>
    <col min="6659" max="6659" width="18.6640625" bestFit="1" customWidth="1"/>
    <col min="6660" max="6660" width="11.6640625" customWidth="1"/>
    <col min="6661" max="6661" width="15.5" customWidth="1"/>
    <col min="6664" max="6664" width="13.5" customWidth="1"/>
    <col min="6665" max="6665" width="10.5" customWidth="1"/>
    <col min="6666" max="6666" width="11.5" customWidth="1"/>
    <col min="6667" max="6667" width="11.33203125" customWidth="1"/>
    <col min="6908" max="6908" width="11.6640625" customWidth="1"/>
    <col min="6910" max="6910" width="19.83203125" bestFit="1" customWidth="1"/>
    <col min="6911" max="6911" width="19.83203125" customWidth="1"/>
    <col min="6912" max="6912" width="11.6640625" customWidth="1"/>
    <col min="6913" max="6913" width="12.6640625" customWidth="1"/>
    <col min="6915" max="6915" width="18.6640625" bestFit="1" customWidth="1"/>
    <col min="6916" max="6916" width="11.6640625" customWidth="1"/>
    <col min="6917" max="6917" width="15.5" customWidth="1"/>
    <col min="6920" max="6920" width="13.5" customWidth="1"/>
    <col min="6921" max="6921" width="10.5" customWidth="1"/>
    <col min="6922" max="6922" width="11.5" customWidth="1"/>
    <col min="6923" max="6923" width="11.33203125" customWidth="1"/>
    <col min="7164" max="7164" width="11.6640625" customWidth="1"/>
    <col min="7166" max="7166" width="19.83203125" bestFit="1" customWidth="1"/>
    <col min="7167" max="7167" width="19.83203125" customWidth="1"/>
    <col min="7168" max="7168" width="11.6640625" customWidth="1"/>
    <col min="7169" max="7169" width="12.6640625" customWidth="1"/>
    <col min="7171" max="7171" width="18.6640625" bestFit="1" customWidth="1"/>
    <col min="7172" max="7172" width="11.6640625" customWidth="1"/>
    <col min="7173" max="7173" width="15.5" customWidth="1"/>
    <col min="7176" max="7176" width="13.5" customWidth="1"/>
    <col min="7177" max="7177" width="10.5" customWidth="1"/>
    <col min="7178" max="7178" width="11.5" customWidth="1"/>
    <col min="7179" max="7179" width="11.33203125" customWidth="1"/>
    <col min="7420" max="7420" width="11.6640625" customWidth="1"/>
    <col min="7422" max="7422" width="19.83203125" bestFit="1" customWidth="1"/>
    <col min="7423" max="7423" width="19.83203125" customWidth="1"/>
    <col min="7424" max="7424" width="11.6640625" customWidth="1"/>
    <col min="7425" max="7425" width="12.6640625" customWidth="1"/>
    <col min="7427" max="7427" width="18.6640625" bestFit="1" customWidth="1"/>
    <col min="7428" max="7428" width="11.6640625" customWidth="1"/>
    <col min="7429" max="7429" width="15.5" customWidth="1"/>
    <col min="7432" max="7432" width="13.5" customWidth="1"/>
    <col min="7433" max="7433" width="10.5" customWidth="1"/>
    <col min="7434" max="7434" width="11.5" customWidth="1"/>
    <col min="7435" max="7435" width="11.33203125" customWidth="1"/>
    <col min="7676" max="7676" width="11.6640625" customWidth="1"/>
    <col min="7678" max="7678" width="19.83203125" bestFit="1" customWidth="1"/>
    <col min="7679" max="7679" width="19.83203125" customWidth="1"/>
    <col min="7680" max="7680" width="11.6640625" customWidth="1"/>
    <col min="7681" max="7681" width="12.6640625" customWidth="1"/>
    <col min="7683" max="7683" width="18.6640625" bestFit="1" customWidth="1"/>
    <col min="7684" max="7684" width="11.6640625" customWidth="1"/>
    <col min="7685" max="7685" width="15.5" customWidth="1"/>
    <col min="7688" max="7688" width="13.5" customWidth="1"/>
    <col min="7689" max="7689" width="10.5" customWidth="1"/>
    <col min="7690" max="7690" width="11.5" customWidth="1"/>
    <col min="7691" max="7691" width="11.33203125" customWidth="1"/>
    <col min="7932" max="7932" width="11.6640625" customWidth="1"/>
    <col min="7934" max="7934" width="19.83203125" bestFit="1" customWidth="1"/>
    <col min="7935" max="7935" width="19.83203125" customWidth="1"/>
    <col min="7936" max="7936" width="11.6640625" customWidth="1"/>
    <col min="7937" max="7937" width="12.6640625" customWidth="1"/>
    <col min="7939" max="7939" width="18.6640625" bestFit="1" customWidth="1"/>
    <col min="7940" max="7940" width="11.6640625" customWidth="1"/>
    <col min="7941" max="7941" width="15.5" customWidth="1"/>
    <col min="7944" max="7944" width="13.5" customWidth="1"/>
    <col min="7945" max="7945" width="10.5" customWidth="1"/>
    <col min="7946" max="7946" width="11.5" customWidth="1"/>
    <col min="7947" max="7947" width="11.33203125" customWidth="1"/>
    <col min="8188" max="8188" width="11.6640625" customWidth="1"/>
    <col min="8190" max="8190" width="19.83203125" bestFit="1" customWidth="1"/>
    <col min="8191" max="8191" width="19.83203125" customWidth="1"/>
    <col min="8192" max="8192" width="11.6640625" customWidth="1"/>
    <col min="8193" max="8193" width="12.6640625" customWidth="1"/>
    <col min="8195" max="8195" width="18.6640625" bestFit="1" customWidth="1"/>
    <col min="8196" max="8196" width="11.6640625" customWidth="1"/>
    <col min="8197" max="8197" width="15.5" customWidth="1"/>
    <col min="8200" max="8200" width="13.5" customWidth="1"/>
    <col min="8201" max="8201" width="10.5" customWidth="1"/>
    <col min="8202" max="8202" width="11.5" customWidth="1"/>
    <col min="8203" max="8203" width="11.33203125" customWidth="1"/>
    <col min="8444" max="8444" width="11.6640625" customWidth="1"/>
    <col min="8446" max="8446" width="19.83203125" bestFit="1" customWidth="1"/>
    <col min="8447" max="8447" width="19.83203125" customWidth="1"/>
    <col min="8448" max="8448" width="11.6640625" customWidth="1"/>
    <col min="8449" max="8449" width="12.6640625" customWidth="1"/>
    <col min="8451" max="8451" width="18.6640625" bestFit="1" customWidth="1"/>
    <col min="8452" max="8452" width="11.6640625" customWidth="1"/>
    <col min="8453" max="8453" width="15.5" customWidth="1"/>
    <col min="8456" max="8456" width="13.5" customWidth="1"/>
    <col min="8457" max="8457" width="10.5" customWidth="1"/>
    <col min="8458" max="8458" width="11.5" customWidth="1"/>
    <col min="8459" max="8459" width="11.33203125" customWidth="1"/>
    <col min="8700" max="8700" width="11.6640625" customWidth="1"/>
    <col min="8702" max="8702" width="19.83203125" bestFit="1" customWidth="1"/>
    <col min="8703" max="8703" width="19.83203125" customWidth="1"/>
    <col min="8704" max="8704" width="11.6640625" customWidth="1"/>
    <col min="8705" max="8705" width="12.6640625" customWidth="1"/>
    <col min="8707" max="8707" width="18.6640625" bestFit="1" customWidth="1"/>
    <col min="8708" max="8708" width="11.6640625" customWidth="1"/>
    <col min="8709" max="8709" width="15.5" customWidth="1"/>
    <col min="8712" max="8712" width="13.5" customWidth="1"/>
    <col min="8713" max="8713" width="10.5" customWidth="1"/>
    <col min="8714" max="8714" width="11.5" customWidth="1"/>
    <col min="8715" max="8715" width="11.33203125" customWidth="1"/>
    <col min="8956" max="8956" width="11.6640625" customWidth="1"/>
    <col min="8958" max="8958" width="19.83203125" bestFit="1" customWidth="1"/>
    <col min="8959" max="8959" width="19.83203125" customWidth="1"/>
    <col min="8960" max="8960" width="11.6640625" customWidth="1"/>
    <col min="8961" max="8961" width="12.6640625" customWidth="1"/>
    <col min="8963" max="8963" width="18.6640625" bestFit="1" customWidth="1"/>
    <col min="8964" max="8964" width="11.6640625" customWidth="1"/>
    <col min="8965" max="8965" width="15.5" customWidth="1"/>
    <col min="8968" max="8968" width="13.5" customWidth="1"/>
    <col min="8969" max="8969" width="10.5" customWidth="1"/>
    <col min="8970" max="8970" width="11.5" customWidth="1"/>
    <col min="8971" max="8971" width="11.33203125" customWidth="1"/>
    <col min="9212" max="9212" width="11.6640625" customWidth="1"/>
    <col min="9214" max="9214" width="19.83203125" bestFit="1" customWidth="1"/>
    <col min="9215" max="9215" width="19.83203125" customWidth="1"/>
    <col min="9216" max="9216" width="11.6640625" customWidth="1"/>
    <col min="9217" max="9217" width="12.6640625" customWidth="1"/>
    <col min="9219" max="9219" width="18.6640625" bestFit="1" customWidth="1"/>
    <col min="9220" max="9220" width="11.6640625" customWidth="1"/>
    <col min="9221" max="9221" width="15.5" customWidth="1"/>
    <col min="9224" max="9224" width="13.5" customWidth="1"/>
    <col min="9225" max="9225" width="10.5" customWidth="1"/>
    <col min="9226" max="9226" width="11.5" customWidth="1"/>
    <col min="9227" max="9227" width="11.33203125" customWidth="1"/>
    <col min="9468" max="9468" width="11.6640625" customWidth="1"/>
    <col min="9470" max="9470" width="19.83203125" bestFit="1" customWidth="1"/>
    <col min="9471" max="9471" width="19.83203125" customWidth="1"/>
    <col min="9472" max="9472" width="11.6640625" customWidth="1"/>
    <col min="9473" max="9473" width="12.6640625" customWidth="1"/>
    <col min="9475" max="9475" width="18.6640625" bestFit="1" customWidth="1"/>
    <col min="9476" max="9476" width="11.6640625" customWidth="1"/>
    <col min="9477" max="9477" width="15.5" customWidth="1"/>
    <col min="9480" max="9480" width="13.5" customWidth="1"/>
    <col min="9481" max="9481" width="10.5" customWidth="1"/>
    <col min="9482" max="9482" width="11.5" customWidth="1"/>
    <col min="9483" max="9483" width="11.33203125" customWidth="1"/>
    <col min="9724" max="9724" width="11.6640625" customWidth="1"/>
    <col min="9726" max="9726" width="19.83203125" bestFit="1" customWidth="1"/>
    <col min="9727" max="9727" width="19.83203125" customWidth="1"/>
    <col min="9728" max="9728" width="11.6640625" customWidth="1"/>
    <col min="9729" max="9729" width="12.6640625" customWidth="1"/>
    <col min="9731" max="9731" width="18.6640625" bestFit="1" customWidth="1"/>
    <col min="9732" max="9732" width="11.6640625" customWidth="1"/>
    <col min="9733" max="9733" width="15.5" customWidth="1"/>
    <col min="9736" max="9736" width="13.5" customWidth="1"/>
    <col min="9737" max="9737" width="10.5" customWidth="1"/>
    <col min="9738" max="9738" width="11.5" customWidth="1"/>
    <col min="9739" max="9739" width="11.33203125" customWidth="1"/>
    <col min="9980" max="9980" width="11.6640625" customWidth="1"/>
    <col min="9982" max="9982" width="19.83203125" bestFit="1" customWidth="1"/>
    <col min="9983" max="9983" width="19.83203125" customWidth="1"/>
    <col min="9984" max="9984" width="11.6640625" customWidth="1"/>
    <col min="9985" max="9985" width="12.6640625" customWidth="1"/>
    <col min="9987" max="9987" width="18.6640625" bestFit="1" customWidth="1"/>
    <col min="9988" max="9988" width="11.6640625" customWidth="1"/>
    <col min="9989" max="9989" width="15.5" customWidth="1"/>
    <col min="9992" max="9992" width="13.5" customWidth="1"/>
    <col min="9993" max="9993" width="10.5" customWidth="1"/>
    <col min="9994" max="9994" width="11.5" customWidth="1"/>
    <col min="9995" max="9995" width="11.33203125" customWidth="1"/>
    <col min="10236" max="10236" width="11.6640625" customWidth="1"/>
    <col min="10238" max="10238" width="19.83203125" bestFit="1" customWidth="1"/>
    <col min="10239" max="10239" width="19.83203125" customWidth="1"/>
    <col min="10240" max="10240" width="11.6640625" customWidth="1"/>
    <col min="10241" max="10241" width="12.6640625" customWidth="1"/>
    <col min="10243" max="10243" width="18.6640625" bestFit="1" customWidth="1"/>
    <col min="10244" max="10244" width="11.6640625" customWidth="1"/>
    <col min="10245" max="10245" width="15.5" customWidth="1"/>
    <col min="10248" max="10248" width="13.5" customWidth="1"/>
    <col min="10249" max="10249" width="10.5" customWidth="1"/>
    <col min="10250" max="10250" width="11.5" customWidth="1"/>
    <col min="10251" max="10251" width="11.33203125" customWidth="1"/>
    <col min="10492" max="10492" width="11.6640625" customWidth="1"/>
    <col min="10494" max="10494" width="19.83203125" bestFit="1" customWidth="1"/>
    <col min="10495" max="10495" width="19.83203125" customWidth="1"/>
    <col min="10496" max="10496" width="11.6640625" customWidth="1"/>
    <col min="10497" max="10497" width="12.6640625" customWidth="1"/>
    <col min="10499" max="10499" width="18.6640625" bestFit="1" customWidth="1"/>
    <col min="10500" max="10500" width="11.6640625" customWidth="1"/>
    <col min="10501" max="10501" width="15.5" customWidth="1"/>
    <col min="10504" max="10504" width="13.5" customWidth="1"/>
    <col min="10505" max="10505" width="10.5" customWidth="1"/>
    <col min="10506" max="10506" width="11.5" customWidth="1"/>
    <col min="10507" max="10507" width="11.33203125" customWidth="1"/>
    <col min="10748" max="10748" width="11.6640625" customWidth="1"/>
    <col min="10750" max="10750" width="19.83203125" bestFit="1" customWidth="1"/>
    <col min="10751" max="10751" width="19.83203125" customWidth="1"/>
    <col min="10752" max="10752" width="11.6640625" customWidth="1"/>
    <col min="10753" max="10753" width="12.6640625" customWidth="1"/>
    <col min="10755" max="10755" width="18.6640625" bestFit="1" customWidth="1"/>
    <col min="10756" max="10756" width="11.6640625" customWidth="1"/>
    <col min="10757" max="10757" width="15.5" customWidth="1"/>
    <col min="10760" max="10760" width="13.5" customWidth="1"/>
    <col min="10761" max="10761" width="10.5" customWidth="1"/>
    <col min="10762" max="10762" width="11.5" customWidth="1"/>
    <col min="10763" max="10763" width="11.33203125" customWidth="1"/>
    <col min="11004" max="11004" width="11.6640625" customWidth="1"/>
    <col min="11006" max="11006" width="19.83203125" bestFit="1" customWidth="1"/>
    <col min="11007" max="11007" width="19.83203125" customWidth="1"/>
    <col min="11008" max="11008" width="11.6640625" customWidth="1"/>
    <col min="11009" max="11009" width="12.6640625" customWidth="1"/>
    <col min="11011" max="11011" width="18.6640625" bestFit="1" customWidth="1"/>
    <col min="11012" max="11012" width="11.6640625" customWidth="1"/>
    <col min="11013" max="11013" width="15.5" customWidth="1"/>
    <col min="11016" max="11016" width="13.5" customWidth="1"/>
    <col min="11017" max="11017" width="10.5" customWidth="1"/>
    <col min="11018" max="11018" width="11.5" customWidth="1"/>
    <col min="11019" max="11019" width="11.33203125" customWidth="1"/>
    <col min="11260" max="11260" width="11.6640625" customWidth="1"/>
    <col min="11262" max="11262" width="19.83203125" bestFit="1" customWidth="1"/>
    <col min="11263" max="11263" width="19.83203125" customWidth="1"/>
    <col min="11264" max="11264" width="11.6640625" customWidth="1"/>
    <col min="11265" max="11265" width="12.6640625" customWidth="1"/>
    <col min="11267" max="11267" width="18.6640625" bestFit="1" customWidth="1"/>
    <col min="11268" max="11268" width="11.6640625" customWidth="1"/>
    <col min="11269" max="11269" width="15.5" customWidth="1"/>
    <col min="11272" max="11272" width="13.5" customWidth="1"/>
    <col min="11273" max="11273" width="10.5" customWidth="1"/>
    <col min="11274" max="11274" width="11.5" customWidth="1"/>
    <col min="11275" max="11275" width="11.33203125" customWidth="1"/>
    <col min="11516" max="11516" width="11.6640625" customWidth="1"/>
    <col min="11518" max="11518" width="19.83203125" bestFit="1" customWidth="1"/>
    <col min="11519" max="11519" width="19.83203125" customWidth="1"/>
    <col min="11520" max="11520" width="11.6640625" customWidth="1"/>
    <col min="11521" max="11521" width="12.6640625" customWidth="1"/>
    <col min="11523" max="11523" width="18.6640625" bestFit="1" customWidth="1"/>
    <col min="11524" max="11524" width="11.6640625" customWidth="1"/>
    <col min="11525" max="11525" width="15.5" customWidth="1"/>
    <col min="11528" max="11528" width="13.5" customWidth="1"/>
    <col min="11529" max="11529" width="10.5" customWidth="1"/>
    <col min="11530" max="11530" width="11.5" customWidth="1"/>
    <col min="11531" max="11531" width="11.33203125" customWidth="1"/>
    <col min="11772" max="11772" width="11.6640625" customWidth="1"/>
    <col min="11774" max="11774" width="19.83203125" bestFit="1" customWidth="1"/>
    <col min="11775" max="11775" width="19.83203125" customWidth="1"/>
    <col min="11776" max="11776" width="11.6640625" customWidth="1"/>
    <col min="11777" max="11777" width="12.6640625" customWidth="1"/>
    <col min="11779" max="11779" width="18.6640625" bestFit="1" customWidth="1"/>
    <col min="11780" max="11780" width="11.6640625" customWidth="1"/>
    <col min="11781" max="11781" width="15.5" customWidth="1"/>
    <col min="11784" max="11784" width="13.5" customWidth="1"/>
    <col min="11785" max="11785" width="10.5" customWidth="1"/>
    <col min="11786" max="11786" width="11.5" customWidth="1"/>
    <col min="11787" max="11787" width="11.33203125" customWidth="1"/>
    <col min="12028" max="12028" width="11.6640625" customWidth="1"/>
    <col min="12030" max="12030" width="19.83203125" bestFit="1" customWidth="1"/>
    <col min="12031" max="12031" width="19.83203125" customWidth="1"/>
    <col min="12032" max="12032" width="11.6640625" customWidth="1"/>
    <col min="12033" max="12033" width="12.6640625" customWidth="1"/>
    <col min="12035" max="12035" width="18.6640625" bestFit="1" customWidth="1"/>
    <col min="12036" max="12036" width="11.6640625" customWidth="1"/>
    <col min="12037" max="12037" width="15.5" customWidth="1"/>
    <col min="12040" max="12040" width="13.5" customWidth="1"/>
    <col min="12041" max="12041" width="10.5" customWidth="1"/>
    <col min="12042" max="12042" width="11.5" customWidth="1"/>
    <col min="12043" max="12043" width="11.33203125" customWidth="1"/>
    <col min="12284" max="12284" width="11.6640625" customWidth="1"/>
    <col min="12286" max="12286" width="19.83203125" bestFit="1" customWidth="1"/>
    <col min="12287" max="12287" width="19.83203125" customWidth="1"/>
    <col min="12288" max="12288" width="11.6640625" customWidth="1"/>
    <col min="12289" max="12289" width="12.6640625" customWidth="1"/>
    <col min="12291" max="12291" width="18.6640625" bestFit="1" customWidth="1"/>
    <col min="12292" max="12292" width="11.6640625" customWidth="1"/>
    <col min="12293" max="12293" width="15.5" customWidth="1"/>
    <col min="12296" max="12296" width="13.5" customWidth="1"/>
    <col min="12297" max="12297" width="10.5" customWidth="1"/>
    <col min="12298" max="12298" width="11.5" customWidth="1"/>
    <col min="12299" max="12299" width="11.33203125" customWidth="1"/>
    <col min="12540" max="12540" width="11.6640625" customWidth="1"/>
    <col min="12542" max="12542" width="19.83203125" bestFit="1" customWidth="1"/>
    <col min="12543" max="12543" width="19.83203125" customWidth="1"/>
    <col min="12544" max="12544" width="11.6640625" customWidth="1"/>
    <col min="12545" max="12545" width="12.6640625" customWidth="1"/>
    <col min="12547" max="12547" width="18.6640625" bestFit="1" customWidth="1"/>
    <col min="12548" max="12548" width="11.6640625" customWidth="1"/>
    <col min="12549" max="12549" width="15.5" customWidth="1"/>
    <col min="12552" max="12552" width="13.5" customWidth="1"/>
    <col min="12553" max="12553" width="10.5" customWidth="1"/>
    <col min="12554" max="12554" width="11.5" customWidth="1"/>
    <col min="12555" max="12555" width="11.33203125" customWidth="1"/>
    <col min="12796" max="12796" width="11.6640625" customWidth="1"/>
    <col min="12798" max="12798" width="19.83203125" bestFit="1" customWidth="1"/>
    <col min="12799" max="12799" width="19.83203125" customWidth="1"/>
    <col min="12800" max="12800" width="11.6640625" customWidth="1"/>
    <col min="12801" max="12801" width="12.6640625" customWidth="1"/>
    <col min="12803" max="12803" width="18.6640625" bestFit="1" customWidth="1"/>
    <col min="12804" max="12804" width="11.6640625" customWidth="1"/>
    <col min="12805" max="12805" width="15.5" customWidth="1"/>
    <col min="12808" max="12808" width="13.5" customWidth="1"/>
    <col min="12809" max="12809" width="10.5" customWidth="1"/>
    <col min="12810" max="12810" width="11.5" customWidth="1"/>
    <col min="12811" max="12811" width="11.33203125" customWidth="1"/>
    <col min="13052" max="13052" width="11.6640625" customWidth="1"/>
    <col min="13054" max="13054" width="19.83203125" bestFit="1" customWidth="1"/>
    <col min="13055" max="13055" width="19.83203125" customWidth="1"/>
    <col min="13056" max="13056" width="11.6640625" customWidth="1"/>
    <col min="13057" max="13057" width="12.6640625" customWidth="1"/>
    <col min="13059" max="13059" width="18.6640625" bestFit="1" customWidth="1"/>
    <col min="13060" max="13060" width="11.6640625" customWidth="1"/>
    <col min="13061" max="13061" width="15.5" customWidth="1"/>
    <col min="13064" max="13064" width="13.5" customWidth="1"/>
    <col min="13065" max="13065" width="10.5" customWidth="1"/>
    <col min="13066" max="13066" width="11.5" customWidth="1"/>
    <col min="13067" max="13067" width="11.33203125" customWidth="1"/>
    <col min="13308" max="13308" width="11.6640625" customWidth="1"/>
    <col min="13310" max="13310" width="19.83203125" bestFit="1" customWidth="1"/>
    <col min="13311" max="13311" width="19.83203125" customWidth="1"/>
    <col min="13312" max="13312" width="11.6640625" customWidth="1"/>
    <col min="13313" max="13313" width="12.6640625" customWidth="1"/>
    <col min="13315" max="13315" width="18.6640625" bestFit="1" customWidth="1"/>
    <col min="13316" max="13316" width="11.6640625" customWidth="1"/>
    <col min="13317" max="13317" width="15.5" customWidth="1"/>
    <col min="13320" max="13320" width="13.5" customWidth="1"/>
    <col min="13321" max="13321" width="10.5" customWidth="1"/>
    <col min="13322" max="13322" width="11.5" customWidth="1"/>
    <col min="13323" max="13323" width="11.33203125" customWidth="1"/>
    <col min="13564" max="13564" width="11.6640625" customWidth="1"/>
    <col min="13566" max="13566" width="19.83203125" bestFit="1" customWidth="1"/>
    <col min="13567" max="13567" width="19.83203125" customWidth="1"/>
    <col min="13568" max="13568" width="11.6640625" customWidth="1"/>
    <col min="13569" max="13569" width="12.6640625" customWidth="1"/>
    <col min="13571" max="13571" width="18.6640625" bestFit="1" customWidth="1"/>
    <col min="13572" max="13572" width="11.6640625" customWidth="1"/>
    <col min="13573" max="13573" width="15.5" customWidth="1"/>
    <col min="13576" max="13576" width="13.5" customWidth="1"/>
    <col min="13577" max="13577" width="10.5" customWidth="1"/>
    <col min="13578" max="13578" width="11.5" customWidth="1"/>
    <col min="13579" max="13579" width="11.33203125" customWidth="1"/>
    <col min="13820" max="13820" width="11.6640625" customWidth="1"/>
    <col min="13822" max="13822" width="19.83203125" bestFit="1" customWidth="1"/>
    <col min="13823" max="13823" width="19.83203125" customWidth="1"/>
    <col min="13824" max="13824" width="11.6640625" customWidth="1"/>
    <col min="13825" max="13825" width="12.6640625" customWidth="1"/>
    <col min="13827" max="13827" width="18.6640625" bestFit="1" customWidth="1"/>
    <col min="13828" max="13828" width="11.6640625" customWidth="1"/>
    <col min="13829" max="13829" width="15.5" customWidth="1"/>
    <col min="13832" max="13832" width="13.5" customWidth="1"/>
    <col min="13833" max="13833" width="10.5" customWidth="1"/>
    <col min="13834" max="13834" width="11.5" customWidth="1"/>
    <col min="13835" max="13835" width="11.33203125" customWidth="1"/>
    <col min="14076" max="14076" width="11.6640625" customWidth="1"/>
    <col min="14078" max="14078" width="19.83203125" bestFit="1" customWidth="1"/>
    <col min="14079" max="14079" width="19.83203125" customWidth="1"/>
    <col min="14080" max="14080" width="11.6640625" customWidth="1"/>
    <col min="14081" max="14081" width="12.6640625" customWidth="1"/>
    <col min="14083" max="14083" width="18.6640625" bestFit="1" customWidth="1"/>
    <col min="14084" max="14084" width="11.6640625" customWidth="1"/>
    <col min="14085" max="14085" width="15.5" customWidth="1"/>
    <col min="14088" max="14088" width="13.5" customWidth="1"/>
    <col min="14089" max="14089" width="10.5" customWidth="1"/>
    <col min="14090" max="14090" width="11.5" customWidth="1"/>
    <col min="14091" max="14091" width="11.33203125" customWidth="1"/>
    <col min="14332" max="14332" width="11.6640625" customWidth="1"/>
    <col min="14334" max="14334" width="19.83203125" bestFit="1" customWidth="1"/>
    <col min="14335" max="14335" width="19.83203125" customWidth="1"/>
    <col min="14336" max="14336" width="11.6640625" customWidth="1"/>
    <col min="14337" max="14337" width="12.6640625" customWidth="1"/>
    <col min="14339" max="14339" width="18.6640625" bestFit="1" customWidth="1"/>
    <col min="14340" max="14340" width="11.6640625" customWidth="1"/>
    <col min="14341" max="14341" width="15.5" customWidth="1"/>
    <col min="14344" max="14344" width="13.5" customWidth="1"/>
    <col min="14345" max="14345" width="10.5" customWidth="1"/>
    <col min="14346" max="14346" width="11.5" customWidth="1"/>
    <col min="14347" max="14347" width="11.33203125" customWidth="1"/>
    <col min="14588" max="14588" width="11.6640625" customWidth="1"/>
    <col min="14590" max="14590" width="19.83203125" bestFit="1" customWidth="1"/>
    <col min="14591" max="14591" width="19.83203125" customWidth="1"/>
    <col min="14592" max="14592" width="11.6640625" customWidth="1"/>
    <col min="14593" max="14593" width="12.6640625" customWidth="1"/>
    <col min="14595" max="14595" width="18.6640625" bestFit="1" customWidth="1"/>
    <col min="14596" max="14596" width="11.6640625" customWidth="1"/>
    <col min="14597" max="14597" width="15.5" customWidth="1"/>
    <col min="14600" max="14600" width="13.5" customWidth="1"/>
    <col min="14601" max="14601" width="10.5" customWidth="1"/>
    <col min="14602" max="14602" width="11.5" customWidth="1"/>
    <col min="14603" max="14603" width="11.33203125" customWidth="1"/>
    <col min="14844" max="14844" width="11.6640625" customWidth="1"/>
    <col min="14846" max="14846" width="19.83203125" bestFit="1" customWidth="1"/>
    <col min="14847" max="14847" width="19.83203125" customWidth="1"/>
    <col min="14848" max="14848" width="11.6640625" customWidth="1"/>
    <col min="14849" max="14849" width="12.6640625" customWidth="1"/>
    <col min="14851" max="14851" width="18.6640625" bestFit="1" customWidth="1"/>
    <col min="14852" max="14852" width="11.6640625" customWidth="1"/>
    <col min="14853" max="14853" width="15.5" customWidth="1"/>
    <col min="14856" max="14856" width="13.5" customWidth="1"/>
    <col min="14857" max="14857" width="10.5" customWidth="1"/>
    <col min="14858" max="14858" width="11.5" customWidth="1"/>
    <col min="14859" max="14859" width="11.33203125" customWidth="1"/>
    <col min="15100" max="15100" width="11.6640625" customWidth="1"/>
    <col min="15102" max="15102" width="19.83203125" bestFit="1" customWidth="1"/>
    <col min="15103" max="15103" width="19.83203125" customWidth="1"/>
    <col min="15104" max="15104" width="11.6640625" customWidth="1"/>
    <col min="15105" max="15105" width="12.6640625" customWidth="1"/>
    <col min="15107" max="15107" width="18.6640625" bestFit="1" customWidth="1"/>
    <col min="15108" max="15108" width="11.6640625" customWidth="1"/>
    <col min="15109" max="15109" width="15.5" customWidth="1"/>
    <col min="15112" max="15112" width="13.5" customWidth="1"/>
    <col min="15113" max="15113" width="10.5" customWidth="1"/>
    <col min="15114" max="15114" width="11.5" customWidth="1"/>
    <col min="15115" max="15115" width="11.33203125" customWidth="1"/>
    <col min="15356" max="15356" width="11.6640625" customWidth="1"/>
    <col min="15358" max="15358" width="19.83203125" bestFit="1" customWidth="1"/>
    <col min="15359" max="15359" width="19.83203125" customWidth="1"/>
    <col min="15360" max="15360" width="11.6640625" customWidth="1"/>
    <col min="15361" max="15361" width="12.6640625" customWidth="1"/>
    <col min="15363" max="15363" width="18.6640625" bestFit="1" customWidth="1"/>
    <col min="15364" max="15364" width="11.6640625" customWidth="1"/>
    <col min="15365" max="15365" width="15.5" customWidth="1"/>
    <col min="15368" max="15368" width="13.5" customWidth="1"/>
    <col min="15369" max="15369" width="10.5" customWidth="1"/>
    <col min="15370" max="15370" width="11.5" customWidth="1"/>
    <col min="15371" max="15371" width="11.33203125" customWidth="1"/>
    <col min="15612" max="15612" width="11.6640625" customWidth="1"/>
    <col min="15614" max="15614" width="19.83203125" bestFit="1" customWidth="1"/>
    <col min="15615" max="15615" width="19.83203125" customWidth="1"/>
    <col min="15616" max="15616" width="11.6640625" customWidth="1"/>
    <col min="15617" max="15617" width="12.6640625" customWidth="1"/>
    <col min="15619" max="15619" width="18.6640625" bestFit="1" customWidth="1"/>
    <col min="15620" max="15620" width="11.6640625" customWidth="1"/>
    <col min="15621" max="15621" width="15.5" customWidth="1"/>
    <col min="15624" max="15624" width="13.5" customWidth="1"/>
    <col min="15625" max="15625" width="10.5" customWidth="1"/>
    <col min="15626" max="15626" width="11.5" customWidth="1"/>
    <col min="15627" max="15627" width="11.33203125" customWidth="1"/>
    <col min="15868" max="15868" width="11.6640625" customWidth="1"/>
    <col min="15870" max="15870" width="19.83203125" bestFit="1" customWidth="1"/>
    <col min="15871" max="15871" width="19.83203125" customWidth="1"/>
    <col min="15872" max="15872" width="11.6640625" customWidth="1"/>
    <col min="15873" max="15873" width="12.6640625" customWidth="1"/>
    <col min="15875" max="15875" width="18.6640625" bestFit="1" customWidth="1"/>
    <col min="15876" max="15876" width="11.6640625" customWidth="1"/>
    <col min="15877" max="15877" width="15.5" customWidth="1"/>
    <col min="15880" max="15880" width="13.5" customWidth="1"/>
    <col min="15881" max="15881" width="10.5" customWidth="1"/>
    <col min="15882" max="15882" width="11.5" customWidth="1"/>
    <col min="15883" max="15883" width="11.33203125" customWidth="1"/>
    <col min="16124" max="16124" width="11.6640625" customWidth="1"/>
    <col min="16126" max="16126" width="19.83203125" bestFit="1" customWidth="1"/>
    <col min="16127" max="16127" width="19.83203125" customWidth="1"/>
    <col min="16128" max="16128" width="11.6640625" customWidth="1"/>
    <col min="16129" max="16129" width="12.6640625" customWidth="1"/>
    <col min="16131" max="16131" width="18.6640625" bestFit="1" customWidth="1"/>
    <col min="16132" max="16132" width="11.6640625" customWidth="1"/>
    <col min="16133" max="16133" width="15.5" customWidth="1"/>
    <col min="16136" max="16136" width="13.5" customWidth="1"/>
    <col min="16137" max="16137" width="10.5" customWidth="1"/>
    <col min="16138" max="16138" width="11.5" customWidth="1"/>
    <col min="16139" max="16139" width="11.33203125" customWidth="1"/>
  </cols>
  <sheetData>
    <row r="1" spans="1:15" ht="16" thickBot="1">
      <c r="A1" s="1" t="s">
        <v>207</v>
      </c>
      <c r="J1" s="6" t="s">
        <v>118</v>
      </c>
    </row>
    <row r="2" spans="1:15" ht="17" thickBot="1">
      <c r="A2" s="81"/>
      <c r="B2" s="8"/>
      <c r="C2" s="8"/>
      <c r="D2" s="28"/>
      <c r="E2" s="28"/>
      <c r="F2" s="28"/>
      <c r="I2" s="10"/>
      <c r="K2" s="657" t="s">
        <v>144</v>
      </c>
      <c r="L2" s="658"/>
      <c r="M2" s="658"/>
      <c r="N2" s="658"/>
      <c r="O2" s="175"/>
    </row>
    <row r="3" spans="1:15" ht="17" thickBot="1">
      <c r="A3" s="8"/>
      <c r="B3" s="83"/>
      <c r="C3" s="28"/>
      <c r="D3" s="692" t="s">
        <v>27</v>
      </c>
      <c r="E3" s="693"/>
      <c r="F3"/>
      <c r="I3" s="148"/>
      <c r="K3" s="688" t="s">
        <v>145</v>
      </c>
      <c r="L3" s="689"/>
      <c r="M3" s="690"/>
      <c r="N3" s="206">
        <v>26.917857142857141</v>
      </c>
      <c r="O3" s="178"/>
    </row>
    <row r="4" spans="1:15" ht="16" thickBot="1">
      <c r="A4" s="279" t="s">
        <v>39</v>
      </c>
      <c r="B4" s="279" t="s">
        <v>22</v>
      </c>
      <c r="C4" s="279" t="s">
        <v>81</v>
      </c>
      <c r="D4" s="283" t="s">
        <v>185</v>
      </c>
      <c r="E4" s="283" t="s">
        <v>37</v>
      </c>
      <c r="I4" s="149"/>
      <c r="K4" s="688" t="s">
        <v>146</v>
      </c>
      <c r="L4" s="689"/>
      <c r="M4" s="690"/>
      <c r="N4" s="206">
        <v>468.4571428571428</v>
      </c>
      <c r="O4" s="178"/>
    </row>
    <row r="5" spans="1:15" ht="16" thickBot="1">
      <c r="A5">
        <v>1</v>
      </c>
      <c r="B5" s="5" t="s">
        <v>66</v>
      </c>
      <c r="C5" s="5">
        <v>541</v>
      </c>
      <c r="D5" s="108">
        <f>$B$25*(A5)+$B$24</f>
        <v>495.375</v>
      </c>
      <c r="E5" s="108">
        <f t="shared" ref="E5:E19" si="0">ABS(D5-C5)</f>
        <v>45.625</v>
      </c>
      <c r="F5"/>
      <c r="I5" s="149"/>
      <c r="K5" s="176"/>
      <c r="L5" s="177"/>
      <c r="M5" s="177"/>
      <c r="N5" s="177"/>
      <c r="O5" s="178"/>
    </row>
    <row r="6" spans="1:15" ht="16">
      <c r="A6">
        <v>2</v>
      </c>
      <c r="B6" s="5" t="s">
        <v>67</v>
      </c>
      <c r="C6" s="5">
        <v>493</v>
      </c>
      <c r="D6" s="108">
        <f t="shared" ref="D6:D21" si="1">$B$25*(A6)+$B$24</f>
        <v>522.29285714285709</v>
      </c>
      <c r="E6" s="108">
        <f t="shared" si="0"/>
        <v>29.292857142857088</v>
      </c>
      <c r="F6"/>
      <c r="I6" s="215"/>
      <c r="K6" s="179" t="s">
        <v>121</v>
      </c>
      <c r="L6" s="162">
        <v>36.053333333333327</v>
      </c>
      <c r="M6" s="180" t="s">
        <v>147</v>
      </c>
      <c r="N6" s="207">
        <v>0.88369095055071401</v>
      </c>
      <c r="O6" s="178"/>
    </row>
    <row r="7" spans="1:15" ht="16" thickBot="1">
      <c r="A7">
        <v>3</v>
      </c>
      <c r="B7" s="5" t="s">
        <v>68</v>
      </c>
      <c r="C7" s="5">
        <v>523</v>
      </c>
      <c r="D7" s="108">
        <f t="shared" si="1"/>
        <v>549.21071428571429</v>
      </c>
      <c r="E7" s="108">
        <f t="shared" si="0"/>
        <v>26.210714285714289</v>
      </c>
      <c r="F7"/>
      <c r="I7" s="216"/>
      <c r="K7" s="179" t="s">
        <v>122</v>
      </c>
      <c r="L7" s="163">
        <v>5.272496831432192E-2</v>
      </c>
      <c r="M7" s="180" t="s">
        <v>148</v>
      </c>
      <c r="N7" s="208">
        <v>0.82029751805010176</v>
      </c>
      <c r="O7" s="178"/>
    </row>
    <row r="8" spans="1:15" ht="16" thickBot="1">
      <c r="A8">
        <v>4</v>
      </c>
      <c r="B8" s="5" t="s">
        <v>69</v>
      </c>
      <c r="C8" s="5">
        <v>622</v>
      </c>
      <c r="D8" s="108">
        <f t="shared" si="1"/>
        <v>576.12857142857138</v>
      </c>
      <c r="E8" s="108">
        <f t="shared" si="0"/>
        <v>45.871428571428623</v>
      </c>
      <c r="F8"/>
      <c r="I8" s="216"/>
      <c r="K8" s="179"/>
      <c r="L8" s="209"/>
      <c r="M8" s="180"/>
      <c r="N8" s="210"/>
      <c r="O8" s="178"/>
    </row>
    <row r="9" spans="1:15" ht="16" thickBot="1">
      <c r="A9">
        <v>5</v>
      </c>
      <c r="B9" s="5" t="s">
        <v>70</v>
      </c>
      <c r="C9" s="5">
        <v>614</v>
      </c>
      <c r="D9" s="108">
        <f t="shared" si="1"/>
        <v>603.04642857142858</v>
      </c>
      <c r="E9" s="108">
        <f t="shared" si="0"/>
        <v>10.953571428571422</v>
      </c>
      <c r="F9"/>
      <c r="I9" s="216"/>
      <c r="K9" s="659" t="s">
        <v>149</v>
      </c>
      <c r="L9" s="660"/>
      <c r="M9" s="691"/>
      <c r="N9" s="211">
        <v>16</v>
      </c>
      <c r="O9" s="178"/>
    </row>
    <row r="10" spans="1:15" ht="16" thickBot="1">
      <c r="A10">
        <v>6</v>
      </c>
      <c r="B10" s="5" t="s">
        <v>71</v>
      </c>
      <c r="C10" s="5">
        <v>678</v>
      </c>
      <c r="D10" s="108">
        <f t="shared" si="1"/>
        <v>629.96428571428567</v>
      </c>
      <c r="E10" s="108">
        <f t="shared" si="0"/>
        <v>48.035714285714334</v>
      </c>
      <c r="F10"/>
      <c r="I10" s="150"/>
      <c r="K10" s="659" t="str">
        <f xml:space="preserve"> "Prediction of period " &amp; N9 &amp; " ="</f>
        <v>Prediction of period 16 =</v>
      </c>
      <c r="L10" s="660"/>
      <c r="M10" s="660"/>
      <c r="N10" s="212">
        <v>899.14285714285711</v>
      </c>
      <c r="O10" s="178"/>
    </row>
    <row r="11" spans="1:15" ht="16" thickBot="1">
      <c r="A11">
        <v>7</v>
      </c>
      <c r="B11" s="5" t="s">
        <v>72</v>
      </c>
      <c r="C11" s="5">
        <v>614</v>
      </c>
      <c r="D11" s="108">
        <f t="shared" si="1"/>
        <v>656.88214285714275</v>
      </c>
      <c r="E11" s="108">
        <f t="shared" si="0"/>
        <v>42.882142857142753</v>
      </c>
      <c r="F11"/>
      <c r="I11" s="150"/>
      <c r="K11" s="176"/>
      <c r="L11" s="177"/>
      <c r="M11" s="177"/>
      <c r="N11" s="177"/>
      <c r="O11" s="178"/>
    </row>
    <row r="12" spans="1:15" ht="15.75" customHeight="1" thickBot="1">
      <c r="A12">
        <v>8</v>
      </c>
      <c r="B12" s="5" t="s">
        <v>73</v>
      </c>
      <c r="C12" s="5">
        <v>644</v>
      </c>
      <c r="D12" s="108">
        <f t="shared" si="1"/>
        <v>683.8</v>
      </c>
      <c r="E12" s="108">
        <f t="shared" si="0"/>
        <v>39.799999999999955</v>
      </c>
      <c r="F12"/>
      <c r="I12" s="215"/>
      <c r="K12" s="164" t="s">
        <v>39</v>
      </c>
      <c r="L12" s="164" t="s">
        <v>38</v>
      </c>
      <c r="M12" s="164" t="s">
        <v>185</v>
      </c>
      <c r="N12" s="164" t="s">
        <v>37</v>
      </c>
      <c r="O12" s="165" t="s">
        <v>123</v>
      </c>
    </row>
    <row r="13" spans="1:15">
      <c r="A13">
        <v>9</v>
      </c>
      <c r="B13" s="5" t="s">
        <v>74</v>
      </c>
      <c r="C13" s="5">
        <v>685</v>
      </c>
      <c r="D13" s="108">
        <f t="shared" si="1"/>
        <v>710.71785714285716</v>
      </c>
      <c r="E13" s="108">
        <f t="shared" si="0"/>
        <v>25.717857142857156</v>
      </c>
      <c r="F13"/>
      <c r="I13" s="150"/>
      <c r="K13" s="166">
        <v>1</v>
      </c>
      <c r="L13" s="200">
        <v>541</v>
      </c>
      <c r="M13" s="168">
        <v>495.37499999999994</v>
      </c>
      <c r="N13" s="194">
        <v>45.625000000000057</v>
      </c>
      <c r="O13" s="213">
        <v>1</v>
      </c>
    </row>
    <row r="14" spans="1:15">
      <c r="A14">
        <v>10</v>
      </c>
      <c r="B14" s="5" t="s">
        <v>75</v>
      </c>
      <c r="C14" s="5">
        <v>728</v>
      </c>
      <c r="D14" s="108">
        <f t="shared" si="1"/>
        <v>737.63571428571424</v>
      </c>
      <c r="E14" s="108">
        <f t="shared" si="0"/>
        <v>9.6357142857142435</v>
      </c>
      <c r="F14"/>
      <c r="I14" s="150"/>
      <c r="K14" s="171">
        <v>2</v>
      </c>
      <c r="L14" s="167">
        <v>493</v>
      </c>
      <c r="M14" s="172">
        <v>522.29285714285709</v>
      </c>
      <c r="N14" s="195">
        <v>-29.292857142857088</v>
      </c>
      <c r="O14" s="214">
        <v>0.43600133479525494</v>
      </c>
    </row>
    <row r="15" spans="1:15">
      <c r="A15">
        <v>11</v>
      </c>
      <c r="B15" s="5" t="s">
        <v>76</v>
      </c>
      <c r="C15" s="5">
        <v>768</v>
      </c>
      <c r="D15" s="108">
        <f t="shared" si="1"/>
        <v>764.55357142857133</v>
      </c>
      <c r="E15" s="108">
        <f t="shared" si="0"/>
        <v>3.4464285714286689</v>
      </c>
      <c r="F15"/>
      <c r="I15" s="150"/>
      <c r="K15" s="171">
        <v>3</v>
      </c>
      <c r="L15" s="167">
        <v>523</v>
      </c>
      <c r="M15" s="172">
        <v>549.21071428571418</v>
      </c>
      <c r="N15" s="195">
        <v>-26.210714285714175</v>
      </c>
      <c r="O15" s="214">
        <v>-0.293049865800248</v>
      </c>
    </row>
    <row r="16" spans="1:15">
      <c r="A16">
        <v>12</v>
      </c>
      <c r="B16" s="5" t="s">
        <v>77</v>
      </c>
      <c r="C16" s="5">
        <v>772</v>
      </c>
      <c r="D16" s="108">
        <f t="shared" si="1"/>
        <v>791.47142857142853</v>
      </c>
      <c r="E16" s="108">
        <f t="shared" si="0"/>
        <v>19.471428571428532</v>
      </c>
      <c r="F16"/>
      <c r="I16" s="150"/>
      <c r="K16" s="171">
        <v>4</v>
      </c>
      <c r="L16" s="167">
        <v>622</v>
      </c>
      <c r="M16" s="172">
        <v>576.12857142857138</v>
      </c>
      <c r="N16" s="195">
        <v>45.871428571428623</v>
      </c>
      <c r="O16" s="214">
        <v>0.97939747327503213</v>
      </c>
    </row>
    <row r="17" spans="1:15">
      <c r="A17">
        <v>13</v>
      </c>
      <c r="B17" s="5" t="s">
        <v>78</v>
      </c>
      <c r="C17" s="5">
        <v>741</v>
      </c>
      <c r="D17" s="108">
        <f t="shared" si="1"/>
        <v>818.38928571428562</v>
      </c>
      <c r="E17" s="108">
        <f t="shared" si="0"/>
        <v>77.38928571428562</v>
      </c>
      <c r="F17"/>
      <c r="I17" s="150"/>
      <c r="K17" s="171">
        <v>5</v>
      </c>
      <c r="L17" s="167">
        <v>614</v>
      </c>
      <c r="M17" s="172">
        <v>603.04642857142846</v>
      </c>
      <c r="N17" s="195">
        <v>10.953571428571536</v>
      </c>
      <c r="O17" s="214">
        <v>1.4860831618694579</v>
      </c>
    </row>
    <row r="18" spans="1:15">
      <c r="A18">
        <v>14</v>
      </c>
      <c r="B18" s="5" t="s">
        <v>79</v>
      </c>
      <c r="C18" s="5">
        <v>879</v>
      </c>
      <c r="D18" s="108">
        <f t="shared" si="1"/>
        <v>845.30714285714271</v>
      </c>
      <c r="E18" s="108">
        <f t="shared" si="0"/>
        <v>33.692857142857292</v>
      </c>
      <c r="F18"/>
      <c r="I18" s="150"/>
      <c r="K18" s="171">
        <v>6</v>
      </c>
      <c r="L18" s="167">
        <v>678</v>
      </c>
      <c r="M18" s="172">
        <v>629.96428571428567</v>
      </c>
      <c r="N18" s="195">
        <v>48.035714285714334</v>
      </c>
      <c r="O18" s="214">
        <v>2.7666140749345609</v>
      </c>
    </row>
    <row r="19" spans="1:15">
      <c r="A19">
        <v>15</v>
      </c>
      <c r="B19" s="5" t="s">
        <v>80</v>
      </c>
      <c r="C19" s="5">
        <v>955</v>
      </c>
      <c r="D19" s="108">
        <f t="shared" si="1"/>
        <v>872.22499999999991</v>
      </c>
      <c r="E19" s="108">
        <f t="shared" si="0"/>
        <v>82.775000000000091</v>
      </c>
      <c r="F19"/>
      <c r="I19" s="150"/>
      <c r="K19" s="171">
        <v>7</v>
      </c>
      <c r="L19" s="167">
        <v>614</v>
      </c>
      <c r="M19" s="172">
        <v>656.88214285714275</v>
      </c>
      <c r="N19" s="195">
        <v>-42.882142857142753</v>
      </c>
      <c r="O19" s="214">
        <v>1.4654153033695116</v>
      </c>
    </row>
    <row r="20" spans="1:15">
      <c r="A20">
        <v>16</v>
      </c>
      <c r="B20" s="109" t="s">
        <v>82</v>
      </c>
      <c r="C20" s="277"/>
      <c r="D20" s="533">
        <f t="shared" si="1"/>
        <v>899.14285714285711</v>
      </c>
      <c r="E20" s="108"/>
      <c r="F20"/>
      <c r="I20" s="150"/>
      <c r="K20" s="171">
        <v>8</v>
      </c>
      <c r="L20" s="167">
        <v>644</v>
      </c>
      <c r="M20" s="172">
        <v>683.8</v>
      </c>
      <c r="N20" s="195">
        <v>-39.799999999999955</v>
      </c>
      <c r="O20" s="214">
        <v>0.3408719750581643</v>
      </c>
    </row>
    <row r="21" spans="1:15">
      <c r="A21">
        <v>17</v>
      </c>
      <c r="B21" s="109" t="s">
        <v>83</v>
      </c>
      <c r="C21" s="85"/>
      <c r="D21" s="533">
        <f t="shared" si="1"/>
        <v>926.0607142857142</v>
      </c>
      <c r="E21" s="108"/>
      <c r="F21"/>
      <c r="I21" s="150"/>
      <c r="K21" s="171">
        <v>9</v>
      </c>
      <c r="L21" s="167">
        <v>685</v>
      </c>
      <c r="M21" s="172">
        <v>710.71785714285704</v>
      </c>
      <c r="N21" s="195">
        <v>-25.717857142857042</v>
      </c>
      <c r="O21" s="214">
        <v>-0.38411205398219106</v>
      </c>
    </row>
    <row r="22" spans="1:15">
      <c r="C22" s="84"/>
      <c r="D22" s="85"/>
      <c r="E22" s="106"/>
      <c r="F22" s="107"/>
      <c r="I22" s="150"/>
      <c r="K22" s="171">
        <v>10</v>
      </c>
      <c r="L22" s="167">
        <v>728</v>
      </c>
      <c r="M22" s="172">
        <v>737.63571428571413</v>
      </c>
      <c r="N22" s="195">
        <v>-9.6357142857141298</v>
      </c>
      <c r="O22" s="214">
        <v>-0.71147508459441755</v>
      </c>
    </row>
    <row r="23" spans="1:15">
      <c r="B23" t="s">
        <v>56</v>
      </c>
      <c r="C23" s="84"/>
      <c r="E23" s="106"/>
      <c r="F23" s="107"/>
      <c r="I23" s="150"/>
      <c r="K23" s="171">
        <v>11</v>
      </c>
      <c r="L23" s="167">
        <v>768</v>
      </c>
      <c r="M23" s="172">
        <v>764.55357142857133</v>
      </c>
      <c r="N23" s="195">
        <v>3.4464285714286689</v>
      </c>
      <c r="O23" s="214">
        <v>-0.65861798193950583</v>
      </c>
    </row>
    <row r="24" spans="1:15">
      <c r="A24" t="s">
        <v>63</v>
      </c>
      <c r="B24" s="537">
        <f>B43</f>
        <v>468.45714285714286</v>
      </c>
      <c r="C24" s="84"/>
      <c r="D24" s="683" t="s">
        <v>27</v>
      </c>
      <c r="E24" s="685" t="s">
        <v>314</v>
      </c>
      <c r="F24" s="686"/>
      <c r="G24" s="686"/>
      <c r="H24" s="686"/>
      <c r="I24" s="687"/>
      <c r="K24" s="171">
        <v>12</v>
      </c>
      <c r="L24" s="167">
        <v>772</v>
      </c>
      <c r="M24" s="172">
        <v>791.47142857142853</v>
      </c>
      <c r="N24" s="195">
        <v>-19.471428571428532</v>
      </c>
      <c r="O24" s="214">
        <v>-1.3516429218479455</v>
      </c>
    </row>
    <row r="25" spans="1:15" ht="20.25" customHeight="1">
      <c r="B25" s="537">
        <f>B44</f>
        <v>26.917857142857137</v>
      </c>
      <c r="C25" s="84"/>
      <c r="D25" s="684"/>
      <c r="E25" s="686"/>
      <c r="F25" s="686"/>
      <c r="G25" s="686"/>
      <c r="H25" s="686"/>
      <c r="I25" s="687"/>
      <c r="K25" s="171">
        <v>13</v>
      </c>
      <c r="L25" s="167">
        <v>741</v>
      </c>
      <c r="M25" s="172">
        <v>818.38928571428562</v>
      </c>
      <c r="N25" s="195">
        <v>-77.38928571428562</v>
      </c>
      <c r="O25" s="214">
        <v>-3.5681533165562391</v>
      </c>
    </row>
    <row r="26" spans="1:15">
      <c r="D26" s="534"/>
      <c r="E26" s="687"/>
      <c r="F26" s="687"/>
      <c r="G26" s="687"/>
      <c r="H26" s="687"/>
      <c r="I26" s="687"/>
      <c r="K26" s="171">
        <v>14</v>
      </c>
      <c r="L26" s="167">
        <v>879</v>
      </c>
      <c r="M26" s="172">
        <v>845.30714285714271</v>
      </c>
      <c r="N26" s="195">
        <v>33.692857142857292</v>
      </c>
      <c r="O26" s="214">
        <v>-2.5301020686643381</v>
      </c>
    </row>
    <row r="27" spans="1:15" s="11" customFormat="1">
      <c r="A27" t="s">
        <v>40</v>
      </c>
      <c r="B27"/>
      <c r="C27"/>
      <c r="D27" s="535"/>
      <c r="H27"/>
      <c r="I27" s="151"/>
      <c r="K27" s="171">
        <v>15</v>
      </c>
      <c r="L27" s="167">
        <v>955</v>
      </c>
      <c r="M27" s="172">
        <v>872.22499999999991</v>
      </c>
      <c r="N27" s="195">
        <v>82.775000000000091</v>
      </c>
      <c r="O27" s="214">
        <v>3.6262905893082042E-14</v>
      </c>
    </row>
    <row r="28" spans="1:15" s="11" customFormat="1" ht="16" thickBot="1">
      <c r="A28"/>
      <c r="B28"/>
      <c r="C28"/>
      <c r="D28" s="516" t="s">
        <v>20</v>
      </c>
      <c r="E28" s="219">
        <f>D20</f>
        <v>899.14285714285711</v>
      </c>
      <c r="F28" s="220" t="str">
        <f>B20</f>
        <v>November: Year 2</v>
      </c>
      <c r="G28"/>
      <c r="H28"/>
      <c r="I28" s="151"/>
      <c r="K28" s="182">
        <v>16</v>
      </c>
      <c r="L28" s="183"/>
      <c r="M28" s="184">
        <v>899.14285714285711</v>
      </c>
      <c r="N28" s="198" t="s">
        <v>124</v>
      </c>
      <c r="O28" s="218"/>
    </row>
    <row r="29" spans="1:15" s="11" customFormat="1" ht="16" thickBot="1">
      <c r="A29" s="105" t="s">
        <v>41</v>
      </c>
      <c r="B29" s="105"/>
      <c r="C29"/>
      <c r="D29" s="536"/>
      <c r="E29" s="219">
        <f>D21</f>
        <v>926.0607142857142</v>
      </c>
      <c r="F29" s="220" t="str">
        <f>B21</f>
        <v>November: Year 3</v>
      </c>
      <c r="G29"/>
      <c r="H29"/>
      <c r="I29"/>
    </row>
    <row r="30" spans="1:15" s="11" customFormat="1" ht="16" thickBot="1">
      <c r="A30" s="87" t="s">
        <v>42</v>
      </c>
      <c r="B30" s="87">
        <v>0.94004837670766406</v>
      </c>
      <c r="C30"/>
      <c r="D30"/>
      <c r="E30"/>
      <c r="F30"/>
      <c r="G30"/>
      <c r="H30"/>
      <c r="I30"/>
      <c r="K30" s="657" t="s">
        <v>144</v>
      </c>
      <c r="L30" s="658"/>
      <c r="M30" s="658"/>
      <c r="N30" s="658"/>
      <c r="O30" s="175"/>
    </row>
    <row r="31" spans="1:15" s="11" customFormat="1" ht="16" thickBot="1">
      <c r="A31" s="87" t="s">
        <v>43</v>
      </c>
      <c r="B31" s="87">
        <v>0.88369095055071434</v>
      </c>
      <c r="C31"/>
      <c r="D31"/>
      <c r="E31"/>
      <c r="F31"/>
      <c r="G31"/>
      <c r="H31"/>
      <c r="I31"/>
      <c r="K31" s="688" t="s">
        <v>145</v>
      </c>
      <c r="L31" s="689"/>
      <c r="M31" s="690"/>
      <c r="N31" s="206">
        <v>26.917857142857141</v>
      </c>
      <c r="O31" s="178"/>
    </row>
    <row r="32" spans="1:15" s="11" customFormat="1" ht="16" thickBot="1">
      <c r="A32" s="87" t="s">
        <v>44</v>
      </c>
      <c r="B32" s="87">
        <v>0.87474410059307695</v>
      </c>
      <c r="C32"/>
      <c r="D32"/>
      <c r="E32"/>
      <c r="F32"/>
      <c r="G32"/>
      <c r="H32"/>
      <c r="I32"/>
      <c r="K32" s="688" t="s">
        <v>146</v>
      </c>
      <c r="L32" s="689"/>
      <c r="M32" s="690"/>
      <c r="N32" s="206">
        <v>468.4571428571428</v>
      </c>
      <c r="O32" s="178"/>
    </row>
    <row r="33" spans="1:15" s="11" customFormat="1" ht="16" thickBot="1">
      <c r="A33" s="87" t="s">
        <v>45</v>
      </c>
      <c r="B33" s="87">
        <v>45.321510187926052</v>
      </c>
      <c r="C33"/>
      <c r="D33"/>
      <c r="E33"/>
      <c r="F33"/>
      <c r="G33"/>
      <c r="H33"/>
      <c r="I33"/>
      <c r="K33" s="176"/>
      <c r="L33" s="177"/>
      <c r="M33" s="177"/>
      <c r="N33" s="177"/>
      <c r="O33" s="178"/>
    </row>
    <row r="34" spans="1:15" s="11" customFormat="1" ht="17" thickBot="1">
      <c r="A34" s="88" t="s">
        <v>46</v>
      </c>
      <c r="B34" s="88">
        <v>15</v>
      </c>
      <c r="C34"/>
      <c r="D34"/>
      <c r="E34"/>
      <c r="F34"/>
      <c r="G34"/>
      <c r="H34"/>
      <c r="I34"/>
      <c r="K34" s="179" t="s">
        <v>121</v>
      </c>
      <c r="L34" s="162">
        <v>36.053333333333327</v>
      </c>
      <c r="M34" s="180" t="s">
        <v>147</v>
      </c>
      <c r="N34" s="207">
        <v>0.88369095055071401</v>
      </c>
      <c r="O34" s="178"/>
    </row>
    <row r="35" spans="1:15" s="11" customFormat="1" ht="16" thickBot="1">
      <c r="A35"/>
      <c r="B35"/>
      <c r="C35"/>
      <c r="D35"/>
      <c r="E35"/>
      <c r="F35"/>
      <c r="G35"/>
      <c r="H35"/>
      <c r="I35"/>
      <c r="K35" s="179" t="s">
        <v>122</v>
      </c>
      <c r="L35" s="163">
        <v>5.272496831432192E-2</v>
      </c>
      <c r="M35" s="180" t="s">
        <v>148</v>
      </c>
      <c r="N35" s="208">
        <v>0.82029751805010176</v>
      </c>
      <c r="O35" s="178"/>
    </row>
    <row r="36" spans="1:15" s="11" customFormat="1" ht="16" thickBot="1">
      <c r="A36" t="s">
        <v>47</v>
      </c>
      <c r="B36"/>
      <c r="C36"/>
      <c r="D36"/>
      <c r="E36"/>
      <c r="F36"/>
      <c r="G36"/>
      <c r="H36"/>
      <c r="I36"/>
      <c r="K36" s="179"/>
      <c r="L36" s="209"/>
      <c r="M36" s="180"/>
      <c r="N36" s="210"/>
      <c r="O36" s="178"/>
    </row>
    <row r="37" spans="1:15" s="11" customFormat="1" ht="16" thickBot="1">
      <c r="A37" s="104"/>
      <c r="B37" s="104" t="s">
        <v>48</v>
      </c>
      <c r="C37" s="104" t="s">
        <v>49</v>
      </c>
      <c r="D37" s="104" t="s">
        <v>50</v>
      </c>
      <c r="E37" s="104" t="s">
        <v>51</v>
      </c>
      <c r="F37" s="104" t="s">
        <v>52</v>
      </c>
      <c r="G37"/>
      <c r="H37"/>
      <c r="I37"/>
      <c r="K37" s="659" t="s">
        <v>149</v>
      </c>
      <c r="L37" s="660"/>
      <c r="M37" s="691"/>
      <c r="N37" s="211">
        <v>17</v>
      </c>
      <c r="O37" s="178"/>
    </row>
    <row r="38" spans="1:15" s="11" customFormat="1" ht="16" thickBot="1">
      <c r="A38" s="87" t="s">
        <v>53</v>
      </c>
      <c r="B38" s="87">
        <v>1</v>
      </c>
      <c r="C38" s="87">
        <v>202879.88928571431</v>
      </c>
      <c r="D38" s="87">
        <v>202879.88928571431</v>
      </c>
      <c r="E38" s="87">
        <v>98.771182565363432</v>
      </c>
      <c r="F38" s="87">
        <v>1.9329522565173739E-7</v>
      </c>
      <c r="G38"/>
      <c r="H38"/>
      <c r="I38"/>
      <c r="K38" s="659" t="str">
        <f xml:space="preserve"> "Prediction of period " &amp; N37 &amp; " ="</f>
        <v>Prediction of period 17 =</v>
      </c>
      <c r="L38" s="660"/>
      <c r="M38" s="660"/>
      <c r="N38" s="212">
        <v>926.0607142857142</v>
      </c>
      <c r="O38" s="178"/>
    </row>
    <row r="39" spans="1:15" s="11" customFormat="1" ht="16" thickBot="1">
      <c r="A39" s="87" t="s">
        <v>54</v>
      </c>
      <c r="B39" s="87">
        <v>13</v>
      </c>
      <c r="C39" s="87">
        <v>26702.510714285701</v>
      </c>
      <c r="D39" s="87">
        <v>2054.0392857142847</v>
      </c>
      <c r="E39" s="87"/>
      <c r="F39" s="87"/>
      <c r="G39"/>
      <c r="H39"/>
      <c r="I39"/>
      <c r="K39" s="221"/>
      <c r="L39" s="222"/>
      <c r="M39" s="222"/>
      <c r="N39" s="222"/>
      <c r="O39" s="223"/>
    </row>
    <row r="40" spans="1:15" s="11" customFormat="1" ht="16" thickBot="1">
      <c r="A40" s="88" t="s">
        <v>55</v>
      </c>
      <c r="B40" s="88">
        <v>14</v>
      </c>
      <c r="C40" s="88">
        <v>229582.40000000002</v>
      </c>
      <c r="D40" s="88"/>
      <c r="E40" s="88"/>
      <c r="F40" s="88"/>
      <c r="G40"/>
      <c r="H40"/>
      <c r="I40"/>
    </row>
    <row r="41" spans="1:15" s="11" customFormat="1" ht="16" thickBot="1">
      <c r="A41"/>
      <c r="B41"/>
      <c r="C41"/>
      <c r="D41"/>
      <c r="E41"/>
      <c r="F41"/>
      <c r="G41"/>
      <c r="H41"/>
      <c r="I41"/>
    </row>
    <row r="42" spans="1:15" s="11" customFormat="1">
      <c r="A42" s="104"/>
      <c r="B42" s="104" t="s">
        <v>56</v>
      </c>
      <c r="C42" s="104" t="s">
        <v>45</v>
      </c>
      <c r="D42" s="104" t="s">
        <v>57</v>
      </c>
      <c r="E42" s="104" t="s">
        <v>58</v>
      </c>
      <c r="F42" s="104" t="s">
        <v>59</v>
      </c>
      <c r="G42" s="104" t="s">
        <v>60</v>
      </c>
      <c r="H42" s="104" t="s">
        <v>61</v>
      </c>
      <c r="I42" s="104" t="s">
        <v>62</v>
      </c>
    </row>
    <row r="43" spans="1:15">
      <c r="A43" s="87" t="s">
        <v>63</v>
      </c>
      <c r="B43" s="87">
        <v>468.45714285714286</v>
      </c>
      <c r="C43" s="87">
        <v>24.625812600978328</v>
      </c>
      <c r="D43" s="87">
        <v>19.023012578213645</v>
      </c>
      <c r="E43" s="87">
        <v>7.1387719918508429E-11</v>
      </c>
      <c r="F43" s="87">
        <v>415.25630917406278</v>
      </c>
      <c r="G43" s="87">
        <v>521.65797654022288</v>
      </c>
      <c r="H43" s="87">
        <v>415.25630917406278</v>
      </c>
      <c r="I43" s="87">
        <v>521.65797654022288</v>
      </c>
    </row>
    <row r="44" spans="1:15" ht="16" thickBot="1">
      <c r="A44" s="88" t="s">
        <v>64</v>
      </c>
      <c r="B44" s="88">
        <v>26.917857142857137</v>
      </c>
      <c r="C44" s="88">
        <v>2.7084782797424705</v>
      </c>
      <c r="D44" s="88">
        <v>9.9383692105578056</v>
      </c>
      <c r="E44" s="88">
        <v>1.9329522565173773E-7</v>
      </c>
      <c r="F44" s="88">
        <v>21.066545560591241</v>
      </c>
      <c r="G44" s="88">
        <v>32.769168725123038</v>
      </c>
      <c r="H44" s="88">
        <v>21.066545560591241</v>
      </c>
      <c r="I44" s="88">
        <v>32.769168725123038</v>
      </c>
    </row>
    <row r="45" spans="1:15">
      <c r="D45"/>
      <c r="E45"/>
      <c r="F45"/>
      <c r="I45"/>
    </row>
    <row r="46" spans="1:15">
      <c r="D46"/>
      <c r="E46"/>
      <c r="F46"/>
      <c r="I46"/>
    </row>
    <row r="47" spans="1:15">
      <c r="D47"/>
      <c r="E47"/>
      <c r="F47"/>
      <c r="I47"/>
    </row>
    <row r="63" spans="6:7">
      <c r="F63" s="28"/>
      <c r="G63" s="28"/>
    </row>
    <row r="64" spans="6:7" ht="19.5" customHeight="1">
      <c r="F64" s="28"/>
      <c r="G64" s="28"/>
    </row>
  </sheetData>
  <mergeCells count="13">
    <mergeCell ref="K30:N30"/>
    <mergeCell ref="K31:M31"/>
    <mergeCell ref="K32:M32"/>
    <mergeCell ref="K37:M37"/>
    <mergeCell ref="K38:M38"/>
    <mergeCell ref="D24:D25"/>
    <mergeCell ref="E24:I26"/>
    <mergeCell ref="K2:N2"/>
    <mergeCell ref="K3:M3"/>
    <mergeCell ref="K4:M4"/>
    <mergeCell ref="K9:M9"/>
    <mergeCell ref="K10:M10"/>
    <mergeCell ref="D3:E3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7"/>
  <sheetViews>
    <sheetView workbookViewId="0">
      <selection activeCell="C30" sqref="C30"/>
    </sheetView>
  </sheetViews>
  <sheetFormatPr baseColWidth="10" defaultColWidth="8.83203125" defaultRowHeight="15"/>
  <cols>
    <col min="1" max="1" width="12.6640625" customWidth="1"/>
    <col min="2" max="2" width="12" customWidth="1"/>
    <col min="3" max="3" width="14" customWidth="1"/>
    <col min="6" max="7" width="9.33203125" bestFit="1" customWidth="1"/>
    <col min="8" max="8" width="10" bestFit="1" customWidth="1"/>
    <col min="9" max="14" width="9.33203125" bestFit="1" customWidth="1"/>
    <col min="257" max="257" width="12.6640625" customWidth="1"/>
    <col min="258" max="258" width="12" customWidth="1"/>
    <col min="262" max="263" width="9.33203125" bestFit="1" customWidth="1"/>
    <col min="264" max="264" width="10" bestFit="1" customWidth="1"/>
    <col min="265" max="270" width="9.33203125" bestFit="1" customWidth="1"/>
    <col min="513" max="513" width="12.6640625" customWidth="1"/>
    <col min="514" max="514" width="12" customWidth="1"/>
    <col min="518" max="519" width="9.33203125" bestFit="1" customWidth="1"/>
    <col min="520" max="520" width="10" bestFit="1" customWidth="1"/>
    <col min="521" max="526" width="9.33203125" bestFit="1" customWidth="1"/>
    <col min="769" max="769" width="12.6640625" customWidth="1"/>
    <col min="770" max="770" width="12" customWidth="1"/>
    <col min="774" max="775" width="9.33203125" bestFit="1" customWidth="1"/>
    <col min="776" max="776" width="10" bestFit="1" customWidth="1"/>
    <col min="777" max="782" width="9.33203125" bestFit="1" customWidth="1"/>
    <col min="1025" max="1025" width="12.6640625" customWidth="1"/>
    <col min="1026" max="1026" width="12" customWidth="1"/>
    <col min="1030" max="1031" width="9.33203125" bestFit="1" customWidth="1"/>
    <col min="1032" max="1032" width="10" bestFit="1" customWidth="1"/>
    <col min="1033" max="1038" width="9.33203125" bestFit="1" customWidth="1"/>
    <col min="1281" max="1281" width="12.6640625" customWidth="1"/>
    <col min="1282" max="1282" width="12" customWidth="1"/>
    <col min="1286" max="1287" width="9.33203125" bestFit="1" customWidth="1"/>
    <col min="1288" max="1288" width="10" bestFit="1" customWidth="1"/>
    <col min="1289" max="1294" width="9.33203125" bestFit="1" customWidth="1"/>
    <col min="1537" max="1537" width="12.6640625" customWidth="1"/>
    <col min="1538" max="1538" width="12" customWidth="1"/>
    <col min="1542" max="1543" width="9.33203125" bestFit="1" customWidth="1"/>
    <col min="1544" max="1544" width="10" bestFit="1" customWidth="1"/>
    <col min="1545" max="1550" width="9.33203125" bestFit="1" customWidth="1"/>
    <col min="1793" max="1793" width="12.6640625" customWidth="1"/>
    <col min="1794" max="1794" width="12" customWidth="1"/>
    <col min="1798" max="1799" width="9.33203125" bestFit="1" customWidth="1"/>
    <col min="1800" max="1800" width="10" bestFit="1" customWidth="1"/>
    <col min="1801" max="1806" width="9.33203125" bestFit="1" customWidth="1"/>
    <col min="2049" max="2049" width="12.6640625" customWidth="1"/>
    <col min="2050" max="2050" width="12" customWidth="1"/>
    <col min="2054" max="2055" width="9.33203125" bestFit="1" customWidth="1"/>
    <col min="2056" max="2056" width="10" bestFit="1" customWidth="1"/>
    <col min="2057" max="2062" width="9.33203125" bestFit="1" customWidth="1"/>
    <col min="2305" max="2305" width="12.6640625" customWidth="1"/>
    <col min="2306" max="2306" width="12" customWidth="1"/>
    <col min="2310" max="2311" width="9.33203125" bestFit="1" customWidth="1"/>
    <col min="2312" max="2312" width="10" bestFit="1" customWidth="1"/>
    <col min="2313" max="2318" width="9.33203125" bestFit="1" customWidth="1"/>
    <col min="2561" max="2561" width="12.6640625" customWidth="1"/>
    <col min="2562" max="2562" width="12" customWidth="1"/>
    <col min="2566" max="2567" width="9.33203125" bestFit="1" customWidth="1"/>
    <col min="2568" max="2568" width="10" bestFit="1" customWidth="1"/>
    <col min="2569" max="2574" width="9.33203125" bestFit="1" customWidth="1"/>
    <col min="2817" max="2817" width="12.6640625" customWidth="1"/>
    <col min="2818" max="2818" width="12" customWidth="1"/>
    <col min="2822" max="2823" width="9.33203125" bestFit="1" customWidth="1"/>
    <col min="2824" max="2824" width="10" bestFit="1" customWidth="1"/>
    <col min="2825" max="2830" width="9.33203125" bestFit="1" customWidth="1"/>
    <col min="3073" max="3073" width="12.6640625" customWidth="1"/>
    <col min="3074" max="3074" width="12" customWidth="1"/>
    <col min="3078" max="3079" width="9.33203125" bestFit="1" customWidth="1"/>
    <col min="3080" max="3080" width="10" bestFit="1" customWidth="1"/>
    <col min="3081" max="3086" width="9.33203125" bestFit="1" customWidth="1"/>
    <col min="3329" max="3329" width="12.6640625" customWidth="1"/>
    <col min="3330" max="3330" width="12" customWidth="1"/>
    <col min="3334" max="3335" width="9.33203125" bestFit="1" customWidth="1"/>
    <col min="3336" max="3336" width="10" bestFit="1" customWidth="1"/>
    <col min="3337" max="3342" width="9.33203125" bestFit="1" customWidth="1"/>
    <col min="3585" max="3585" width="12.6640625" customWidth="1"/>
    <col min="3586" max="3586" width="12" customWidth="1"/>
    <col min="3590" max="3591" width="9.33203125" bestFit="1" customWidth="1"/>
    <col min="3592" max="3592" width="10" bestFit="1" customWidth="1"/>
    <col min="3593" max="3598" width="9.33203125" bestFit="1" customWidth="1"/>
    <col min="3841" max="3841" width="12.6640625" customWidth="1"/>
    <col min="3842" max="3842" width="12" customWidth="1"/>
    <col min="3846" max="3847" width="9.33203125" bestFit="1" customWidth="1"/>
    <col min="3848" max="3848" width="10" bestFit="1" customWidth="1"/>
    <col min="3849" max="3854" width="9.33203125" bestFit="1" customWidth="1"/>
    <col min="4097" max="4097" width="12.6640625" customWidth="1"/>
    <col min="4098" max="4098" width="12" customWidth="1"/>
    <col min="4102" max="4103" width="9.33203125" bestFit="1" customWidth="1"/>
    <col min="4104" max="4104" width="10" bestFit="1" customWidth="1"/>
    <col min="4105" max="4110" width="9.33203125" bestFit="1" customWidth="1"/>
    <col min="4353" max="4353" width="12.6640625" customWidth="1"/>
    <col min="4354" max="4354" width="12" customWidth="1"/>
    <col min="4358" max="4359" width="9.33203125" bestFit="1" customWidth="1"/>
    <col min="4360" max="4360" width="10" bestFit="1" customWidth="1"/>
    <col min="4361" max="4366" width="9.33203125" bestFit="1" customWidth="1"/>
    <col min="4609" max="4609" width="12.6640625" customWidth="1"/>
    <col min="4610" max="4610" width="12" customWidth="1"/>
    <col min="4614" max="4615" width="9.33203125" bestFit="1" customWidth="1"/>
    <col min="4616" max="4616" width="10" bestFit="1" customWidth="1"/>
    <col min="4617" max="4622" width="9.33203125" bestFit="1" customWidth="1"/>
    <col min="4865" max="4865" width="12.6640625" customWidth="1"/>
    <col min="4866" max="4866" width="12" customWidth="1"/>
    <col min="4870" max="4871" width="9.33203125" bestFit="1" customWidth="1"/>
    <col min="4872" max="4872" width="10" bestFit="1" customWidth="1"/>
    <col min="4873" max="4878" width="9.33203125" bestFit="1" customWidth="1"/>
    <col min="5121" max="5121" width="12.6640625" customWidth="1"/>
    <col min="5122" max="5122" width="12" customWidth="1"/>
    <col min="5126" max="5127" width="9.33203125" bestFit="1" customWidth="1"/>
    <col min="5128" max="5128" width="10" bestFit="1" customWidth="1"/>
    <col min="5129" max="5134" width="9.33203125" bestFit="1" customWidth="1"/>
    <col min="5377" max="5377" width="12.6640625" customWidth="1"/>
    <col min="5378" max="5378" width="12" customWidth="1"/>
    <col min="5382" max="5383" width="9.33203125" bestFit="1" customWidth="1"/>
    <col min="5384" max="5384" width="10" bestFit="1" customWidth="1"/>
    <col min="5385" max="5390" width="9.33203125" bestFit="1" customWidth="1"/>
    <col min="5633" max="5633" width="12.6640625" customWidth="1"/>
    <col min="5634" max="5634" width="12" customWidth="1"/>
    <col min="5638" max="5639" width="9.33203125" bestFit="1" customWidth="1"/>
    <col min="5640" max="5640" width="10" bestFit="1" customWidth="1"/>
    <col min="5641" max="5646" width="9.33203125" bestFit="1" customWidth="1"/>
    <col min="5889" max="5889" width="12.6640625" customWidth="1"/>
    <col min="5890" max="5890" width="12" customWidth="1"/>
    <col min="5894" max="5895" width="9.33203125" bestFit="1" customWidth="1"/>
    <col min="5896" max="5896" width="10" bestFit="1" customWidth="1"/>
    <col min="5897" max="5902" width="9.33203125" bestFit="1" customWidth="1"/>
    <col min="6145" max="6145" width="12.6640625" customWidth="1"/>
    <col min="6146" max="6146" width="12" customWidth="1"/>
    <col min="6150" max="6151" width="9.33203125" bestFit="1" customWidth="1"/>
    <col min="6152" max="6152" width="10" bestFit="1" customWidth="1"/>
    <col min="6153" max="6158" width="9.33203125" bestFit="1" customWidth="1"/>
    <col min="6401" max="6401" width="12.6640625" customWidth="1"/>
    <col min="6402" max="6402" width="12" customWidth="1"/>
    <col min="6406" max="6407" width="9.33203125" bestFit="1" customWidth="1"/>
    <col min="6408" max="6408" width="10" bestFit="1" customWidth="1"/>
    <col min="6409" max="6414" width="9.33203125" bestFit="1" customWidth="1"/>
    <col min="6657" max="6657" width="12.6640625" customWidth="1"/>
    <col min="6658" max="6658" width="12" customWidth="1"/>
    <col min="6662" max="6663" width="9.33203125" bestFit="1" customWidth="1"/>
    <col min="6664" max="6664" width="10" bestFit="1" customWidth="1"/>
    <col min="6665" max="6670" width="9.33203125" bestFit="1" customWidth="1"/>
    <col min="6913" max="6913" width="12.6640625" customWidth="1"/>
    <col min="6914" max="6914" width="12" customWidth="1"/>
    <col min="6918" max="6919" width="9.33203125" bestFit="1" customWidth="1"/>
    <col min="6920" max="6920" width="10" bestFit="1" customWidth="1"/>
    <col min="6921" max="6926" width="9.33203125" bestFit="1" customWidth="1"/>
    <col min="7169" max="7169" width="12.6640625" customWidth="1"/>
    <col min="7170" max="7170" width="12" customWidth="1"/>
    <col min="7174" max="7175" width="9.33203125" bestFit="1" customWidth="1"/>
    <col min="7176" max="7176" width="10" bestFit="1" customWidth="1"/>
    <col min="7177" max="7182" width="9.33203125" bestFit="1" customWidth="1"/>
    <col min="7425" max="7425" width="12.6640625" customWidth="1"/>
    <col min="7426" max="7426" width="12" customWidth="1"/>
    <col min="7430" max="7431" width="9.33203125" bestFit="1" customWidth="1"/>
    <col min="7432" max="7432" width="10" bestFit="1" customWidth="1"/>
    <col min="7433" max="7438" width="9.33203125" bestFit="1" customWidth="1"/>
    <col min="7681" max="7681" width="12.6640625" customWidth="1"/>
    <col min="7682" max="7682" width="12" customWidth="1"/>
    <col min="7686" max="7687" width="9.33203125" bestFit="1" customWidth="1"/>
    <col min="7688" max="7688" width="10" bestFit="1" customWidth="1"/>
    <col min="7689" max="7694" width="9.33203125" bestFit="1" customWidth="1"/>
    <col min="7937" max="7937" width="12.6640625" customWidth="1"/>
    <col min="7938" max="7938" width="12" customWidth="1"/>
    <col min="7942" max="7943" width="9.33203125" bestFit="1" customWidth="1"/>
    <col min="7944" max="7944" width="10" bestFit="1" customWidth="1"/>
    <col min="7945" max="7950" width="9.33203125" bestFit="1" customWidth="1"/>
    <col min="8193" max="8193" width="12.6640625" customWidth="1"/>
    <col min="8194" max="8194" width="12" customWidth="1"/>
    <col min="8198" max="8199" width="9.33203125" bestFit="1" customWidth="1"/>
    <col min="8200" max="8200" width="10" bestFit="1" customWidth="1"/>
    <col min="8201" max="8206" width="9.33203125" bestFit="1" customWidth="1"/>
    <col min="8449" max="8449" width="12.6640625" customWidth="1"/>
    <col min="8450" max="8450" width="12" customWidth="1"/>
    <col min="8454" max="8455" width="9.33203125" bestFit="1" customWidth="1"/>
    <col min="8456" max="8456" width="10" bestFit="1" customWidth="1"/>
    <col min="8457" max="8462" width="9.33203125" bestFit="1" customWidth="1"/>
    <col min="8705" max="8705" width="12.6640625" customWidth="1"/>
    <col min="8706" max="8706" width="12" customWidth="1"/>
    <col min="8710" max="8711" width="9.33203125" bestFit="1" customWidth="1"/>
    <col min="8712" max="8712" width="10" bestFit="1" customWidth="1"/>
    <col min="8713" max="8718" width="9.33203125" bestFit="1" customWidth="1"/>
    <col min="8961" max="8961" width="12.6640625" customWidth="1"/>
    <col min="8962" max="8962" width="12" customWidth="1"/>
    <col min="8966" max="8967" width="9.33203125" bestFit="1" customWidth="1"/>
    <col min="8968" max="8968" width="10" bestFit="1" customWidth="1"/>
    <col min="8969" max="8974" width="9.33203125" bestFit="1" customWidth="1"/>
    <col min="9217" max="9217" width="12.6640625" customWidth="1"/>
    <col min="9218" max="9218" width="12" customWidth="1"/>
    <col min="9222" max="9223" width="9.33203125" bestFit="1" customWidth="1"/>
    <col min="9224" max="9224" width="10" bestFit="1" customWidth="1"/>
    <col min="9225" max="9230" width="9.33203125" bestFit="1" customWidth="1"/>
    <col min="9473" max="9473" width="12.6640625" customWidth="1"/>
    <col min="9474" max="9474" width="12" customWidth="1"/>
    <col min="9478" max="9479" width="9.33203125" bestFit="1" customWidth="1"/>
    <col min="9480" max="9480" width="10" bestFit="1" customWidth="1"/>
    <col min="9481" max="9486" width="9.33203125" bestFit="1" customWidth="1"/>
    <col min="9729" max="9729" width="12.6640625" customWidth="1"/>
    <col min="9730" max="9730" width="12" customWidth="1"/>
    <col min="9734" max="9735" width="9.33203125" bestFit="1" customWidth="1"/>
    <col min="9736" max="9736" width="10" bestFit="1" customWidth="1"/>
    <col min="9737" max="9742" width="9.33203125" bestFit="1" customWidth="1"/>
    <col min="9985" max="9985" width="12.6640625" customWidth="1"/>
    <col min="9986" max="9986" width="12" customWidth="1"/>
    <col min="9990" max="9991" width="9.33203125" bestFit="1" customWidth="1"/>
    <col min="9992" max="9992" width="10" bestFit="1" customWidth="1"/>
    <col min="9993" max="9998" width="9.33203125" bestFit="1" customWidth="1"/>
    <col min="10241" max="10241" width="12.6640625" customWidth="1"/>
    <col min="10242" max="10242" width="12" customWidth="1"/>
    <col min="10246" max="10247" width="9.33203125" bestFit="1" customWidth="1"/>
    <col min="10248" max="10248" width="10" bestFit="1" customWidth="1"/>
    <col min="10249" max="10254" width="9.33203125" bestFit="1" customWidth="1"/>
    <col min="10497" max="10497" width="12.6640625" customWidth="1"/>
    <col min="10498" max="10498" width="12" customWidth="1"/>
    <col min="10502" max="10503" width="9.33203125" bestFit="1" customWidth="1"/>
    <col min="10504" max="10504" width="10" bestFit="1" customWidth="1"/>
    <col min="10505" max="10510" width="9.33203125" bestFit="1" customWidth="1"/>
    <col min="10753" max="10753" width="12.6640625" customWidth="1"/>
    <col min="10754" max="10754" width="12" customWidth="1"/>
    <col min="10758" max="10759" width="9.33203125" bestFit="1" customWidth="1"/>
    <col min="10760" max="10760" width="10" bestFit="1" customWidth="1"/>
    <col min="10761" max="10766" width="9.33203125" bestFit="1" customWidth="1"/>
    <col min="11009" max="11009" width="12.6640625" customWidth="1"/>
    <col min="11010" max="11010" width="12" customWidth="1"/>
    <col min="11014" max="11015" width="9.33203125" bestFit="1" customWidth="1"/>
    <col min="11016" max="11016" width="10" bestFit="1" customWidth="1"/>
    <col min="11017" max="11022" width="9.33203125" bestFit="1" customWidth="1"/>
    <col min="11265" max="11265" width="12.6640625" customWidth="1"/>
    <col min="11266" max="11266" width="12" customWidth="1"/>
    <col min="11270" max="11271" width="9.33203125" bestFit="1" customWidth="1"/>
    <col min="11272" max="11272" width="10" bestFit="1" customWidth="1"/>
    <col min="11273" max="11278" width="9.33203125" bestFit="1" customWidth="1"/>
    <col min="11521" max="11521" width="12.6640625" customWidth="1"/>
    <col min="11522" max="11522" width="12" customWidth="1"/>
    <col min="11526" max="11527" width="9.33203125" bestFit="1" customWidth="1"/>
    <col min="11528" max="11528" width="10" bestFit="1" customWidth="1"/>
    <col min="11529" max="11534" width="9.33203125" bestFit="1" customWidth="1"/>
    <col min="11777" max="11777" width="12.6640625" customWidth="1"/>
    <col min="11778" max="11778" width="12" customWidth="1"/>
    <col min="11782" max="11783" width="9.33203125" bestFit="1" customWidth="1"/>
    <col min="11784" max="11784" width="10" bestFit="1" customWidth="1"/>
    <col min="11785" max="11790" width="9.33203125" bestFit="1" customWidth="1"/>
    <col min="12033" max="12033" width="12.6640625" customWidth="1"/>
    <col min="12034" max="12034" width="12" customWidth="1"/>
    <col min="12038" max="12039" width="9.33203125" bestFit="1" customWidth="1"/>
    <col min="12040" max="12040" width="10" bestFit="1" customWidth="1"/>
    <col min="12041" max="12046" width="9.33203125" bestFit="1" customWidth="1"/>
    <col min="12289" max="12289" width="12.6640625" customWidth="1"/>
    <col min="12290" max="12290" width="12" customWidth="1"/>
    <col min="12294" max="12295" width="9.33203125" bestFit="1" customWidth="1"/>
    <col min="12296" max="12296" width="10" bestFit="1" customWidth="1"/>
    <col min="12297" max="12302" width="9.33203125" bestFit="1" customWidth="1"/>
    <col min="12545" max="12545" width="12.6640625" customWidth="1"/>
    <col min="12546" max="12546" width="12" customWidth="1"/>
    <col min="12550" max="12551" width="9.33203125" bestFit="1" customWidth="1"/>
    <col min="12552" max="12552" width="10" bestFit="1" customWidth="1"/>
    <col min="12553" max="12558" width="9.33203125" bestFit="1" customWidth="1"/>
    <col min="12801" max="12801" width="12.6640625" customWidth="1"/>
    <col min="12802" max="12802" width="12" customWidth="1"/>
    <col min="12806" max="12807" width="9.33203125" bestFit="1" customWidth="1"/>
    <col min="12808" max="12808" width="10" bestFit="1" customWidth="1"/>
    <col min="12809" max="12814" width="9.33203125" bestFit="1" customWidth="1"/>
    <col min="13057" max="13057" width="12.6640625" customWidth="1"/>
    <col min="13058" max="13058" width="12" customWidth="1"/>
    <col min="13062" max="13063" width="9.33203125" bestFit="1" customWidth="1"/>
    <col min="13064" max="13064" width="10" bestFit="1" customWidth="1"/>
    <col min="13065" max="13070" width="9.33203125" bestFit="1" customWidth="1"/>
    <col min="13313" max="13313" width="12.6640625" customWidth="1"/>
    <col min="13314" max="13314" width="12" customWidth="1"/>
    <col min="13318" max="13319" width="9.33203125" bestFit="1" customWidth="1"/>
    <col min="13320" max="13320" width="10" bestFit="1" customWidth="1"/>
    <col min="13321" max="13326" width="9.33203125" bestFit="1" customWidth="1"/>
    <col min="13569" max="13569" width="12.6640625" customWidth="1"/>
    <col min="13570" max="13570" width="12" customWidth="1"/>
    <col min="13574" max="13575" width="9.33203125" bestFit="1" customWidth="1"/>
    <col min="13576" max="13576" width="10" bestFit="1" customWidth="1"/>
    <col min="13577" max="13582" width="9.33203125" bestFit="1" customWidth="1"/>
    <col min="13825" max="13825" width="12.6640625" customWidth="1"/>
    <col min="13826" max="13826" width="12" customWidth="1"/>
    <col min="13830" max="13831" width="9.33203125" bestFit="1" customWidth="1"/>
    <col min="13832" max="13832" width="10" bestFit="1" customWidth="1"/>
    <col min="13833" max="13838" width="9.33203125" bestFit="1" customWidth="1"/>
    <col min="14081" max="14081" width="12.6640625" customWidth="1"/>
    <col min="14082" max="14082" width="12" customWidth="1"/>
    <col min="14086" max="14087" width="9.33203125" bestFit="1" customWidth="1"/>
    <col min="14088" max="14088" width="10" bestFit="1" customWidth="1"/>
    <col min="14089" max="14094" width="9.33203125" bestFit="1" customWidth="1"/>
    <col min="14337" max="14337" width="12.6640625" customWidth="1"/>
    <col min="14338" max="14338" width="12" customWidth="1"/>
    <col min="14342" max="14343" width="9.33203125" bestFit="1" customWidth="1"/>
    <col min="14344" max="14344" width="10" bestFit="1" customWidth="1"/>
    <col min="14345" max="14350" width="9.33203125" bestFit="1" customWidth="1"/>
    <col min="14593" max="14593" width="12.6640625" customWidth="1"/>
    <col min="14594" max="14594" width="12" customWidth="1"/>
    <col min="14598" max="14599" width="9.33203125" bestFit="1" customWidth="1"/>
    <col min="14600" max="14600" width="10" bestFit="1" customWidth="1"/>
    <col min="14601" max="14606" width="9.33203125" bestFit="1" customWidth="1"/>
    <col min="14849" max="14849" width="12.6640625" customWidth="1"/>
    <col min="14850" max="14850" width="12" customWidth="1"/>
    <col min="14854" max="14855" width="9.33203125" bestFit="1" customWidth="1"/>
    <col min="14856" max="14856" width="10" bestFit="1" customWidth="1"/>
    <col min="14857" max="14862" width="9.33203125" bestFit="1" customWidth="1"/>
    <col min="15105" max="15105" width="12.6640625" customWidth="1"/>
    <col min="15106" max="15106" width="12" customWidth="1"/>
    <col min="15110" max="15111" width="9.33203125" bestFit="1" customWidth="1"/>
    <col min="15112" max="15112" width="10" bestFit="1" customWidth="1"/>
    <col min="15113" max="15118" width="9.33203125" bestFit="1" customWidth="1"/>
    <col min="15361" max="15361" width="12.6640625" customWidth="1"/>
    <col min="15362" max="15362" width="12" customWidth="1"/>
    <col min="15366" max="15367" width="9.33203125" bestFit="1" customWidth="1"/>
    <col min="15368" max="15368" width="10" bestFit="1" customWidth="1"/>
    <col min="15369" max="15374" width="9.33203125" bestFit="1" customWidth="1"/>
    <col min="15617" max="15617" width="12.6640625" customWidth="1"/>
    <col min="15618" max="15618" width="12" customWidth="1"/>
    <col min="15622" max="15623" width="9.33203125" bestFit="1" customWidth="1"/>
    <col min="15624" max="15624" width="10" bestFit="1" customWidth="1"/>
    <col min="15625" max="15630" width="9.33203125" bestFit="1" customWidth="1"/>
    <col min="15873" max="15873" width="12.6640625" customWidth="1"/>
    <col min="15874" max="15874" width="12" customWidth="1"/>
    <col min="15878" max="15879" width="9.33203125" bestFit="1" customWidth="1"/>
    <col min="15880" max="15880" width="10" bestFit="1" customWidth="1"/>
    <col min="15881" max="15886" width="9.33203125" bestFit="1" customWidth="1"/>
    <col min="16129" max="16129" width="12.6640625" customWidth="1"/>
    <col min="16130" max="16130" width="12" customWidth="1"/>
    <col min="16134" max="16135" width="9.33203125" bestFit="1" customWidth="1"/>
    <col min="16136" max="16136" width="10" bestFit="1" customWidth="1"/>
    <col min="16137" max="16142" width="9.33203125" bestFit="1" customWidth="1"/>
  </cols>
  <sheetData>
    <row r="1" spans="1:2">
      <c r="A1" s="1" t="s">
        <v>161</v>
      </c>
    </row>
    <row r="3" spans="1:2">
      <c r="A3" s="2" t="s">
        <v>85</v>
      </c>
      <c r="B3" s="2" t="s">
        <v>30</v>
      </c>
    </row>
    <row r="5" spans="1:2">
      <c r="A5">
        <v>32996</v>
      </c>
      <c r="B5">
        <v>516</v>
      </c>
    </row>
    <row r="6" spans="1:2">
      <c r="A6">
        <v>34242</v>
      </c>
      <c r="B6">
        <v>530</v>
      </c>
    </row>
    <row r="7" spans="1:2">
      <c r="A7">
        <v>27825</v>
      </c>
      <c r="B7">
        <v>528</v>
      </c>
    </row>
    <row r="8" spans="1:2">
      <c r="A8">
        <v>29807</v>
      </c>
      <c r="B8">
        <v>517</v>
      </c>
    </row>
    <row r="9" spans="1:2">
      <c r="A9">
        <v>28692</v>
      </c>
      <c r="B9">
        <v>500</v>
      </c>
    </row>
    <row r="10" spans="1:2">
      <c r="A10">
        <v>34449</v>
      </c>
      <c r="B10">
        <v>514</v>
      </c>
    </row>
    <row r="11" spans="1:2">
      <c r="A11">
        <v>33335</v>
      </c>
      <c r="B11">
        <v>515</v>
      </c>
    </row>
    <row r="12" spans="1:2">
      <c r="A12">
        <v>38217</v>
      </c>
      <c r="B12">
        <v>509</v>
      </c>
    </row>
    <row r="13" spans="1:2">
      <c r="A13">
        <v>36690</v>
      </c>
      <c r="B13">
        <v>524</v>
      </c>
    </row>
    <row r="14" spans="1:2">
      <c r="A14">
        <v>35303</v>
      </c>
      <c r="B14">
        <v>524</v>
      </c>
    </row>
    <row r="15" spans="1:2">
      <c r="A15">
        <v>33780</v>
      </c>
      <c r="B15">
        <v>539</v>
      </c>
    </row>
    <row r="16" spans="1:2">
      <c r="A16">
        <v>32843</v>
      </c>
      <c r="B16">
        <v>551</v>
      </c>
    </row>
    <row r="17" spans="1:6">
      <c r="A17">
        <v>37781</v>
      </c>
      <c r="B17">
        <v>543</v>
      </c>
    </row>
    <row r="18" spans="1:6">
      <c r="A18">
        <v>27716</v>
      </c>
      <c r="B18">
        <v>528</v>
      </c>
    </row>
    <row r="19" spans="1:6">
      <c r="A19">
        <v>31876</v>
      </c>
      <c r="B19">
        <v>531</v>
      </c>
    </row>
    <row r="20" spans="1:6">
      <c r="A20">
        <v>31463</v>
      </c>
      <c r="B20">
        <v>542</v>
      </c>
    </row>
    <row r="21" spans="1:6">
      <c r="A21">
        <v>29829</v>
      </c>
      <c r="B21">
        <v>558</v>
      </c>
    </row>
    <row r="23" spans="1:6">
      <c r="A23" s="642" t="s">
        <v>286</v>
      </c>
      <c r="B23" t="s">
        <v>193</v>
      </c>
      <c r="D23" t="s">
        <v>229</v>
      </c>
      <c r="F23" t="s">
        <v>230</v>
      </c>
    </row>
    <row r="24" spans="1:6">
      <c r="A24" s="642"/>
    </row>
    <row r="25" spans="1:6">
      <c r="A25" s="649"/>
      <c r="B25" s="1" t="s">
        <v>231</v>
      </c>
      <c r="E25" s="1" t="s">
        <v>232</v>
      </c>
    </row>
    <row r="26" spans="1:6">
      <c r="A26" s="650"/>
      <c r="B26" s="1" t="s">
        <v>233</v>
      </c>
      <c r="E26" s="1" t="s">
        <v>233</v>
      </c>
    </row>
    <row r="27" spans="1:6">
      <c r="A27" s="651"/>
      <c r="B27" s="291" t="s">
        <v>234</v>
      </c>
      <c r="C27" t="s">
        <v>235</v>
      </c>
    </row>
    <row r="28" spans="1:6">
      <c r="A28" s="642" t="s">
        <v>280</v>
      </c>
      <c r="B28" s="1" t="s">
        <v>236</v>
      </c>
      <c r="C28" s="291"/>
    </row>
    <row r="29" spans="1:6">
      <c r="C29" s="2" t="s">
        <v>85</v>
      </c>
      <c r="E29" s="1" t="s">
        <v>30</v>
      </c>
    </row>
    <row r="30" spans="1:6">
      <c r="C30" s="334">
        <f>FORECAST(E30,A$5:A$21,B$5:B$21)</f>
        <v>32824.647302711266</v>
      </c>
      <c r="E30">
        <v>520</v>
      </c>
    </row>
    <row r="31" spans="1:6">
      <c r="C31" s="334">
        <f>FORECAST(E31,A$5:A$21,B$5:B$21)</f>
        <v>32733.561709990994</v>
      </c>
      <c r="E31">
        <v>530</v>
      </c>
    </row>
    <row r="32" spans="1:6">
      <c r="C32" s="334">
        <f>FORECAST(E32,A$5:A$21,B$5:B$21)</f>
        <v>32642.476117270722</v>
      </c>
      <c r="E32">
        <v>540</v>
      </c>
    </row>
    <row r="33" spans="2:5">
      <c r="C33" s="334">
        <f>FORECAST(E33,A$5:A$21,B$5:B$21)</f>
        <v>32551.39052455045</v>
      </c>
      <c r="E33">
        <v>550</v>
      </c>
    </row>
    <row r="34" spans="2:5">
      <c r="B34" s="335"/>
    </row>
    <row r="35" spans="2:5">
      <c r="B35" s="335"/>
    </row>
    <row r="36" spans="2:5">
      <c r="B36" s="335"/>
    </row>
    <row r="37" spans="2:5">
      <c r="B37" s="538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54"/>
  <sheetViews>
    <sheetView workbookViewId="0">
      <selection activeCell="E4" sqref="E4"/>
    </sheetView>
  </sheetViews>
  <sheetFormatPr baseColWidth="10" defaultColWidth="8.83203125" defaultRowHeight="15"/>
  <cols>
    <col min="2" max="2" width="11.6640625" customWidth="1"/>
    <col min="3" max="3" width="18.33203125" customWidth="1"/>
    <col min="4" max="4" width="19.83203125" style="30" bestFit="1" customWidth="1"/>
    <col min="5" max="5" width="19.83203125" style="30" customWidth="1"/>
    <col min="6" max="6" width="11.6640625" style="30" customWidth="1"/>
    <col min="7" max="7" width="12.6640625" customWidth="1"/>
    <col min="9" max="9" width="18.6640625" style="11" bestFit="1" customWidth="1"/>
    <col min="10" max="10" width="11.6640625" style="11" customWidth="1"/>
    <col min="11" max="11" width="15.5" style="11" customWidth="1"/>
    <col min="12" max="13" width="9.1640625" style="11"/>
    <col min="14" max="14" width="13.5" customWidth="1"/>
    <col min="15" max="15" width="10.5" customWidth="1"/>
    <col min="16" max="16" width="11.5" customWidth="1"/>
    <col min="17" max="17" width="11.33203125" customWidth="1"/>
    <col min="258" max="258" width="11.6640625" customWidth="1"/>
    <col min="260" max="260" width="19.83203125" bestFit="1" customWidth="1"/>
    <col min="261" max="261" width="19.83203125" customWidth="1"/>
    <col min="262" max="262" width="11.6640625" customWidth="1"/>
    <col min="263" max="263" width="12.6640625" customWidth="1"/>
    <col min="265" max="265" width="18.6640625" bestFit="1" customWidth="1"/>
    <col min="266" max="266" width="11.6640625" customWidth="1"/>
    <col min="267" max="267" width="15.5" customWidth="1"/>
    <col min="270" max="270" width="13.5" customWidth="1"/>
    <col min="271" max="271" width="10.5" customWidth="1"/>
    <col min="272" max="272" width="11.5" customWidth="1"/>
    <col min="273" max="273" width="11.33203125" customWidth="1"/>
    <col min="514" max="514" width="11.6640625" customWidth="1"/>
    <col min="516" max="516" width="19.83203125" bestFit="1" customWidth="1"/>
    <col min="517" max="517" width="19.83203125" customWidth="1"/>
    <col min="518" max="518" width="11.6640625" customWidth="1"/>
    <col min="519" max="519" width="12.6640625" customWidth="1"/>
    <col min="521" max="521" width="18.6640625" bestFit="1" customWidth="1"/>
    <col min="522" max="522" width="11.6640625" customWidth="1"/>
    <col min="523" max="523" width="15.5" customWidth="1"/>
    <col min="526" max="526" width="13.5" customWidth="1"/>
    <col min="527" max="527" width="10.5" customWidth="1"/>
    <col min="528" max="528" width="11.5" customWidth="1"/>
    <col min="529" max="529" width="11.33203125" customWidth="1"/>
    <col min="770" max="770" width="11.6640625" customWidth="1"/>
    <col min="772" max="772" width="19.83203125" bestFit="1" customWidth="1"/>
    <col min="773" max="773" width="19.83203125" customWidth="1"/>
    <col min="774" max="774" width="11.6640625" customWidth="1"/>
    <col min="775" max="775" width="12.6640625" customWidth="1"/>
    <col min="777" max="777" width="18.6640625" bestFit="1" customWidth="1"/>
    <col min="778" max="778" width="11.6640625" customWidth="1"/>
    <col min="779" max="779" width="15.5" customWidth="1"/>
    <col min="782" max="782" width="13.5" customWidth="1"/>
    <col min="783" max="783" width="10.5" customWidth="1"/>
    <col min="784" max="784" width="11.5" customWidth="1"/>
    <col min="785" max="785" width="11.33203125" customWidth="1"/>
    <col min="1026" max="1026" width="11.6640625" customWidth="1"/>
    <col min="1028" max="1028" width="19.83203125" bestFit="1" customWidth="1"/>
    <col min="1029" max="1029" width="19.83203125" customWidth="1"/>
    <col min="1030" max="1030" width="11.6640625" customWidth="1"/>
    <col min="1031" max="1031" width="12.6640625" customWidth="1"/>
    <col min="1033" max="1033" width="18.6640625" bestFit="1" customWidth="1"/>
    <col min="1034" max="1034" width="11.6640625" customWidth="1"/>
    <col min="1035" max="1035" width="15.5" customWidth="1"/>
    <col min="1038" max="1038" width="13.5" customWidth="1"/>
    <col min="1039" max="1039" width="10.5" customWidth="1"/>
    <col min="1040" max="1040" width="11.5" customWidth="1"/>
    <col min="1041" max="1041" width="11.33203125" customWidth="1"/>
    <col min="1282" max="1282" width="11.6640625" customWidth="1"/>
    <col min="1284" max="1284" width="19.83203125" bestFit="1" customWidth="1"/>
    <col min="1285" max="1285" width="19.83203125" customWidth="1"/>
    <col min="1286" max="1286" width="11.6640625" customWidth="1"/>
    <col min="1287" max="1287" width="12.6640625" customWidth="1"/>
    <col min="1289" max="1289" width="18.6640625" bestFit="1" customWidth="1"/>
    <col min="1290" max="1290" width="11.6640625" customWidth="1"/>
    <col min="1291" max="1291" width="15.5" customWidth="1"/>
    <col min="1294" max="1294" width="13.5" customWidth="1"/>
    <col min="1295" max="1295" width="10.5" customWidth="1"/>
    <col min="1296" max="1296" width="11.5" customWidth="1"/>
    <col min="1297" max="1297" width="11.33203125" customWidth="1"/>
    <col min="1538" max="1538" width="11.6640625" customWidth="1"/>
    <col min="1540" max="1540" width="19.83203125" bestFit="1" customWidth="1"/>
    <col min="1541" max="1541" width="19.83203125" customWidth="1"/>
    <col min="1542" max="1542" width="11.6640625" customWidth="1"/>
    <col min="1543" max="1543" width="12.6640625" customWidth="1"/>
    <col min="1545" max="1545" width="18.6640625" bestFit="1" customWidth="1"/>
    <col min="1546" max="1546" width="11.6640625" customWidth="1"/>
    <col min="1547" max="1547" width="15.5" customWidth="1"/>
    <col min="1550" max="1550" width="13.5" customWidth="1"/>
    <col min="1551" max="1551" width="10.5" customWidth="1"/>
    <col min="1552" max="1552" width="11.5" customWidth="1"/>
    <col min="1553" max="1553" width="11.33203125" customWidth="1"/>
    <col min="1794" max="1794" width="11.6640625" customWidth="1"/>
    <col min="1796" max="1796" width="19.83203125" bestFit="1" customWidth="1"/>
    <col min="1797" max="1797" width="19.83203125" customWidth="1"/>
    <col min="1798" max="1798" width="11.6640625" customWidth="1"/>
    <col min="1799" max="1799" width="12.6640625" customWidth="1"/>
    <col min="1801" max="1801" width="18.6640625" bestFit="1" customWidth="1"/>
    <col min="1802" max="1802" width="11.6640625" customWidth="1"/>
    <col min="1803" max="1803" width="15.5" customWidth="1"/>
    <col min="1806" max="1806" width="13.5" customWidth="1"/>
    <col min="1807" max="1807" width="10.5" customWidth="1"/>
    <col min="1808" max="1808" width="11.5" customWidth="1"/>
    <col min="1809" max="1809" width="11.33203125" customWidth="1"/>
    <col min="2050" max="2050" width="11.6640625" customWidth="1"/>
    <col min="2052" max="2052" width="19.83203125" bestFit="1" customWidth="1"/>
    <col min="2053" max="2053" width="19.83203125" customWidth="1"/>
    <col min="2054" max="2054" width="11.6640625" customWidth="1"/>
    <col min="2055" max="2055" width="12.6640625" customWidth="1"/>
    <col min="2057" max="2057" width="18.6640625" bestFit="1" customWidth="1"/>
    <col min="2058" max="2058" width="11.6640625" customWidth="1"/>
    <col min="2059" max="2059" width="15.5" customWidth="1"/>
    <col min="2062" max="2062" width="13.5" customWidth="1"/>
    <col min="2063" max="2063" width="10.5" customWidth="1"/>
    <col min="2064" max="2064" width="11.5" customWidth="1"/>
    <col min="2065" max="2065" width="11.33203125" customWidth="1"/>
    <col min="2306" max="2306" width="11.6640625" customWidth="1"/>
    <col min="2308" max="2308" width="19.83203125" bestFit="1" customWidth="1"/>
    <col min="2309" max="2309" width="19.83203125" customWidth="1"/>
    <col min="2310" max="2310" width="11.6640625" customWidth="1"/>
    <col min="2311" max="2311" width="12.6640625" customWidth="1"/>
    <col min="2313" max="2313" width="18.6640625" bestFit="1" customWidth="1"/>
    <col min="2314" max="2314" width="11.6640625" customWidth="1"/>
    <col min="2315" max="2315" width="15.5" customWidth="1"/>
    <col min="2318" max="2318" width="13.5" customWidth="1"/>
    <col min="2319" max="2319" width="10.5" customWidth="1"/>
    <col min="2320" max="2320" width="11.5" customWidth="1"/>
    <col min="2321" max="2321" width="11.33203125" customWidth="1"/>
    <col min="2562" max="2562" width="11.6640625" customWidth="1"/>
    <col min="2564" max="2564" width="19.83203125" bestFit="1" customWidth="1"/>
    <col min="2565" max="2565" width="19.83203125" customWidth="1"/>
    <col min="2566" max="2566" width="11.6640625" customWidth="1"/>
    <col min="2567" max="2567" width="12.6640625" customWidth="1"/>
    <col min="2569" max="2569" width="18.6640625" bestFit="1" customWidth="1"/>
    <col min="2570" max="2570" width="11.6640625" customWidth="1"/>
    <col min="2571" max="2571" width="15.5" customWidth="1"/>
    <col min="2574" max="2574" width="13.5" customWidth="1"/>
    <col min="2575" max="2575" width="10.5" customWidth="1"/>
    <col min="2576" max="2576" width="11.5" customWidth="1"/>
    <col min="2577" max="2577" width="11.33203125" customWidth="1"/>
    <col min="2818" max="2818" width="11.6640625" customWidth="1"/>
    <col min="2820" max="2820" width="19.83203125" bestFit="1" customWidth="1"/>
    <col min="2821" max="2821" width="19.83203125" customWidth="1"/>
    <col min="2822" max="2822" width="11.6640625" customWidth="1"/>
    <col min="2823" max="2823" width="12.6640625" customWidth="1"/>
    <col min="2825" max="2825" width="18.6640625" bestFit="1" customWidth="1"/>
    <col min="2826" max="2826" width="11.6640625" customWidth="1"/>
    <col min="2827" max="2827" width="15.5" customWidth="1"/>
    <col min="2830" max="2830" width="13.5" customWidth="1"/>
    <col min="2831" max="2831" width="10.5" customWidth="1"/>
    <col min="2832" max="2832" width="11.5" customWidth="1"/>
    <col min="2833" max="2833" width="11.33203125" customWidth="1"/>
    <col min="3074" max="3074" width="11.6640625" customWidth="1"/>
    <col min="3076" max="3076" width="19.83203125" bestFit="1" customWidth="1"/>
    <col min="3077" max="3077" width="19.83203125" customWidth="1"/>
    <col min="3078" max="3078" width="11.6640625" customWidth="1"/>
    <col min="3079" max="3079" width="12.6640625" customWidth="1"/>
    <col min="3081" max="3081" width="18.6640625" bestFit="1" customWidth="1"/>
    <col min="3082" max="3082" width="11.6640625" customWidth="1"/>
    <col min="3083" max="3083" width="15.5" customWidth="1"/>
    <col min="3086" max="3086" width="13.5" customWidth="1"/>
    <col min="3087" max="3087" width="10.5" customWidth="1"/>
    <col min="3088" max="3088" width="11.5" customWidth="1"/>
    <col min="3089" max="3089" width="11.33203125" customWidth="1"/>
    <col min="3330" max="3330" width="11.6640625" customWidth="1"/>
    <col min="3332" max="3332" width="19.83203125" bestFit="1" customWidth="1"/>
    <col min="3333" max="3333" width="19.83203125" customWidth="1"/>
    <col min="3334" max="3334" width="11.6640625" customWidth="1"/>
    <col min="3335" max="3335" width="12.6640625" customWidth="1"/>
    <col min="3337" max="3337" width="18.6640625" bestFit="1" customWidth="1"/>
    <col min="3338" max="3338" width="11.6640625" customWidth="1"/>
    <col min="3339" max="3339" width="15.5" customWidth="1"/>
    <col min="3342" max="3342" width="13.5" customWidth="1"/>
    <col min="3343" max="3343" width="10.5" customWidth="1"/>
    <col min="3344" max="3344" width="11.5" customWidth="1"/>
    <col min="3345" max="3345" width="11.33203125" customWidth="1"/>
    <col min="3586" max="3586" width="11.6640625" customWidth="1"/>
    <col min="3588" max="3588" width="19.83203125" bestFit="1" customWidth="1"/>
    <col min="3589" max="3589" width="19.83203125" customWidth="1"/>
    <col min="3590" max="3590" width="11.6640625" customWidth="1"/>
    <col min="3591" max="3591" width="12.6640625" customWidth="1"/>
    <col min="3593" max="3593" width="18.6640625" bestFit="1" customWidth="1"/>
    <col min="3594" max="3594" width="11.6640625" customWidth="1"/>
    <col min="3595" max="3595" width="15.5" customWidth="1"/>
    <col min="3598" max="3598" width="13.5" customWidth="1"/>
    <col min="3599" max="3599" width="10.5" customWidth="1"/>
    <col min="3600" max="3600" width="11.5" customWidth="1"/>
    <col min="3601" max="3601" width="11.33203125" customWidth="1"/>
    <col min="3842" max="3842" width="11.6640625" customWidth="1"/>
    <col min="3844" max="3844" width="19.83203125" bestFit="1" customWidth="1"/>
    <col min="3845" max="3845" width="19.83203125" customWidth="1"/>
    <col min="3846" max="3846" width="11.6640625" customWidth="1"/>
    <col min="3847" max="3847" width="12.6640625" customWidth="1"/>
    <col min="3849" max="3849" width="18.6640625" bestFit="1" customWidth="1"/>
    <col min="3850" max="3850" width="11.6640625" customWidth="1"/>
    <col min="3851" max="3851" width="15.5" customWidth="1"/>
    <col min="3854" max="3854" width="13.5" customWidth="1"/>
    <col min="3855" max="3855" width="10.5" customWidth="1"/>
    <col min="3856" max="3856" width="11.5" customWidth="1"/>
    <col min="3857" max="3857" width="11.33203125" customWidth="1"/>
    <col min="4098" max="4098" width="11.6640625" customWidth="1"/>
    <col min="4100" max="4100" width="19.83203125" bestFit="1" customWidth="1"/>
    <col min="4101" max="4101" width="19.83203125" customWidth="1"/>
    <col min="4102" max="4102" width="11.6640625" customWidth="1"/>
    <col min="4103" max="4103" width="12.6640625" customWidth="1"/>
    <col min="4105" max="4105" width="18.6640625" bestFit="1" customWidth="1"/>
    <col min="4106" max="4106" width="11.6640625" customWidth="1"/>
    <col min="4107" max="4107" width="15.5" customWidth="1"/>
    <col min="4110" max="4110" width="13.5" customWidth="1"/>
    <col min="4111" max="4111" width="10.5" customWidth="1"/>
    <col min="4112" max="4112" width="11.5" customWidth="1"/>
    <col min="4113" max="4113" width="11.33203125" customWidth="1"/>
    <col min="4354" max="4354" width="11.6640625" customWidth="1"/>
    <col min="4356" max="4356" width="19.83203125" bestFit="1" customWidth="1"/>
    <col min="4357" max="4357" width="19.83203125" customWidth="1"/>
    <col min="4358" max="4358" width="11.6640625" customWidth="1"/>
    <col min="4359" max="4359" width="12.6640625" customWidth="1"/>
    <col min="4361" max="4361" width="18.6640625" bestFit="1" customWidth="1"/>
    <col min="4362" max="4362" width="11.6640625" customWidth="1"/>
    <col min="4363" max="4363" width="15.5" customWidth="1"/>
    <col min="4366" max="4366" width="13.5" customWidth="1"/>
    <col min="4367" max="4367" width="10.5" customWidth="1"/>
    <col min="4368" max="4368" width="11.5" customWidth="1"/>
    <col min="4369" max="4369" width="11.33203125" customWidth="1"/>
    <col min="4610" max="4610" width="11.6640625" customWidth="1"/>
    <col min="4612" max="4612" width="19.83203125" bestFit="1" customWidth="1"/>
    <col min="4613" max="4613" width="19.83203125" customWidth="1"/>
    <col min="4614" max="4614" width="11.6640625" customWidth="1"/>
    <col min="4615" max="4615" width="12.6640625" customWidth="1"/>
    <col min="4617" max="4617" width="18.6640625" bestFit="1" customWidth="1"/>
    <col min="4618" max="4618" width="11.6640625" customWidth="1"/>
    <col min="4619" max="4619" width="15.5" customWidth="1"/>
    <col min="4622" max="4622" width="13.5" customWidth="1"/>
    <col min="4623" max="4623" width="10.5" customWidth="1"/>
    <col min="4624" max="4624" width="11.5" customWidth="1"/>
    <col min="4625" max="4625" width="11.33203125" customWidth="1"/>
    <col min="4866" max="4866" width="11.6640625" customWidth="1"/>
    <col min="4868" max="4868" width="19.83203125" bestFit="1" customWidth="1"/>
    <col min="4869" max="4869" width="19.83203125" customWidth="1"/>
    <col min="4870" max="4870" width="11.6640625" customWidth="1"/>
    <col min="4871" max="4871" width="12.6640625" customWidth="1"/>
    <col min="4873" max="4873" width="18.6640625" bestFit="1" customWidth="1"/>
    <col min="4874" max="4874" width="11.6640625" customWidth="1"/>
    <col min="4875" max="4875" width="15.5" customWidth="1"/>
    <col min="4878" max="4878" width="13.5" customWidth="1"/>
    <col min="4879" max="4879" width="10.5" customWidth="1"/>
    <col min="4880" max="4880" width="11.5" customWidth="1"/>
    <col min="4881" max="4881" width="11.33203125" customWidth="1"/>
    <col min="5122" max="5122" width="11.6640625" customWidth="1"/>
    <col min="5124" max="5124" width="19.83203125" bestFit="1" customWidth="1"/>
    <col min="5125" max="5125" width="19.83203125" customWidth="1"/>
    <col min="5126" max="5126" width="11.6640625" customWidth="1"/>
    <col min="5127" max="5127" width="12.6640625" customWidth="1"/>
    <col min="5129" max="5129" width="18.6640625" bestFit="1" customWidth="1"/>
    <col min="5130" max="5130" width="11.6640625" customWidth="1"/>
    <col min="5131" max="5131" width="15.5" customWidth="1"/>
    <col min="5134" max="5134" width="13.5" customWidth="1"/>
    <col min="5135" max="5135" width="10.5" customWidth="1"/>
    <col min="5136" max="5136" width="11.5" customWidth="1"/>
    <col min="5137" max="5137" width="11.33203125" customWidth="1"/>
    <col min="5378" max="5378" width="11.6640625" customWidth="1"/>
    <col min="5380" max="5380" width="19.83203125" bestFit="1" customWidth="1"/>
    <col min="5381" max="5381" width="19.83203125" customWidth="1"/>
    <col min="5382" max="5382" width="11.6640625" customWidth="1"/>
    <col min="5383" max="5383" width="12.6640625" customWidth="1"/>
    <col min="5385" max="5385" width="18.6640625" bestFit="1" customWidth="1"/>
    <col min="5386" max="5386" width="11.6640625" customWidth="1"/>
    <col min="5387" max="5387" width="15.5" customWidth="1"/>
    <col min="5390" max="5390" width="13.5" customWidth="1"/>
    <col min="5391" max="5391" width="10.5" customWidth="1"/>
    <col min="5392" max="5392" width="11.5" customWidth="1"/>
    <col min="5393" max="5393" width="11.33203125" customWidth="1"/>
    <col min="5634" max="5634" width="11.6640625" customWidth="1"/>
    <col min="5636" max="5636" width="19.83203125" bestFit="1" customWidth="1"/>
    <col min="5637" max="5637" width="19.83203125" customWidth="1"/>
    <col min="5638" max="5638" width="11.6640625" customWidth="1"/>
    <col min="5639" max="5639" width="12.6640625" customWidth="1"/>
    <col min="5641" max="5641" width="18.6640625" bestFit="1" customWidth="1"/>
    <col min="5642" max="5642" width="11.6640625" customWidth="1"/>
    <col min="5643" max="5643" width="15.5" customWidth="1"/>
    <col min="5646" max="5646" width="13.5" customWidth="1"/>
    <col min="5647" max="5647" width="10.5" customWidth="1"/>
    <col min="5648" max="5648" width="11.5" customWidth="1"/>
    <col min="5649" max="5649" width="11.33203125" customWidth="1"/>
    <col min="5890" max="5890" width="11.6640625" customWidth="1"/>
    <col min="5892" max="5892" width="19.83203125" bestFit="1" customWidth="1"/>
    <col min="5893" max="5893" width="19.83203125" customWidth="1"/>
    <col min="5894" max="5894" width="11.6640625" customWidth="1"/>
    <col min="5895" max="5895" width="12.6640625" customWidth="1"/>
    <col min="5897" max="5897" width="18.6640625" bestFit="1" customWidth="1"/>
    <col min="5898" max="5898" width="11.6640625" customWidth="1"/>
    <col min="5899" max="5899" width="15.5" customWidth="1"/>
    <col min="5902" max="5902" width="13.5" customWidth="1"/>
    <col min="5903" max="5903" width="10.5" customWidth="1"/>
    <col min="5904" max="5904" width="11.5" customWidth="1"/>
    <col min="5905" max="5905" width="11.33203125" customWidth="1"/>
    <col min="6146" max="6146" width="11.6640625" customWidth="1"/>
    <col min="6148" max="6148" width="19.83203125" bestFit="1" customWidth="1"/>
    <col min="6149" max="6149" width="19.83203125" customWidth="1"/>
    <col min="6150" max="6150" width="11.6640625" customWidth="1"/>
    <col min="6151" max="6151" width="12.6640625" customWidth="1"/>
    <col min="6153" max="6153" width="18.6640625" bestFit="1" customWidth="1"/>
    <col min="6154" max="6154" width="11.6640625" customWidth="1"/>
    <col min="6155" max="6155" width="15.5" customWidth="1"/>
    <col min="6158" max="6158" width="13.5" customWidth="1"/>
    <col min="6159" max="6159" width="10.5" customWidth="1"/>
    <col min="6160" max="6160" width="11.5" customWidth="1"/>
    <col min="6161" max="6161" width="11.33203125" customWidth="1"/>
    <col min="6402" max="6402" width="11.6640625" customWidth="1"/>
    <col min="6404" max="6404" width="19.83203125" bestFit="1" customWidth="1"/>
    <col min="6405" max="6405" width="19.83203125" customWidth="1"/>
    <col min="6406" max="6406" width="11.6640625" customWidth="1"/>
    <col min="6407" max="6407" width="12.6640625" customWidth="1"/>
    <col min="6409" max="6409" width="18.6640625" bestFit="1" customWidth="1"/>
    <col min="6410" max="6410" width="11.6640625" customWidth="1"/>
    <col min="6411" max="6411" width="15.5" customWidth="1"/>
    <col min="6414" max="6414" width="13.5" customWidth="1"/>
    <col min="6415" max="6415" width="10.5" customWidth="1"/>
    <col min="6416" max="6416" width="11.5" customWidth="1"/>
    <col min="6417" max="6417" width="11.33203125" customWidth="1"/>
    <col min="6658" max="6658" width="11.6640625" customWidth="1"/>
    <col min="6660" max="6660" width="19.83203125" bestFit="1" customWidth="1"/>
    <col min="6661" max="6661" width="19.83203125" customWidth="1"/>
    <col min="6662" max="6662" width="11.6640625" customWidth="1"/>
    <col min="6663" max="6663" width="12.6640625" customWidth="1"/>
    <col min="6665" max="6665" width="18.6640625" bestFit="1" customWidth="1"/>
    <col min="6666" max="6666" width="11.6640625" customWidth="1"/>
    <col min="6667" max="6667" width="15.5" customWidth="1"/>
    <col min="6670" max="6670" width="13.5" customWidth="1"/>
    <col min="6671" max="6671" width="10.5" customWidth="1"/>
    <col min="6672" max="6672" width="11.5" customWidth="1"/>
    <col min="6673" max="6673" width="11.33203125" customWidth="1"/>
    <col min="6914" max="6914" width="11.6640625" customWidth="1"/>
    <col min="6916" max="6916" width="19.83203125" bestFit="1" customWidth="1"/>
    <col min="6917" max="6917" width="19.83203125" customWidth="1"/>
    <col min="6918" max="6918" width="11.6640625" customWidth="1"/>
    <col min="6919" max="6919" width="12.6640625" customWidth="1"/>
    <col min="6921" max="6921" width="18.6640625" bestFit="1" customWidth="1"/>
    <col min="6922" max="6922" width="11.6640625" customWidth="1"/>
    <col min="6923" max="6923" width="15.5" customWidth="1"/>
    <col min="6926" max="6926" width="13.5" customWidth="1"/>
    <col min="6927" max="6927" width="10.5" customWidth="1"/>
    <col min="6928" max="6928" width="11.5" customWidth="1"/>
    <col min="6929" max="6929" width="11.33203125" customWidth="1"/>
    <col min="7170" max="7170" width="11.6640625" customWidth="1"/>
    <col min="7172" max="7172" width="19.83203125" bestFit="1" customWidth="1"/>
    <col min="7173" max="7173" width="19.83203125" customWidth="1"/>
    <col min="7174" max="7174" width="11.6640625" customWidth="1"/>
    <col min="7175" max="7175" width="12.6640625" customWidth="1"/>
    <col min="7177" max="7177" width="18.6640625" bestFit="1" customWidth="1"/>
    <col min="7178" max="7178" width="11.6640625" customWidth="1"/>
    <col min="7179" max="7179" width="15.5" customWidth="1"/>
    <col min="7182" max="7182" width="13.5" customWidth="1"/>
    <col min="7183" max="7183" width="10.5" customWidth="1"/>
    <col min="7184" max="7184" width="11.5" customWidth="1"/>
    <col min="7185" max="7185" width="11.33203125" customWidth="1"/>
    <col min="7426" max="7426" width="11.6640625" customWidth="1"/>
    <col min="7428" max="7428" width="19.83203125" bestFit="1" customWidth="1"/>
    <col min="7429" max="7429" width="19.83203125" customWidth="1"/>
    <col min="7430" max="7430" width="11.6640625" customWidth="1"/>
    <col min="7431" max="7431" width="12.6640625" customWidth="1"/>
    <col min="7433" max="7433" width="18.6640625" bestFit="1" customWidth="1"/>
    <col min="7434" max="7434" width="11.6640625" customWidth="1"/>
    <col min="7435" max="7435" width="15.5" customWidth="1"/>
    <col min="7438" max="7438" width="13.5" customWidth="1"/>
    <col min="7439" max="7439" width="10.5" customWidth="1"/>
    <col min="7440" max="7440" width="11.5" customWidth="1"/>
    <col min="7441" max="7441" width="11.33203125" customWidth="1"/>
    <col min="7682" max="7682" width="11.6640625" customWidth="1"/>
    <col min="7684" max="7684" width="19.83203125" bestFit="1" customWidth="1"/>
    <col min="7685" max="7685" width="19.83203125" customWidth="1"/>
    <col min="7686" max="7686" width="11.6640625" customWidth="1"/>
    <col min="7687" max="7687" width="12.6640625" customWidth="1"/>
    <col min="7689" max="7689" width="18.6640625" bestFit="1" customWidth="1"/>
    <col min="7690" max="7690" width="11.6640625" customWidth="1"/>
    <col min="7691" max="7691" width="15.5" customWidth="1"/>
    <col min="7694" max="7694" width="13.5" customWidth="1"/>
    <col min="7695" max="7695" width="10.5" customWidth="1"/>
    <col min="7696" max="7696" width="11.5" customWidth="1"/>
    <col min="7697" max="7697" width="11.33203125" customWidth="1"/>
    <col min="7938" max="7938" width="11.6640625" customWidth="1"/>
    <col min="7940" max="7940" width="19.83203125" bestFit="1" customWidth="1"/>
    <col min="7941" max="7941" width="19.83203125" customWidth="1"/>
    <col min="7942" max="7942" width="11.6640625" customWidth="1"/>
    <col min="7943" max="7943" width="12.6640625" customWidth="1"/>
    <col min="7945" max="7945" width="18.6640625" bestFit="1" customWidth="1"/>
    <col min="7946" max="7946" width="11.6640625" customWidth="1"/>
    <col min="7947" max="7947" width="15.5" customWidth="1"/>
    <col min="7950" max="7950" width="13.5" customWidth="1"/>
    <col min="7951" max="7951" width="10.5" customWidth="1"/>
    <col min="7952" max="7952" width="11.5" customWidth="1"/>
    <col min="7953" max="7953" width="11.33203125" customWidth="1"/>
    <col min="8194" max="8194" width="11.6640625" customWidth="1"/>
    <col min="8196" max="8196" width="19.83203125" bestFit="1" customWidth="1"/>
    <col min="8197" max="8197" width="19.83203125" customWidth="1"/>
    <col min="8198" max="8198" width="11.6640625" customWidth="1"/>
    <col min="8199" max="8199" width="12.6640625" customWidth="1"/>
    <col min="8201" max="8201" width="18.6640625" bestFit="1" customWidth="1"/>
    <col min="8202" max="8202" width="11.6640625" customWidth="1"/>
    <col min="8203" max="8203" width="15.5" customWidth="1"/>
    <col min="8206" max="8206" width="13.5" customWidth="1"/>
    <col min="8207" max="8207" width="10.5" customWidth="1"/>
    <col min="8208" max="8208" width="11.5" customWidth="1"/>
    <col min="8209" max="8209" width="11.33203125" customWidth="1"/>
    <col min="8450" max="8450" width="11.6640625" customWidth="1"/>
    <col min="8452" max="8452" width="19.83203125" bestFit="1" customWidth="1"/>
    <col min="8453" max="8453" width="19.83203125" customWidth="1"/>
    <col min="8454" max="8454" width="11.6640625" customWidth="1"/>
    <col min="8455" max="8455" width="12.6640625" customWidth="1"/>
    <col min="8457" max="8457" width="18.6640625" bestFit="1" customWidth="1"/>
    <col min="8458" max="8458" width="11.6640625" customWidth="1"/>
    <col min="8459" max="8459" width="15.5" customWidth="1"/>
    <col min="8462" max="8462" width="13.5" customWidth="1"/>
    <col min="8463" max="8463" width="10.5" customWidth="1"/>
    <col min="8464" max="8464" width="11.5" customWidth="1"/>
    <col min="8465" max="8465" width="11.33203125" customWidth="1"/>
    <col min="8706" max="8706" width="11.6640625" customWidth="1"/>
    <col min="8708" max="8708" width="19.83203125" bestFit="1" customWidth="1"/>
    <col min="8709" max="8709" width="19.83203125" customWidth="1"/>
    <col min="8710" max="8710" width="11.6640625" customWidth="1"/>
    <col min="8711" max="8711" width="12.6640625" customWidth="1"/>
    <col min="8713" max="8713" width="18.6640625" bestFit="1" customWidth="1"/>
    <col min="8714" max="8714" width="11.6640625" customWidth="1"/>
    <col min="8715" max="8715" width="15.5" customWidth="1"/>
    <col min="8718" max="8718" width="13.5" customWidth="1"/>
    <col min="8719" max="8719" width="10.5" customWidth="1"/>
    <col min="8720" max="8720" width="11.5" customWidth="1"/>
    <col min="8721" max="8721" width="11.33203125" customWidth="1"/>
    <col min="8962" max="8962" width="11.6640625" customWidth="1"/>
    <col min="8964" max="8964" width="19.83203125" bestFit="1" customWidth="1"/>
    <col min="8965" max="8965" width="19.83203125" customWidth="1"/>
    <col min="8966" max="8966" width="11.6640625" customWidth="1"/>
    <col min="8967" max="8967" width="12.6640625" customWidth="1"/>
    <col min="8969" max="8969" width="18.6640625" bestFit="1" customWidth="1"/>
    <col min="8970" max="8970" width="11.6640625" customWidth="1"/>
    <col min="8971" max="8971" width="15.5" customWidth="1"/>
    <col min="8974" max="8974" width="13.5" customWidth="1"/>
    <col min="8975" max="8975" width="10.5" customWidth="1"/>
    <col min="8976" max="8976" width="11.5" customWidth="1"/>
    <col min="8977" max="8977" width="11.33203125" customWidth="1"/>
    <col min="9218" max="9218" width="11.6640625" customWidth="1"/>
    <col min="9220" max="9220" width="19.83203125" bestFit="1" customWidth="1"/>
    <col min="9221" max="9221" width="19.83203125" customWidth="1"/>
    <col min="9222" max="9222" width="11.6640625" customWidth="1"/>
    <col min="9223" max="9223" width="12.6640625" customWidth="1"/>
    <col min="9225" max="9225" width="18.6640625" bestFit="1" customWidth="1"/>
    <col min="9226" max="9226" width="11.6640625" customWidth="1"/>
    <col min="9227" max="9227" width="15.5" customWidth="1"/>
    <col min="9230" max="9230" width="13.5" customWidth="1"/>
    <col min="9231" max="9231" width="10.5" customWidth="1"/>
    <col min="9232" max="9232" width="11.5" customWidth="1"/>
    <col min="9233" max="9233" width="11.33203125" customWidth="1"/>
    <col min="9474" max="9474" width="11.6640625" customWidth="1"/>
    <col min="9476" max="9476" width="19.83203125" bestFit="1" customWidth="1"/>
    <col min="9477" max="9477" width="19.83203125" customWidth="1"/>
    <col min="9478" max="9478" width="11.6640625" customWidth="1"/>
    <col min="9479" max="9479" width="12.6640625" customWidth="1"/>
    <col min="9481" max="9481" width="18.6640625" bestFit="1" customWidth="1"/>
    <col min="9482" max="9482" width="11.6640625" customWidth="1"/>
    <col min="9483" max="9483" width="15.5" customWidth="1"/>
    <col min="9486" max="9486" width="13.5" customWidth="1"/>
    <col min="9487" max="9487" width="10.5" customWidth="1"/>
    <col min="9488" max="9488" width="11.5" customWidth="1"/>
    <col min="9489" max="9489" width="11.33203125" customWidth="1"/>
    <col min="9730" max="9730" width="11.6640625" customWidth="1"/>
    <col min="9732" max="9732" width="19.83203125" bestFit="1" customWidth="1"/>
    <col min="9733" max="9733" width="19.83203125" customWidth="1"/>
    <col min="9734" max="9734" width="11.6640625" customWidth="1"/>
    <col min="9735" max="9735" width="12.6640625" customWidth="1"/>
    <col min="9737" max="9737" width="18.6640625" bestFit="1" customWidth="1"/>
    <col min="9738" max="9738" width="11.6640625" customWidth="1"/>
    <col min="9739" max="9739" width="15.5" customWidth="1"/>
    <col min="9742" max="9742" width="13.5" customWidth="1"/>
    <col min="9743" max="9743" width="10.5" customWidth="1"/>
    <col min="9744" max="9744" width="11.5" customWidth="1"/>
    <col min="9745" max="9745" width="11.33203125" customWidth="1"/>
    <col min="9986" max="9986" width="11.6640625" customWidth="1"/>
    <col min="9988" max="9988" width="19.83203125" bestFit="1" customWidth="1"/>
    <col min="9989" max="9989" width="19.83203125" customWidth="1"/>
    <col min="9990" max="9990" width="11.6640625" customWidth="1"/>
    <col min="9991" max="9991" width="12.6640625" customWidth="1"/>
    <col min="9993" max="9993" width="18.6640625" bestFit="1" customWidth="1"/>
    <col min="9994" max="9994" width="11.6640625" customWidth="1"/>
    <col min="9995" max="9995" width="15.5" customWidth="1"/>
    <col min="9998" max="9998" width="13.5" customWidth="1"/>
    <col min="9999" max="9999" width="10.5" customWidth="1"/>
    <col min="10000" max="10000" width="11.5" customWidth="1"/>
    <col min="10001" max="10001" width="11.33203125" customWidth="1"/>
    <col min="10242" max="10242" width="11.6640625" customWidth="1"/>
    <col min="10244" max="10244" width="19.83203125" bestFit="1" customWidth="1"/>
    <col min="10245" max="10245" width="19.83203125" customWidth="1"/>
    <col min="10246" max="10246" width="11.6640625" customWidth="1"/>
    <col min="10247" max="10247" width="12.6640625" customWidth="1"/>
    <col min="10249" max="10249" width="18.6640625" bestFit="1" customWidth="1"/>
    <col min="10250" max="10250" width="11.6640625" customWidth="1"/>
    <col min="10251" max="10251" width="15.5" customWidth="1"/>
    <col min="10254" max="10254" width="13.5" customWidth="1"/>
    <col min="10255" max="10255" width="10.5" customWidth="1"/>
    <col min="10256" max="10256" width="11.5" customWidth="1"/>
    <col min="10257" max="10257" width="11.33203125" customWidth="1"/>
    <col min="10498" max="10498" width="11.6640625" customWidth="1"/>
    <col min="10500" max="10500" width="19.83203125" bestFit="1" customWidth="1"/>
    <col min="10501" max="10501" width="19.83203125" customWidth="1"/>
    <col min="10502" max="10502" width="11.6640625" customWidth="1"/>
    <col min="10503" max="10503" width="12.6640625" customWidth="1"/>
    <col min="10505" max="10505" width="18.6640625" bestFit="1" customWidth="1"/>
    <col min="10506" max="10506" width="11.6640625" customWidth="1"/>
    <col min="10507" max="10507" width="15.5" customWidth="1"/>
    <col min="10510" max="10510" width="13.5" customWidth="1"/>
    <col min="10511" max="10511" width="10.5" customWidth="1"/>
    <col min="10512" max="10512" width="11.5" customWidth="1"/>
    <col min="10513" max="10513" width="11.33203125" customWidth="1"/>
    <col min="10754" max="10754" width="11.6640625" customWidth="1"/>
    <col min="10756" max="10756" width="19.83203125" bestFit="1" customWidth="1"/>
    <col min="10757" max="10757" width="19.83203125" customWidth="1"/>
    <col min="10758" max="10758" width="11.6640625" customWidth="1"/>
    <col min="10759" max="10759" width="12.6640625" customWidth="1"/>
    <col min="10761" max="10761" width="18.6640625" bestFit="1" customWidth="1"/>
    <col min="10762" max="10762" width="11.6640625" customWidth="1"/>
    <col min="10763" max="10763" width="15.5" customWidth="1"/>
    <col min="10766" max="10766" width="13.5" customWidth="1"/>
    <col min="10767" max="10767" width="10.5" customWidth="1"/>
    <col min="10768" max="10768" width="11.5" customWidth="1"/>
    <col min="10769" max="10769" width="11.33203125" customWidth="1"/>
    <col min="11010" max="11010" width="11.6640625" customWidth="1"/>
    <col min="11012" max="11012" width="19.83203125" bestFit="1" customWidth="1"/>
    <col min="11013" max="11013" width="19.83203125" customWidth="1"/>
    <col min="11014" max="11014" width="11.6640625" customWidth="1"/>
    <col min="11015" max="11015" width="12.6640625" customWidth="1"/>
    <col min="11017" max="11017" width="18.6640625" bestFit="1" customWidth="1"/>
    <col min="11018" max="11018" width="11.6640625" customWidth="1"/>
    <col min="11019" max="11019" width="15.5" customWidth="1"/>
    <col min="11022" max="11022" width="13.5" customWidth="1"/>
    <col min="11023" max="11023" width="10.5" customWidth="1"/>
    <col min="11024" max="11024" width="11.5" customWidth="1"/>
    <col min="11025" max="11025" width="11.33203125" customWidth="1"/>
    <col min="11266" max="11266" width="11.6640625" customWidth="1"/>
    <col min="11268" max="11268" width="19.83203125" bestFit="1" customWidth="1"/>
    <col min="11269" max="11269" width="19.83203125" customWidth="1"/>
    <col min="11270" max="11270" width="11.6640625" customWidth="1"/>
    <col min="11271" max="11271" width="12.6640625" customWidth="1"/>
    <col min="11273" max="11273" width="18.6640625" bestFit="1" customWidth="1"/>
    <col min="11274" max="11274" width="11.6640625" customWidth="1"/>
    <col min="11275" max="11275" width="15.5" customWidth="1"/>
    <col min="11278" max="11278" width="13.5" customWidth="1"/>
    <col min="11279" max="11279" width="10.5" customWidth="1"/>
    <col min="11280" max="11280" width="11.5" customWidth="1"/>
    <col min="11281" max="11281" width="11.33203125" customWidth="1"/>
    <col min="11522" max="11522" width="11.6640625" customWidth="1"/>
    <col min="11524" max="11524" width="19.83203125" bestFit="1" customWidth="1"/>
    <col min="11525" max="11525" width="19.83203125" customWidth="1"/>
    <col min="11526" max="11526" width="11.6640625" customWidth="1"/>
    <col min="11527" max="11527" width="12.6640625" customWidth="1"/>
    <col min="11529" max="11529" width="18.6640625" bestFit="1" customWidth="1"/>
    <col min="11530" max="11530" width="11.6640625" customWidth="1"/>
    <col min="11531" max="11531" width="15.5" customWidth="1"/>
    <col min="11534" max="11534" width="13.5" customWidth="1"/>
    <col min="11535" max="11535" width="10.5" customWidth="1"/>
    <col min="11536" max="11536" width="11.5" customWidth="1"/>
    <col min="11537" max="11537" width="11.33203125" customWidth="1"/>
    <col min="11778" max="11778" width="11.6640625" customWidth="1"/>
    <col min="11780" max="11780" width="19.83203125" bestFit="1" customWidth="1"/>
    <col min="11781" max="11781" width="19.83203125" customWidth="1"/>
    <col min="11782" max="11782" width="11.6640625" customWidth="1"/>
    <col min="11783" max="11783" width="12.6640625" customWidth="1"/>
    <col min="11785" max="11785" width="18.6640625" bestFit="1" customWidth="1"/>
    <col min="11786" max="11786" width="11.6640625" customWidth="1"/>
    <col min="11787" max="11787" width="15.5" customWidth="1"/>
    <col min="11790" max="11790" width="13.5" customWidth="1"/>
    <col min="11791" max="11791" width="10.5" customWidth="1"/>
    <col min="11792" max="11792" width="11.5" customWidth="1"/>
    <col min="11793" max="11793" width="11.33203125" customWidth="1"/>
    <col min="12034" max="12034" width="11.6640625" customWidth="1"/>
    <col min="12036" max="12036" width="19.83203125" bestFit="1" customWidth="1"/>
    <col min="12037" max="12037" width="19.83203125" customWidth="1"/>
    <col min="12038" max="12038" width="11.6640625" customWidth="1"/>
    <col min="12039" max="12039" width="12.6640625" customWidth="1"/>
    <col min="12041" max="12041" width="18.6640625" bestFit="1" customWidth="1"/>
    <col min="12042" max="12042" width="11.6640625" customWidth="1"/>
    <col min="12043" max="12043" width="15.5" customWidth="1"/>
    <col min="12046" max="12046" width="13.5" customWidth="1"/>
    <col min="12047" max="12047" width="10.5" customWidth="1"/>
    <col min="12048" max="12048" width="11.5" customWidth="1"/>
    <col min="12049" max="12049" width="11.33203125" customWidth="1"/>
    <col min="12290" max="12290" width="11.6640625" customWidth="1"/>
    <col min="12292" max="12292" width="19.83203125" bestFit="1" customWidth="1"/>
    <col min="12293" max="12293" width="19.83203125" customWidth="1"/>
    <col min="12294" max="12294" width="11.6640625" customWidth="1"/>
    <col min="12295" max="12295" width="12.6640625" customWidth="1"/>
    <col min="12297" max="12297" width="18.6640625" bestFit="1" customWidth="1"/>
    <col min="12298" max="12298" width="11.6640625" customWidth="1"/>
    <col min="12299" max="12299" width="15.5" customWidth="1"/>
    <col min="12302" max="12302" width="13.5" customWidth="1"/>
    <col min="12303" max="12303" width="10.5" customWidth="1"/>
    <col min="12304" max="12304" width="11.5" customWidth="1"/>
    <col min="12305" max="12305" width="11.33203125" customWidth="1"/>
    <col min="12546" max="12546" width="11.6640625" customWidth="1"/>
    <col min="12548" max="12548" width="19.83203125" bestFit="1" customWidth="1"/>
    <col min="12549" max="12549" width="19.83203125" customWidth="1"/>
    <col min="12550" max="12550" width="11.6640625" customWidth="1"/>
    <col min="12551" max="12551" width="12.6640625" customWidth="1"/>
    <col min="12553" max="12553" width="18.6640625" bestFit="1" customWidth="1"/>
    <col min="12554" max="12554" width="11.6640625" customWidth="1"/>
    <col min="12555" max="12555" width="15.5" customWidth="1"/>
    <col min="12558" max="12558" width="13.5" customWidth="1"/>
    <col min="12559" max="12559" width="10.5" customWidth="1"/>
    <col min="12560" max="12560" width="11.5" customWidth="1"/>
    <col min="12561" max="12561" width="11.33203125" customWidth="1"/>
    <col min="12802" max="12802" width="11.6640625" customWidth="1"/>
    <col min="12804" max="12804" width="19.83203125" bestFit="1" customWidth="1"/>
    <col min="12805" max="12805" width="19.83203125" customWidth="1"/>
    <col min="12806" max="12806" width="11.6640625" customWidth="1"/>
    <col min="12807" max="12807" width="12.6640625" customWidth="1"/>
    <col min="12809" max="12809" width="18.6640625" bestFit="1" customWidth="1"/>
    <col min="12810" max="12810" width="11.6640625" customWidth="1"/>
    <col min="12811" max="12811" width="15.5" customWidth="1"/>
    <col min="12814" max="12814" width="13.5" customWidth="1"/>
    <col min="12815" max="12815" width="10.5" customWidth="1"/>
    <col min="12816" max="12816" width="11.5" customWidth="1"/>
    <col min="12817" max="12817" width="11.33203125" customWidth="1"/>
    <col min="13058" max="13058" width="11.6640625" customWidth="1"/>
    <col min="13060" max="13060" width="19.83203125" bestFit="1" customWidth="1"/>
    <col min="13061" max="13061" width="19.83203125" customWidth="1"/>
    <col min="13062" max="13062" width="11.6640625" customWidth="1"/>
    <col min="13063" max="13063" width="12.6640625" customWidth="1"/>
    <col min="13065" max="13065" width="18.6640625" bestFit="1" customWidth="1"/>
    <col min="13066" max="13066" width="11.6640625" customWidth="1"/>
    <col min="13067" max="13067" width="15.5" customWidth="1"/>
    <col min="13070" max="13070" width="13.5" customWidth="1"/>
    <col min="13071" max="13071" width="10.5" customWidth="1"/>
    <col min="13072" max="13072" width="11.5" customWidth="1"/>
    <col min="13073" max="13073" width="11.33203125" customWidth="1"/>
    <col min="13314" max="13314" width="11.6640625" customWidth="1"/>
    <col min="13316" max="13316" width="19.83203125" bestFit="1" customWidth="1"/>
    <col min="13317" max="13317" width="19.83203125" customWidth="1"/>
    <col min="13318" max="13318" width="11.6640625" customWidth="1"/>
    <col min="13319" max="13319" width="12.6640625" customWidth="1"/>
    <col min="13321" max="13321" width="18.6640625" bestFit="1" customWidth="1"/>
    <col min="13322" max="13322" width="11.6640625" customWidth="1"/>
    <col min="13323" max="13323" width="15.5" customWidth="1"/>
    <col min="13326" max="13326" width="13.5" customWidth="1"/>
    <col min="13327" max="13327" width="10.5" customWidth="1"/>
    <col min="13328" max="13328" width="11.5" customWidth="1"/>
    <col min="13329" max="13329" width="11.33203125" customWidth="1"/>
    <col min="13570" max="13570" width="11.6640625" customWidth="1"/>
    <col min="13572" max="13572" width="19.83203125" bestFit="1" customWidth="1"/>
    <col min="13573" max="13573" width="19.83203125" customWidth="1"/>
    <col min="13574" max="13574" width="11.6640625" customWidth="1"/>
    <col min="13575" max="13575" width="12.6640625" customWidth="1"/>
    <col min="13577" max="13577" width="18.6640625" bestFit="1" customWidth="1"/>
    <col min="13578" max="13578" width="11.6640625" customWidth="1"/>
    <col min="13579" max="13579" width="15.5" customWidth="1"/>
    <col min="13582" max="13582" width="13.5" customWidth="1"/>
    <col min="13583" max="13583" width="10.5" customWidth="1"/>
    <col min="13584" max="13584" width="11.5" customWidth="1"/>
    <col min="13585" max="13585" width="11.33203125" customWidth="1"/>
    <col min="13826" max="13826" width="11.6640625" customWidth="1"/>
    <col min="13828" max="13828" width="19.83203125" bestFit="1" customWidth="1"/>
    <col min="13829" max="13829" width="19.83203125" customWidth="1"/>
    <col min="13830" max="13830" width="11.6640625" customWidth="1"/>
    <col min="13831" max="13831" width="12.6640625" customWidth="1"/>
    <col min="13833" max="13833" width="18.6640625" bestFit="1" customWidth="1"/>
    <col min="13834" max="13834" width="11.6640625" customWidth="1"/>
    <col min="13835" max="13835" width="15.5" customWidth="1"/>
    <col min="13838" max="13838" width="13.5" customWidth="1"/>
    <col min="13839" max="13839" width="10.5" customWidth="1"/>
    <col min="13840" max="13840" width="11.5" customWidth="1"/>
    <col min="13841" max="13841" width="11.33203125" customWidth="1"/>
    <col min="14082" max="14082" width="11.6640625" customWidth="1"/>
    <col min="14084" max="14084" width="19.83203125" bestFit="1" customWidth="1"/>
    <col min="14085" max="14085" width="19.83203125" customWidth="1"/>
    <col min="14086" max="14086" width="11.6640625" customWidth="1"/>
    <col min="14087" max="14087" width="12.6640625" customWidth="1"/>
    <col min="14089" max="14089" width="18.6640625" bestFit="1" customWidth="1"/>
    <col min="14090" max="14090" width="11.6640625" customWidth="1"/>
    <col min="14091" max="14091" width="15.5" customWidth="1"/>
    <col min="14094" max="14094" width="13.5" customWidth="1"/>
    <col min="14095" max="14095" width="10.5" customWidth="1"/>
    <col min="14096" max="14096" width="11.5" customWidth="1"/>
    <col min="14097" max="14097" width="11.33203125" customWidth="1"/>
    <col min="14338" max="14338" width="11.6640625" customWidth="1"/>
    <col min="14340" max="14340" width="19.83203125" bestFit="1" customWidth="1"/>
    <col min="14341" max="14341" width="19.83203125" customWidth="1"/>
    <col min="14342" max="14342" width="11.6640625" customWidth="1"/>
    <col min="14343" max="14343" width="12.6640625" customWidth="1"/>
    <col min="14345" max="14345" width="18.6640625" bestFit="1" customWidth="1"/>
    <col min="14346" max="14346" width="11.6640625" customWidth="1"/>
    <col min="14347" max="14347" width="15.5" customWidth="1"/>
    <col min="14350" max="14350" width="13.5" customWidth="1"/>
    <col min="14351" max="14351" width="10.5" customWidth="1"/>
    <col min="14352" max="14352" width="11.5" customWidth="1"/>
    <col min="14353" max="14353" width="11.33203125" customWidth="1"/>
    <col min="14594" max="14594" width="11.6640625" customWidth="1"/>
    <col min="14596" max="14596" width="19.83203125" bestFit="1" customWidth="1"/>
    <col min="14597" max="14597" width="19.83203125" customWidth="1"/>
    <col min="14598" max="14598" width="11.6640625" customWidth="1"/>
    <col min="14599" max="14599" width="12.6640625" customWidth="1"/>
    <col min="14601" max="14601" width="18.6640625" bestFit="1" customWidth="1"/>
    <col min="14602" max="14602" width="11.6640625" customWidth="1"/>
    <col min="14603" max="14603" width="15.5" customWidth="1"/>
    <col min="14606" max="14606" width="13.5" customWidth="1"/>
    <col min="14607" max="14607" width="10.5" customWidth="1"/>
    <col min="14608" max="14608" width="11.5" customWidth="1"/>
    <col min="14609" max="14609" width="11.33203125" customWidth="1"/>
    <col min="14850" max="14850" width="11.6640625" customWidth="1"/>
    <col min="14852" max="14852" width="19.83203125" bestFit="1" customWidth="1"/>
    <col min="14853" max="14853" width="19.83203125" customWidth="1"/>
    <col min="14854" max="14854" width="11.6640625" customWidth="1"/>
    <col min="14855" max="14855" width="12.6640625" customWidth="1"/>
    <col min="14857" max="14857" width="18.6640625" bestFit="1" customWidth="1"/>
    <col min="14858" max="14858" width="11.6640625" customWidth="1"/>
    <col min="14859" max="14859" width="15.5" customWidth="1"/>
    <col min="14862" max="14862" width="13.5" customWidth="1"/>
    <col min="14863" max="14863" width="10.5" customWidth="1"/>
    <col min="14864" max="14864" width="11.5" customWidth="1"/>
    <col min="14865" max="14865" width="11.33203125" customWidth="1"/>
    <col min="15106" max="15106" width="11.6640625" customWidth="1"/>
    <col min="15108" max="15108" width="19.83203125" bestFit="1" customWidth="1"/>
    <col min="15109" max="15109" width="19.83203125" customWidth="1"/>
    <col min="15110" max="15110" width="11.6640625" customWidth="1"/>
    <col min="15111" max="15111" width="12.6640625" customWidth="1"/>
    <col min="15113" max="15113" width="18.6640625" bestFit="1" customWidth="1"/>
    <col min="15114" max="15114" width="11.6640625" customWidth="1"/>
    <col min="15115" max="15115" width="15.5" customWidth="1"/>
    <col min="15118" max="15118" width="13.5" customWidth="1"/>
    <col min="15119" max="15119" width="10.5" customWidth="1"/>
    <col min="15120" max="15120" width="11.5" customWidth="1"/>
    <col min="15121" max="15121" width="11.33203125" customWidth="1"/>
    <col min="15362" max="15362" width="11.6640625" customWidth="1"/>
    <col min="15364" max="15364" width="19.83203125" bestFit="1" customWidth="1"/>
    <col min="15365" max="15365" width="19.83203125" customWidth="1"/>
    <col min="15366" max="15366" width="11.6640625" customWidth="1"/>
    <col min="15367" max="15367" width="12.6640625" customWidth="1"/>
    <col min="15369" max="15369" width="18.6640625" bestFit="1" customWidth="1"/>
    <col min="15370" max="15370" width="11.6640625" customWidth="1"/>
    <col min="15371" max="15371" width="15.5" customWidth="1"/>
    <col min="15374" max="15374" width="13.5" customWidth="1"/>
    <col min="15375" max="15375" width="10.5" customWidth="1"/>
    <col min="15376" max="15376" width="11.5" customWidth="1"/>
    <col min="15377" max="15377" width="11.33203125" customWidth="1"/>
    <col min="15618" max="15618" width="11.6640625" customWidth="1"/>
    <col min="15620" max="15620" width="19.83203125" bestFit="1" customWidth="1"/>
    <col min="15621" max="15621" width="19.83203125" customWidth="1"/>
    <col min="15622" max="15622" width="11.6640625" customWidth="1"/>
    <col min="15623" max="15623" width="12.6640625" customWidth="1"/>
    <col min="15625" max="15625" width="18.6640625" bestFit="1" customWidth="1"/>
    <col min="15626" max="15626" width="11.6640625" customWidth="1"/>
    <col min="15627" max="15627" width="15.5" customWidth="1"/>
    <col min="15630" max="15630" width="13.5" customWidth="1"/>
    <col min="15631" max="15631" width="10.5" customWidth="1"/>
    <col min="15632" max="15632" width="11.5" customWidth="1"/>
    <col min="15633" max="15633" width="11.33203125" customWidth="1"/>
    <col min="15874" max="15874" width="11.6640625" customWidth="1"/>
    <col min="15876" max="15876" width="19.83203125" bestFit="1" customWidth="1"/>
    <col min="15877" max="15877" width="19.83203125" customWidth="1"/>
    <col min="15878" max="15878" width="11.6640625" customWidth="1"/>
    <col min="15879" max="15879" width="12.6640625" customWidth="1"/>
    <col min="15881" max="15881" width="18.6640625" bestFit="1" customWidth="1"/>
    <col min="15882" max="15882" width="11.6640625" customWidth="1"/>
    <col min="15883" max="15883" width="15.5" customWidth="1"/>
    <col min="15886" max="15886" width="13.5" customWidth="1"/>
    <col min="15887" max="15887" width="10.5" customWidth="1"/>
    <col min="15888" max="15888" width="11.5" customWidth="1"/>
    <col min="15889" max="15889" width="11.33203125" customWidth="1"/>
    <col min="16130" max="16130" width="11.6640625" customWidth="1"/>
    <col min="16132" max="16132" width="19.83203125" bestFit="1" customWidth="1"/>
    <col min="16133" max="16133" width="19.83203125" customWidth="1"/>
    <col min="16134" max="16134" width="11.6640625" customWidth="1"/>
    <col min="16135" max="16135" width="12.6640625" customWidth="1"/>
    <col min="16137" max="16137" width="18.6640625" bestFit="1" customWidth="1"/>
    <col min="16138" max="16138" width="11.6640625" customWidth="1"/>
    <col min="16139" max="16139" width="15.5" customWidth="1"/>
    <col min="16142" max="16142" width="13.5" customWidth="1"/>
    <col min="16143" max="16143" width="10.5" customWidth="1"/>
    <col min="16144" max="16144" width="11.5" customWidth="1"/>
    <col min="16145" max="16145" width="11.33203125" customWidth="1"/>
  </cols>
  <sheetData>
    <row r="1" spans="1:15">
      <c r="A1" s="1" t="s">
        <v>160</v>
      </c>
    </row>
    <row r="2" spans="1:15" ht="16">
      <c r="A2" s="81"/>
      <c r="B2" s="8"/>
      <c r="C2" s="8"/>
      <c r="D2" s="28"/>
      <c r="E2" s="28"/>
      <c r="F2" s="28"/>
      <c r="I2" s="10"/>
    </row>
    <row r="3" spans="1:15">
      <c r="A3" s="8"/>
      <c r="B3" s="8"/>
      <c r="C3" s="83"/>
      <c r="D3" s="28"/>
      <c r="E3" s="516" t="s">
        <v>11</v>
      </c>
      <c r="F3" s="516" t="s">
        <v>12</v>
      </c>
      <c r="I3" s="694"/>
      <c r="J3" s="694"/>
      <c r="K3" s="694"/>
      <c r="L3" s="694"/>
      <c r="M3" s="91"/>
    </row>
    <row r="4" spans="1:15" ht="16">
      <c r="B4" s="112" t="s">
        <v>39</v>
      </c>
      <c r="C4" s="77" t="s">
        <v>30</v>
      </c>
      <c r="D4" s="77" t="s">
        <v>85</v>
      </c>
      <c r="E4" s="7" t="s">
        <v>185</v>
      </c>
      <c r="F4" s="7" t="s">
        <v>37</v>
      </c>
      <c r="G4" s="30"/>
      <c r="I4" s="695"/>
      <c r="J4" s="695"/>
      <c r="K4" s="695"/>
      <c r="L4" s="89"/>
      <c r="M4" s="91"/>
    </row>
    <row r="5" spans="1:15">
      <c r="A5" s="24"/>
      <c r="B5" s="110">
        <v>1</v>
      </c>
      <c r="C5" s="9">
        <v>329</v>
      </c>
      <c r="D5" s="111">
        <v>46718</v>
      </c>
      <c r="E5" s="539">
        <f>$B$32*(C5)+$B$31</f>
        <v>47172.103327495621</v>
      </c>
      <c r="F5" s="539">
        <f t="shared" ref="F5:F22" si="0">ABS(E5-D5)</f>
        <v>454.10332749562076</v>
      </c>
      <c r="G5" s="8"/>
      <c r="I5" s="695"/>
      <c r="J5" s="695"/>
      <c r="K5" s="695"/>
      <c r="L5" s="89"/>
      <c r="M5" s="91"/>
      <c r="N5" s="8"/>
      <c r="O5" s="8"/>
    </row>
    <row r="6" spans="1:15">
      <c r="B6" s="110">
        <v>2</v>
      </c>
      <c r="C6" s="9">
        <v>355</v>
      </c>
      <c r="D6" s="111">
        <v>53250</v>
      </c>
      <c r="E6" s="539">
        <f t="shared" ref="E6:E27" si="1">$B$32*(C6)+$B$31</f>
        <v>51030.457968476359</v>
      </c>
      <c r="F6" s="113">
        <f t="shared" si="0"/>
        <v>2219.5420315236406</v>
      </c>
      <c r="G6" s="8"/>
      <c r="I6" s="91"/>
      <c r="J6" s="91"/>
      <c r="K6" s="91"/>
      <c r="L6" s="91"/>
      <c r="M6" s="91"/>
      <c r="N6" s="8"/>
      <c r="O6" s="8"/>
    </row>
    <row r="7" spans="1:15">
      <c r="B7" s="110">
        <v>3</v>
      </c>
      <c r="C7" s="9">
        <v>329</v>
      </c>
      <c r="D7" s="111">
        <v>47376</v>
      </c>
      <c r="E7" s="539">
        <f t="shared" si="1"/>
        <v>47172.103327495621</v>
      </c>
      <c r="F7" s="113">
        <f t="shared" si="0"/>
        <v>203.89667250437924</v>
      </c>
      <c r="G7" s="8"/>
      <c r="I7" s="92"/>
      <c r="J7" s="93"/>
      <c r="K7" s="94"/>
      <c r="L7" s="90"/>
      <c r="M7" s="91"/>
      <c r="N7" s="8"/>
      <c r="O7" s="8"/>
    </row>
    <row r="8" spans="1:15">
      <c r="B8" s="110">
        <v>4</v>
      </c>
      <c r="C8" s="9">
        <v>215</v>
      </c>
      <c r="D8" s="111">
        <v>31390</v>
      </c>
      <c r="E8" s="539">
        <f t="shared" si="1"/>
        <v>30254.702209349325</v>
      </c>
      <c r="F8" s="113">
        <f t="shared" si="0"/>
        <v>1135.2977906506749</v>
      </c>
      <c r="G8" s="8"/>
      <c r="I8" s="92"/>
      <c r="J8" s="89"/>
      <c r="K8" s="94"/>
      <c r="L8" s="90"/>
      <c r="M8" s="91"/>
      <c r="N8" s="8"/>
      <c r="O8" s="8"/>
    </row>
    <row r="9" spans="1:15">
      <c r="B9" s="110">
        <v>5</v>
      </c>
      <c r="C9" s="9">
        <v>299</v>
      </c>
      <c r="D9" s="111">
        <v>41561</v>
      </c>
      <c r="E9" s="539">
        <f t="shared" si="1"/>
        <v>42720.155664825543</v>
      </c>
      <c r="F9" s="113">
        <f t="shared" si="0"/>
        <v>1159.1556648255428</v>
      </c>
      <c r="G9" s="8"/>
      <c r="I9" s="92"/>
      <c r="J9" s="89"/>
      <c r="K9" s="94"/>
      <c r="L9" s="90"/>
      <c r="M9" s="91"/>
      <c r="N9" s="8"/>
      <c r="O9" s="8"/>
    </row>
    <row r="10" spans="1:15">
      <c r="B10" s="110">
        <v>6</v>
      </c>
      <c r="C10" s="9">
        <v>262</v>
      </c>
      <c r="D10" s="111">
        <v>35108</v>
      </c>
      <c r="E10" s="539">
        <f t="shared" si="1"/>
        <v>37229.420214199112</v>
      </c>
      <c r="F10" s="113">
        <f t="shared" si="0"/>
        <v>2121.4202141991118</v>
      </c>
      <c r="G10" s="8"/>
      <c r="I10" s="696"/>
      <c r="J10" s="696"/>
      <c r="K10" s="696"/>
      <c r="L10" s="95"/>
      <c r="M10" s="91"/>
      <c r="N10" s="8"/>
      <c r="O10" s="8"/>
    </row>
    <row r="11" spans="1:15">
      <c r="B11" s="110">
        <v>7</v>
      </c>
      <c r="C11" s="9">
        <v>248</v>
      </c>
      <c r="D11" s="111">
        <v>33728</v>
      </c>
      <c r="E11" s="539">
        <f t="shared" si="1"/>
        <v>35151.844638286413</v>
      </c>
      <c r="F11" s="113">
        <f t="shared" si="0"/>
        <v>1423.8446382864131</v>
      </c>
      <c r="G11" s="8"/>
      <c r="I11" s="696"/>
      <c r="J11" s="696"/>
      <c r="K11" s="696"/>
      <c r="L11" s="96"/>
      <c r="M11" s="91"/>
      <c r="N11" s="8"/>
      <c r="O11" s="8"/>
    </row>
    <row r="12" spans="1:15">
      <c r="B12" s="110">
        <v>8</v>
      </c>
      <c r="C12" s="9">
        <v>186</v>
      </c>
      <c r="D12" s="111">
        <v>28830</v>
      </c>
      <c r="E12" s="539">
        <f t="shared" si="1"/>
        <v>25951.152802101584</v>
      </c>
      <c r="F12" s="113">
        <f t="shared" si="0"/>
        <v>2878.8471978984162</v>
      </c>
      <c r="G12" s="8"/>
      <c r="I12" s="91"/>
      <c r="J12" s="91"/>
      <c r="K12" s="91"/>
      <c r="L12" s="91"/>
      <c r="M12" s="91"/>
      <c r="N12" s="8"/>
      <c r="O12" s="8"/>
    </row>
    <row r="13" spans="1:15">
      <c r="B13" s="110">
        <v>9</v>
      </c>
      <c r="C13" s="9">
        <v>192</v>
      </c>
      <c r="D13" s="111">
        <v>29568</v>
      </c>
      <c r="E13" s="539">
        <f t="shared" si="1"/>
        <v>26841.542334635596</v>
      </c>
      <c r="F13" s="113">
        <f t="shared" si="0"/>
        <v>2726.4576653644035</v>
      </c>
      <c r="G13" s="8"/>
      <c r="I13" s="97"/>
      <c r="J13" s="97"/>
      <c r="K13" s="97"/>
      <c r="L13" s="97"/>
      <c r="M13" s="98"/>
      <c r="N13" s="8"/>
      <c r="O13" s="8"/>
    </row>
    <row r="14" spans="1:15">
      <c r="B14" s="110">
        <v>10</v>
      </c>
      <c r="C14" s="9">
        <v>221</v>
      </c>
      <c r="D14" s="111">
        <v>32266</v>
      </c>
      <c r="E14" s="539">
        <f t="shared" si="1"/>
        <v>31145.091741883341</v>
      </c>
      <c r="F14" s="113">
        <f t="shared" si="0"/>
        <v>1120.9082581166585</v>
      </c>
      <c r="G14" s="8"/>
      <c r="I14" s="97"/>
      <c r="J14" s="99"/>
      <c r="K14" s="100"/>
      <c r="L14" s="100"/>
      <c r="M14" s="101"/>
      <c r="N14" s="8"/>
      <c r="O14" s="8"/>
    </row>
    <row r="15" spans="1:15">
      <c r="B15" s="110">
        <v>11</v>
      </c>
      <c r="C15" s="9">
        <v>281</v>
      </c>
      <c r="D15" s="111">
        <v>38778</v>
      </c>
      <c r="E15" s="539">
        <f t="shared" si="1"/>
        <v>40048.987067223497</v>
      </c>
      <c r="F15" s="113">
        <f t="shared" si="0"/>
        <v>1270.9870672234974</v>
      </c>
      <c r="G15" s="8"/>
      <c r="I15" s="97"/>
      <c r="J15" s="99"/>
      <c r="K15" s="100"/>
      <c r="L15" s="100"/>
      <c r="M15" s="101"/>
      <c r="N15" s="8"/>
      <c r="O15" s="8"/>
    </row>
    <row r="16" spans="1:15">
      <c r="B16" s="110">
        <v>12</v>
      </c>
      <c r="C16" s="9">
        <v>294</v>
      </c>
      <c r="D16" s="111">
        <v>42630</v>
      </c>
      <c r="E16" s="539">
        <f t="shared" si="1"/>
        <v>41978.164387713863</v>
      </c>
      <c r="F16" s="113">
        <f t="shared" si="0"/>
        <v>651.83561228613689</v>
      </c>
      <c r="G16" s="8"/>
      <c r="I16" s="97"/>
      <c r="J16" s="99"/>
      <c r="K16" s="100"/>
      <c r="L16" s="100"/>
      <c r="M16" s="101"/>
      <c r="N16" s="8"/>
      <c r="O16" s="8"/>
    </row>
    <row r="17" spans="1:15">
      <c r="B17" s="110">
        <v>13</v>
      </c>
      <c r="C17" s="9">
        <v>255</v>
      </c>
      <c r="D17" s="111">
        <v>36975</v>
      </c>
      <c r="E17" s="539">
        <f t="shared" si="1"/>
        <v>36190.632426242766</v>
      </c>
      <c r="F17" s="113">
        <f t="shared" si="0"/>
        <v>784.36757375723391</v>
      </c>
      <c r="G17" s="8"/>
      <c r="I17" s="97"/>
      <c r="J17" s="99"/>
      <c r="K17" s="100"/>
      <c r="L17" s="100"/>
      <c r="M17" s="101"/>
      <c r="N17" s="8"/>
      <c r="O17" s="8"/>
    </row>
    <row r="18" spans="1:15">
      <c r="B18" s="110">
        <v>14</v>
      </c>
      <c r="C18" s="9">
        <v>215</v>
      </c>
      <c r="D18" s="111">
        <v>30530</v>
      </c>
      <c r="E18" s="539">
        <f t="shared" si="1"/>
        <v>30254.702209349325</v>
      </c>
      <c r="F18" s="113">
        <f t="shared" si="0"/>
        <v>275.29779065067487</v>
      </c>
      <c r="G18" s="8"/>
      <c r="I18" s="97"/>
      <c r="J18" s="99"/>
      <c r="K18" s="100"/>
      <c r="L18" s="100"/>
      <c r="M18" s="101"/>
      <c r="N18" s="8"/>
      <c r="O18" s="8"/>
    </row>
    <row r="19" spans="1:15">
      <c r="B19" s="110">
        <v>15</v>
      </c>
      <c r="C19" s="9">
        <v>208</v>
      </c>
      <c r="D19" s="111">
        <v>28080</v>
      </c>
      <c r="E19" s="539">
        <f t="shared" si="1"/>
        <v>29215.914421392972</v>
      </c>
      <c r="F19" s="113">
        <f t="shared" si="0"/>
        <v>1135.9144213929721</v>
      </c>
      <c r="G19" s="8"/>
      <c r="I19" s="97"/>
      <c r="J19" s="99"/>
      <c r="K19" s="100"/>
      <c r="L19" s="100"/>
      <c r="M19" s="101"/>
      <c r="N19" s="8"/>
      <c r="O19" s="8"/>
    </row>
    <row r="20" spans="1:15">
      <c r="B20" s="110">
        <v>16</v>
      </c>
      <c r="C20" s="9">
        <v>222</v>
      </c>
      <c r="D20" s="111">
        <v>29748</v>
      </c>
      <c r="E20" s="539">
        <f t="shared" si="1"/>
        <v>31293.489997305674</v>
      </c>
      <c r="F20" s="113">
        <f t="shared" si="0"/>
        <v>1545.4899973056745</v>
      </c>
      <c r="G20" s="8"/>
      <c r="I20" s="97"/>
      <c r="J20" s="99"/>
      <c r="K20" s="100"/>
      <c r="L20" s="100"/>
      <c r="M20" s="101"/>
      <c r="N20" s="8"/>
      <c r="O20" s="8"/>
    </row>
    <row r="21" spans="1:15">
      <c r="B21" s="110">
        <v>17</v>
      </c>
      <c r="C21" s="9">
        <v>183</v>
      </c>
      <c r="D21" s="111">
        <v>23790</v>
      </c>
      <c r="E21" s="539">
        <f t="shared" si="1"/>
        <v>25505.958035834574</v>
      </c>
      <c r="F21" s="113">
        <f t="shared" si="0"/>
        <v>1715.9580358345738</v>
      </c>
      <c r="G21" s="8"/>
      <c r="I21" s="97"/>
      <c r="J21" s="99"/>
      <c r="K21" s="100"/>
      <c r="L21" s="100"/>
      <c r="M21" s="101"/>
      <c r="N21" s="8"/>
      <c r="O21" s="8"/>
    </row>
    <row r="22" spans="1:15">
      <c r="B22" s="110">
        <v>18</v>
      </c>
      <c r="C22" s="9">
        <v>172</v>
      </c>
      <c r="D22" s="111">
        <v>22704</v>
      </c>
      <c r="E22" s="539">
        <f t="shared" si="1"/>
        <v>23873.577226188878</v>
      </c>
      <c r="F22" s="539">
        <f t="shared" si="0"/>
        <v>1169.5772261888778</v>
      </c>
      <c r="G22" s="8"/>
      <c r="I22" s="97"/>
      <c r="J22" s="99"/>
      <c r="K22" s="100"/>
      <c r="L22" s="100"/>
      <c r="M22" s="101"/>
      <c r="N22" s="8"/>
      <c r="O22" s="8"/>
    </row>
    <row r="23" spans="1:15">
      <c r="B23" s="110"/>
      <c r="C23" s="9"/>
      <c r="D23" s="111"/>
      <c r="E23" s="539"/>
      <c r="F23" s="539"/>
      <c r="G23" s="8"/>
      <c r="I23" s="648"/>
      <c r="J23" s="99"/>
      <c r="K23" s="100"/>
      <c r="L23" s="100"/>
      <c r="M23" s="101"/>
      <c r="N23" s="8"/>
      <c r="O23" s="8"/>
    </row>
    <row r="24" spans="1:15" ht="16">
      <c r="C24" s="9"/>
      <c r="D24" s="111"/>
      <c r="E24" s="112" t="s">
        <v>294</v>
      </c>
      <c r="F24" s="113"/>
      <c r="I24" s="97"/>
      <c r="J24" s="99"/>
      <c r="K24" s="100"/>
      <c r="L24" s="100"/>
      <c r="M24" s="101"/>
      <c r="N24" s="8"/>
      <c r="O24" s="8"/>
    </row>
    <row r="25" spans="1:15" ht="16">
      <c r="B25" s="541" t="s">
        <v>13</v>
      </c>
      <c r="C25" s="9">
        <v>200</v>
      </c>
      <c r="D25" s="111"/>
      <c r="E25" s="543">
        <f t="shared" si="1"/>
        <v>28028.728378014286</v>
      </c>
      <c r="F25" s="113"/>
      <c r="I25" s="97"/>
      <c r="J25" s="99"/>
      <c r="K25" s="100"/>
      <c r="L25" s="100"/>
      <c r="M25" s="101"/>
      <c r="N25" s="8"/>
      <c r="O25" s="8"/>
    </row>
    <row r="26" spans="1:15">
      <c r="B26" s="110"/>
      <c r="C26" s="9">
        <v>300</v>
      </c>
      <c r="D26" s="111"/>
      <c r="E26" s="543">
        <f t="shared" si="1"/>
        <v>42868.553920247883</v>
      </c>
      <c r="F26" s="113"/>
      <c r="I26" s="97"/>
      <c r="J26" s="99"/>
      <c r="K26" s="100"/>
      <c r="L26" s="100"/>
      <c r="M26" s="101"/>
      <c r="N26" s="8"/>
      <c r="O26" s="8"/>
    </row>
    <row r="27" spans="1:15">
      <c r="B27" s="110"/>
      <c r="C27" s="9">
        <v>400</v>
      </c>
      <c r="D27" s="111"/>
      <c r="E27" s="543">
        <f t="shared" si="1"/>
        <v>57708.379462481476</v>
      </c>
      <c r="F27" s="113"/>
      <c r="I27" s="97"/>
      <c r="J27" s="99"/>
      <c r="K27" s="100"/>
      <c r="L27" s="100"/>
      <c r="M27" s="101"/>
      <c r="N27" s="8"/>
      <c r="O27" s="8"/>
    </row>
    <row r="28" spans="1:15">
      <c r="B28" s="110"/>
      <c r="C28" s="9"/>
      <c r="D28" s="111"/>
      <c r="E28" s="113"/>
      <c r="F28" s="113"/>
      <c r="I28" s="97"/>
      <c r="J28" s="99"/>
      <c r="K28" s="100"/>
      <c r="L28" s="100"/>
      <c r="M28" s="101"/>
      <c r="N28" s="8"/>
      <c r="O28" s="8"/>
    </row>
    <row r="29" spans="1:15">
      <c r="B29" s="110"/>
      <c r="C29" s="9"/>
      <c r="D29" s="111"/>
      <c r="E29" s="106"/>
      <c r="F29" s="107"/>
      <c r="I29" s="97"/>
      <c r="J29" s="99"/>
      <c r="K29" s="100"/>
      <c r="L29" s="100"/>
      <c r="M29" s="101"/>
      <c r="N29" s="8"/>
      <c r="O29" s="8"/>
    </row>
    <row r="30" spans="1:15">
      <c r="B30" t="s">
        <v>56</v>
      </c>
      <c r="C30" s="84"/>
      <c r="E30" s="106"/>
      <c r="F30" s="107"/>
      <c r="I30" s="97"/>
      <c r="J30" s="99"/>
      <c r="K30" s="100"/>
      <c r="L30" s="100"/>
      <c r="M30" s="101"/>
      <c r="N30" s="8"/>
      <c r="O30" s="8"/>
    </row>
    <row r="31" spans="1:15">
      <c r="A31" t="s">
        <v>63</v>
      </c>
      <c r="B31" s="537">
        <f>B50</f>
        <v>-1650.9227064529041</v>
      </c>
      <c r="C31" s="84"/>
      <c r="E31" s="106"/>
      <c r="F31" s="107"/>
      <c r="G31" s="8"/>
      <c r="I31" s="97"/>
      <c r="J31" s="102"/>
      <c r="K31" s="100"/>
      <c r="L31" s="100"/>
      <c r="M31" s="101"/>
    </row>
    <row r="32" spans="1:15">
      <c r="B32" s="537">
        <f>B51</f>
        <v>148.39825542233595</v>
      </c>
      <c r="C32" s="84"/>
      <c r="E32" s="106"/>
      <c r="F32" s="28"/>
      <c r="G32" s="8"/>
      <c r="I32" s="97"/>
      <c r="J32" s="99"/>
      <c r="K32" s="100"/>
      <c r="L32" s="100"/>
      <c r="M32" s="101"/>
    </row>
    <row r="33" spans="1:13">
      <c r="D33"/>
      <c r="E33"/>
      <c r="F33"/>
      <c r="I33" s="97"/>
      <c r="J33" s="99"/>
      <c r="K33" s="100"/>
      <c r="L33" s="100"/>
      <c r="M33" s="101"/>
    </row>
    <row r="34" spans="1:13" s="11" customFormat="1">
      <c r="A34" t="s">
        <v>40</v>
      </c>
      <c r="B34"/>
      <c r="C34"/>
      <c r="D34"/>
      <c r="E34"/>
      <c r="F34"/>
      <c r="G34"/>
      <c r="H34"/>
      <c r="I34"/>
      <c r="J34" s="103"/>
      <c r="K34" s="100"/>
      <c r="L34" s="100"/>
      <c r="M34" s="101"/>
    </row>
    <row r="35" spans="1:13" s="11" customFormat="1" ht="16" thickBot="1">
      <c r="A35"/>
      <c r="B35"/>
      <c r="C35"/>
      <c r="D35"/>
      <c r="E35"/>
      <c r="F35"/>
      <c r="G35"/>
      <c r="H35"/>
      <c r="I35"/>
    </row>
    <row r="36" spans="1:13" s="11" customFormat="1">
      <c r="A36" s="105" t="s">
        <v>41</v>
      </c>
      <c r="B36" s="105"/>
      <c r="C36"/>
      <c r="D36"/>
      <c r="E36"/>
      <c r="F36"/>
      <c r="G36"/>
      <c r="H36"/>
      <c r="I36"/>
    </row>
    <row r="37" spans="1:13" s="11" customFormat="1">
      <c r="A37" s="87" t="s">
        <v>42</v>
      </c>
      <c r="B37" s="87">
        <v>0.98239576775105963</v>
      </c>
      <c r="C37"/>
      <c r="D37"/>
      <c r="E37"/>
      <c r="F37"/>
      <c r="G37"/>
      <c r="H37"/>
      <c r="I37"/>
    </row>
    <row r="38" spans="1:13" s="11" customFormat="1">
      <c r="A38" s="87" t="s">
        <v>43</v>
      </c>
      <c r="B38" s="87">
        <v>0.96510144449519386</v>
      </c>
      <c r="C38"/>
      <c r="D38"/>
      <c r="E38"/>
      <c r="F38"/>
      <c r="G38"/>
      <c r="H38"/>
      <c r="I38"/>
    </row>
    <row r="39" spans="1:13" s="11" customFormat="1">
      <c r="A39" s="87" t="s">
        <v>44</v>
      </c>
      <c r="B39" s="87">
        <v>0.96292028477614355</v>
      </c>
      <c r="C39"/>
      <c r="D39"/>
      <c r="E39"/>
      <c r="F39"/>
      <c r="G39"/>
      <c r="H39"/>
      <c r="I39"/>
    </row>
    <row r="40" spans="1:13" s="11" customFormat="1">
      <c r="A40" s="87" t="s">
        <v>45</v>
      </c>
      <c r="B40" s="87">
        <v>1620.8562853432647</v>
      </c>
      <c r="C40"/>
      <c r="D40"/>
      <c r="E40"/>
      <c r="F40"/>
      <c r="G40"/>
      <c r="H40"/>
      <c r="I40"/>
    </row>
    <row r="41" spans="1:13" s="11" customFormat="1" ht="16" thickBot="1">
      <c r="A41" s="88" t="s">
        <v>46</v>
      </c>
      <c r="B41" s="88">
        <v>18</v>
      </c>
      <c r="C41"/>
      <c r="D41"/>
      <c r="E41"/>
      <c r="F41"/>
      <c r="G41"/>
      <c r="H41"/>
      <c r="I41"/>
    </row>
    <row r="42" spans="1:13" s="11" customFormat="1">
      <c r="A42"/>
      <c r="B42"/>
      <c r="C42"/>
      <c r="D42"/>
      <c r="E42"/>
      <c r="F42"/>
      <c r="G42"/>
      <c r="H42"/>
      <c r="I42"/>
    </row>
    <row r="43" spans="1:13" s="11" customFormat="1" ht="16" thickBot="1">
      <c r="A43" t="s">
        <v>47</v>
      </c>
      <c r="B43"/>
      <c r="C43"/>
      <c r="D43"/>
      <c r="E43"/>
      <c r="F43"/>
      <c r="G43"/>
      <c r="H43"/>
      <c r="I43"/>
    </row>
    <row r="44" spans="1:13" s="11" customFormat="1">
      <c r="A44" s="104"/>
      <c r="B44" s="104" t="s">
        <v>48</v>
      </c>
      <c r="C44" s="104" t="s">
        <v>49</v>
      </c>
      <c r="D44" s="104" t="s">
        <v>50</v>
      </c>
      <c r="E44" s="104" t="s">
        <v>51</v>
      </c>
      <c r="F44" s="104" t="s">
        <v>52</v>
      </c>
      <c r="G44"/>
      <c r="H44"/>
      <c r="I44"/>
    </row>
    <row r="45" spans="1:13" s="11" customFormat="1">
      <c r="A45" s="87" t="s">
        <v>53</v>
      </c>
      <c r="B45" s="87">
        <v>1</v>
      </c>
      <c r="C45" s="87">
        <v>1162450626.4362118</v>
      </c>
      <c r="D45" s="87">
        <v>1162450626.4362118</v>
      </c>
      <c r="E45" s="87">
        <v>442.47169799897551</v>
      </c>
      <c r="F45" s="87">
        <v>4.3893792706481311E-13</v>
      </c>
      <c r="G45"/>
      <c r="H45"/>
      <c r="I45"/>
    </row>
    <row r="46" spans="1:13" s="11" customFormat="1">
      <c r="A46" s="87" t="s">
        <v>54</v>
      </c>
      <c r="B46" s="87">
        <v>16</v>
      </c>
      <c r="C46" s="87">
        <v>42034801.563788272</v>
      </c>
      <c r="D46" s="87">
        <v>2627175.097736767</v>
      </c>
      <c r="E46" s="87"/>
      <c r="F46" s="87"/>
      <c r="G46"/>
      <c r="H46"/>
      <c r="I46"/>
    </row>
    <row r="47" spans="1:13" s="11" customFormat="1" ht="16" thickBot="1">
      <c r="A47" s="88" t="s">
        <v>55</v>
      </c>
      <c r="B47" s="88">
        <v>17</v>
      </c>
      <c r="C47" s="88">
        <v>1204485428</v>
      </c>
      <c r="D47" s="88"/>
      <c r="E47" s="88"/>
      <c r="F47" s="88"/>
      <c r="G47"/>
      <c r="H47"/>
      <c r="I47"/>
    </row>
    <row r="48" spans="1:13" s="11" customFormat="1" ht="16" thickBot="1">
      <c r="A48"/>
      <c r="B48"/>
      <c r="C48"/>
      <c r="D48"/>
      <c r="E48"/>
      <c r="F48"/>
      <c r="G48"/>
      <c r="H48"/>
      <c r="I48"/>
    </row>
    <row r="49" spans="1:9" s="11" customFormat="1">
      <c r="A49" s="104"/>
      <c r="B49" s="104" t="s">
        <v>56</v>
      </c>
      <c r="C49" s="104" t="s">
        <v>45</v>
      </c>
      <c r="D49" s="104" t="s">
        <v>57</v>
      </c>
      <c r="E49" s="104" t="s">
        <v>58</v>
      </c>
      <c r="F49" s="104" t="s">
        <v>59</v>
      </c>
      <c r="G49" s="104" t="s">
        <v>60</v>
      </c>
      <c r="H49" s="104" t="s">
        <v>61</v>
      </c>
      <c r="I49" s="104" t="s">
        <v>62</v>
      </c>
    </row>
    <row r="50" spans="1:9">
      <c r="A50" s="87" t="s">
        <v>63</v>
      </c>
      <c r="B50" s="87">
        <v>-1650.9227064529041</v>
      </c>
      <c r="C50" s="87">
        <v>1791.5867719727846</v>
      </c>
      <c r="D50" s="87">
        <v>-0.92148632278357923</v>
      </c>
      <c r="E50" s="87">
        <v>0.37048312992738308</v>
      </c>
      <c r="F50" s="87">
        <v>-5448.9169983727124</v>
      </c>
      <c r="G50" s="87">
        <v>2147.0715854669043</v>
      </c>
      <c r="H50" s="87">
        <v>-5448.9169983727124</v>
      </c>
      <c r="I50" s="87">
        <v>2147.0715854669043</v>
      </c>
    </row>
    <row r="51" spans="1:9" ht="16" thickBot="1">
      <c r="A51" s="88" t="s">
        <v>64</v>
      </c>
      <c r="B51" s="88">
        <v>148.39825542233595</v>
      </c>
      <c r="C51" s="88">
        <v>7.0548217781790141</v>
      </c>
      <c r="D51" s="88">
        <v>21.03501124313879</v>
      </c>
      <c r="E51" s="88">
        <v>4.3893792706481463E-13</v>
      </c>
      <c r="F51" s="88">
        <v>133.44270134971273</v>
      </c>
      <c r="G51" s="88">
        <v>163.35380949495917</v>
      </c>
      <c r="H51" s="88">
        <v>133.44270134971273</v>
      </c>
      <c r="I51" s="88">
        <v>163.35380949495917</v>
      </c>
    </row>
    <row r="52" spans="1:9">
      <c r="D52"/>
      <c r="E52"/>
      <c r="F52"/>
      <c r="I52"/>
    </row>
    <row r="53" spans="1:9">
      <c r="D53"/>
      <c r="E53"/>
      <c r="F53"/>
      <c r="I53"/>
    </row>
    <row r="54" spans="1:9">
      <c r="D54"/>
      <c r="E54"/>
      <c r="F54"/>
      <c r="I54"/>
    </row>
  </sheetData>
  <mergeCells count="5">
    <mergeCell ref="I3:L3"/>
    <mergeCell ref="I4:K4"/>
    <mergeCell ref="I5:K5"/>
    <mergeCell ref="I10:K10"/>
    <mergeCell ref="I11:K11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48"/>
  <sheetViews>
    <sheetView workbookViewId="0">
      <selection activeCell="E4" sqref="E4"/>
    </sheetView>
  </sheetViews>
  <sheetFormatPr baseColWidth="10" defaultColWidth="8.83203125" defaultRowHeight="15"/>
  <cols>
    <col min="1" max="2" width="11.6640625" customWidth="1"/>
    <col min="3" max="3" width="18.33203125" customWidth="1"/>
    <col min="4" max="4" width="19.83203125" style="30" bestFit="1" customWidth="1"/>
    <col min="5" max="5" width="19.83203125" style="30" customWidth="1"/>
    <col min="6" max="6" width="11.6640625" style="30" customWidth="1"/>
    <col min="7" max="7" width="12.6640625" customWidth="1"/>
    <col min="9" max="9" width="18.6640625" style="11" bestFit="1" customWidth="1"/>
    <col min="10" max="10" width="11.6640625" style="11" customWidth="1"/>
    <col min="11" max="11" width="15.5" style="11" customWidth="1"/>
    <col min="12" max="13" width="9.1640625" style="11"/>
    <col min="14" max="14" width="13.5" customWidth="1"/>
    <col min="15" max="15" width="10.5" customWidth="1"/>
    <col min="16" max="16" width="11.5" customWidth="1"/>
    <col min="17" max="17" width="11.33203125" customWidth="1"/>
    <col min="258" max="258" width="11.6640625" customWidth="1"/>
    <col min="260" max="260" width="19.83203125" bestFit="1" customWidth="1"/>
    <col min="261" max="261" width="19.83203125" customWidth="1"/>
    <col min="262" max="262" width="11.6640625" customWidth="1"/>
    <col min="263" max="263" width="12.6640625" customWidth="1"/>
    <col min="265" max="265" width="18.6640625" bestFit="1" customWidth="1"/>
    <col min="266" max="266" width="11.6640625" customWidth="1"/>
    <col min="267" max="267" width="15.5" customWidth="1"/>
    <col min="270" max="270" width="13.5" customWidth="1"/>
    <col min="271" max="271" width="10.5" customWidth="1"/>
    <col min="272" max="272" width="11.5" customWidth="1"/>
    <col min="273" max="273" width="11.33203125" customWidth="1"/>
    <col min="514" max="514" width="11.6640625" customWidth="1"/>
    <col min="516" max="516" width="19.83203125" bestFit="1" customWidth="1"/>
    <col min="517" max="517" width="19.83203125" customWidth="1"/>
    <col min="518" max="518" width="11.6640625" customWidth="1"/>
    <col min="519" max="519" width="12.6640625" customWidth="1"/>
    <col min="521" max="521" width="18.6640625" bestFit="1" customWidth="1"/>
    <col min="522" max="522" width="11.6640625" customWidth="1"/>
    <col min="523" max="523" width="15.5" customWidth="1"/>
    <col min="526" max="526" width="13.5" customWidth="1"/>
    <col min="527" max="527" width="10.5" customWidth="1"/>
    <col min="528" max="528" width="11.5" customWidth="1"/>
    <col min="529" max="529" width="11.33203125" customWidth="1"/>
    <col min="770" max="770" width="11.6640625" customWidth="1"/>
    <col min="772" max="772" width="19.83203125" bestFit="1" customWidth="1"/>
    <col min="773" max="773" width="19.83203125" customWidth="1"/>
    <col min="774" max="774" width="11.6640625" customWidth="1"/>
    <col min="775" max="775" width="12.6640625" customWidth="1"/>
    <col min="777" max="777" width="18.6640625" bestFit="1" customWidth="1"/>
    <col min="778" max="778" width="11.6640625" customWidth="1"/>
    <col min="779" max="779" width="15.5" customWidth="1"/>
    <col min="782" max="782" width="13.5" customWidth="1"/>
    <col min="783" max="783" width="10.5" customWidth="1"/>
    <col min="784" max="784" width="11.5" customWidth="1"/>
    <col min="785" max="785" width="11.33203125" customWidth="1"/>
    <col min="1026" max="1026" width="11.6640625" customWidth="1"/>
    <col min="1028" max="1028" width="19.83203125" bestFit="1" customWidth="1"/>
    <col min="1029" max="1029" width="19.83203125" customWidth="1"/>
    <col min="1030" max="1030" width="11.6640625" customWidth="1"/>
    <col min="1031" max="1031" width="12.6640625" customWidth="1"/>
    <col min="1033" max="1033" width="18.6640625" bestFit="1" customWidth="1"/>
    <col min="1034" max="1034" width="11.6640625" customWidth="1"/>
    <col min="1035" max="1035" width="15.5" customWidth="1"/>
    <col min="1038" max="1038" width="13.5" customWidth="1"/>
    <col min="1039" max="1039" width="10.5" customWidth="1"/>
    <col min="1040" max="1040" width="11.5" customWidth="1"/>
    <col min="1041" max="1041" width="11.33203125" customWidth="1"/>
    <col min="1282" max="1282" width="11.6640625" customWidth="1"/>
    <col min="1284" max="1284" width="19.83203125" bestFit="1" customWidth="1"/>
    <col min="1285" max="1285" width="19.83203125" customWidth="1"/>
    <col min="1286" max="1286" width="11.6640625" customWidth="1"/>
    <col min="1287" max="1287" width="12.6640625" customWidth="1"/>
    <col min="1289" max="1289" width="18.6640625" bestFit="1" customWidth="1"/>
    <col min="1290" max="1290" width="11.6640625" customWidth="1"/>
    <col min="1291" max="1291" width="15.5" customWidth="1"/>
    <col min="1294" max="1294" width="13.5" customWidth="1"/>
    <col min="1295" max="1295" width="10.5" customWidth="1"/>
    <col min="1296" max="1296" width="11.5" customWidth="1"/>
    <col min="1297" max="1297" width="11.33203125" customWidth="1"/>
    <col min="1538" max="1538" width="11.6640625" customWidth="1"/>
    <col min="1540" max="1540" width="19.83203125" bestFit="1" customWidth="1"/>
    <col min="1541" max="1541" width="19.83203125" customWidth="1"/>
    <col min="1542" max="1542" width="11.6640625" customWidth="1"/>
    <col min="1543" max="1543" width="12.6640625" customWidth="1"/>
    <col min="1545" max="1545" width="18.6640625" bestFit="1" customWidth="1"/>
    <col min="1546" max="1546" width="11.6640625" customWidth="1"/>
    <col min="1547" max="1547" width="15.5" customWidth="1"/>
    <col min="1550" max="1550" width="13.5" customWidth="1"/>
    <col min="1551" max="1551" width="10.5" customWidth="1"/>
    <col min="1552" max="1552" width="11.5" customWidth="1"/>
    <col min="1553" max="1553" width="11.33203125" customWidth="1"/>
    <col min="1794" max="1794" width="11.6640625" customWidth="1"/>
    <col min="1796" max="1796" width="19.83203125" bestFit="1" customWidth="1"/>
    <col min="1797" max="1797" width="19.83203125" customWidth="1"/>
    <col min="1798" max="1798" width="11.6640625" customWidth="1"/>
    <col min="1799" max="1799" width="12.6640625" customWidth="1"/>
    <col min="1801" max="1801" width="18.6640625" bestFit="1" customWidth="1"/>
    <col min="1802" max="1802" width="11.6640625" customWidth="1"/>
    <col min="1803" max="1803" width="15.5" customWidth="1"/>
    <col min="1806" max="1806" width="13.5" customWidth="1"/>
    <col min="1807" max="1807" width="10.5" customWidth="1"/>
    <col min="1808" max="1808" width="11.5" customWidth="1"/>
    <col min="1809" max="1809" width="11.33203125" customWidth="1"/>
    <col min="2050" max="2050" width="11.6640625" customWidth="1"/>
    <col min="2052" max="2052" width="19.83203125" bestFit="1" customWidth="1"/>
    <col min="2053" max="2053" width="19.83203125" customWidth="1"/>
    <col min="2054" max="2054" width="11.6640625" customWidth="1"/>
    <col min="2055" max="2055" width="12.6640625" customWidth="1"/>
    <col min="2057" max="2057" width="18.6640625" bestFit="1" customWidth="1"/>
    <col min="2058" max="2058" width="11.6640625" customWidth="1"/>
    <col min="2059" max="2059" width="15.5" customWidth="1"/>
    <col min="2062" max="2062" width="13.5" customWidth="1"/>
    <col min="2063" max="2063" width="10.5" customWidth="1"/>
    <col min="2064" max="2064" width="11.5" customWidth="1"/>
    <col min="2065" max="2065" width="11.33203125" customWidth="1"/>
    <col min="2306" max="2306" width="11.6640625" customWidth="1"/>
    <col min="2308" max="2308" width="19.83203125" bestFit="1" customWidth="1"/>
    <col min="2309" max="2309" width="19.83203125" customWidth="1"/>
    <col min="2310" max="2310" width="11.6640625" customWidth="1"/>
    <col min="2311" max="2311" width="12.6640625" customWidth="1"/>
    <col min="2313" max="2313" width="18.6640625" bestFit="1" customWidth="1"/>
    <col min="2314" max="2314" width="11.6640625" customWidth="1"/>
    <col min="2315" max="2315" width="15.5" customWidth="1"/>
    <col min="2318" max="2318" width="13.5" customWidth="1"/>
    <col min="2319" max="2319" width="10.5" customWidth="1"/>
    <col min="2320" max="2320" width="11.5" customWidth="1"/>
    <col min="2321" max="2321" width="11.33203125" customWidth="1"/>
    <col min="2562" max="2562" width="11.6640625" customWidth="1"/>
    <col min="2564" max="2564" width="19.83203125" bestFit="1" customWidth="1"/>
    <col min="2565" max="2565" width="19.83203125" customWidth="1"/>
    <col min="2566" max="2566" width="11.6640625" customWidth="1"/>
    <col min="2567" max="2567" width="12.6640625" customWidth="1"/>
    <col min="2569" max="2569" width="18.6640625" bestFit="1" customWidth="1"/>
    <col min="2570" max="2570" width="11.6640625" customWidth="1"/>
    <col min="2571" max="2571" width="15.5" customWidth="1"/>
    <col min="2574" max="2574" width="13.5" customWidth="1"/>
    <col min="2575" max="2575" width="10.5" customWidth="1"/>
    <col min="2576" max="2576" width="11.5" customWidth="1"/>
    <col min="2577" max="2577" width="11.33203125" customWidth="1"/>
    <col min="2818" max="2818" width="11.6640625" customWidth="1"/>
    <col min="2820" max="2820" width="19.83203125" bestFit="1" customWidth="1"/>
    <col min="2821" max="2821" width="19.83203125" customWidth="1"/>
    <col min="2822" max="2822" width="11.6640625" customWidth="1"/>
    <col min="2823" max="2823" width="12.6640625" customWidth="1"/>
    <col min="2825" max="2825" width="18.6640625" bestFit="1" customWidth="1"/>
    <col min="2826" max="2826" width="11.6640625" customWidth="1"/>
    <col min="2827" max="2827" width="15.5" customWidth="1"/>
    <col min="2830" max="2830" width="13.5" customWidth="1"/>
    <col min="2831" max="2831" width="10.5" customWidth="1"/>
    <col min="2832" max="2832" width="11.5" customWidth="1"/>
    <col min="2833" max="2833" width="11.33203125" customWidth="1"/>
    <col min="3074" max="3074" width="11.6640625" customWidth="1"/>
    <col min="3076" max="3076" width="19.83203125" bestFit="1" customWidth="1"/>
    <col min="3077" max="3077" width="19.83203125" customWidth="1"/>
    <col min="3078" max="3078" width="11.6640625" customWidth="1"/>
    <col min="3079" max="3079" width="12.6640625" customWidth="1"/>
    <col min="3081" max="3081" width="18.6640625" bestFit="1" customWidth="1"/>
    <col min="3082" max="3082" width="11.6640625" customWidth="1"/>
    <col min="3083" max="3083" width="15.5" customWidth="1"/>
    <col min="3086" max="3086" width="13.5" customWidth="1"/>
    <col min="3087" max="3087" width="10.5" customWidth="1"/>
    <col min="3088" max="3088" width="11.5" customWidth="1"/>
    <col min="3089" max="3089" width="11.33203125" customWidth="1"/>
    <col min="3330" max="3330" width="11.6640625" customWidth="1"/>
    <col min="3332" max="3332" width="19.83203125" bestFit="1" customWidth="1"/>
    <col min="3333" max="3333" width="19.83203125" customWidth="1"/>
    <col min="3334" max="3334" width="11.6640625" customWidth="1"/>
    <col min="3335" max="3335" width="12.6640625" customWidth="1"/>
    <col min="3337" max="3337" width="18.6640625" bestFit="1" customWidth="1"/>
    <col min="3338" max="3338" width="11.6640625" customWidth="1"/>
    <col min="3339" max="3339" width="15.5" customWidth="1"/>
    <col min="3342" max="3342" width="13.5" customWidth="1"/>
    <col min="3343" max="3343" width="10.5" customWidth="1"/>
    <col min="3344" max="3344" width="11.5" customWidth="1"/>
    <col min="3345" max="3345" width="11.33203125" customWidth="1"/>
    <col min="3586" max="3586" width="11.6640625" customWidth="1"/>
    <col min="3588" max="3588" width="19.83203125" bestFit="1" customWidth="1"/>
    <col min="3589" max="3589" width="19.83203125" customWidth="1"/>
    <col min="3590" max="3590" width="11.6640625" customWidth="1"/>
    <col min="3591" max="3591" width="12.6640625" customWidth="1"/>
    <col min="3593" max="3593" width="18.6640625" bestFit="1" customWidth="1"/>
    <col min="3594" max="3594" width="11.6640625" customWidth="1"/>
    <col min="3595" max="3595" width="15.5" customWidth="1"/>
    <col min="3598" max="3598" width="13.5" customWidth="1"/>
    <col min="3599" max="3599" width="10.5" customWidth="1"/>
    <col min="3600" max="3600" width="11.5" customWidth="1"/>
    <col min="3601" max="3601" width="11.33203125" customWidth="1"/>
    <col min="3842" max="3842" width="11.6640625" customWidth="1"/>
    <col min="3844" max="3844" width="19.83203125" bestFit="1" customWidth="1"/>
    <col min="3845" max="3845" width="19.83203125" customWidth="1"/>
    <col min="3846" max="3846" width="11.6640625" customWidth="1"/>
    <col min="3847" max="3847" width="12.6640625" customWidth="1"/>
    <col min="3849" max="3849" width="18.6640625" bestFit="1" customWidth="1"/>
    <col min="3850" max="3850" width="11.6640625" customWidth="1"/>
    <col min="3851" max="3851" width="15.5" customWidth="1"/>
    <col min="3854" max="3854" width="13.5" customWidth="1"/>
    <col min="3855" max="3855" width="10.5" customWidth="1"/>
    <col min="3856" max="3856" width="11.5" customWidth="1"/>
    <col min="3857" max="3857" width="11.33203125" customWidth="1"/>
    <col min="4098" max="4098" width="11.6640625" customWidth="1"/>
    <col min="4100" max="4100" width="19.83203125" bestFit="1" customWidth="1"/>
    <col min="4101" max="4101" width="19.83203125" customWidth="1"/>
    <col min="4102" max="4102" width="11.6640625" customWidth="1"/>
    <col min="4103" max="4103" width="12.6640625" customWidth="1"/>
    <col min="4105" max="4105" width="18.6640625" bestFit="1" customWidth="1"/>
    <col min="4106" max="4106" width="11.6640625" customWidth="1"/>
    <col min="4107" max="4107" width="15.5" customWidth="1"/>
    <col min="4110" max="4110" width="13.5" customWidth="1"/>
    <col min="4111" max="4111" width="10.5" customWidth="1"/>
    <col min="4112" max="4112" width="11.5" customWidth="1"/>
    <col min="4113" max="4113" width="11.33203125" customWidth="1"/>
    <col min="4354" max="4354" width="11.6640625" customWidth="1"/>
    <col min="4356" max="4356" width="19.83203125" bestFit="1" customWidth="1"/>
    <col min="4357" max="4357" width="19.83203125" customWidth="1"/>
    <col min="4358" max="4358" width="11.6640625" customWidth="1"/>
    <col min="4359" max="4359" width="12.6640625" customWidth="1"/>
    <col min="4361" max="4361" width="18.6640625" bestFit="1" customWidth="1"/>
    <col min="4362" max="4362" width="11.6640625" customWidth="1"/>
    <col min="4363" max="4363" width="15.5" customWidth="1"/>
    <col min="4366" max="4366" width="13.5" customWidth="1"/>
    <col min="4367" max="4367" width="10.5" customWidth="1"/>
    <col min="4368" max="4368" width="11.5" customWidth="1"/>
    <col min="4369" max="4369" width="11.33203125" customWidth="1"/>
    <col min="4610" max="4610" width="11.6640625" customWidth="1"/>
    <col min="4612" max="4612" width="19.83203125" bestFit="1" customWidth="1"/>
    <col min="4613" max="4613" width="19.83203125" customWidth="1"/>
    <col min="4614" max="4614" width="11.6640625" customWidth="1"/>
    <col min="4615" max="4615" width="12.6640625" customWidth="1"/>
    <col min="4617" max="4617" width="18.6640625" bestFit="1" customWidth="1"/>
    <col min="4618" max="4618" width="11.6640625" customWidth="1"/>
    <col min="4619" max="4619" width="15.5" customWidth="1"/>
    <col min="4622" max="4622" width="13.5" customWidth="1"/>
    <col min="4623" max="4623" width="10.5" customWidth="1"/>
    <col min="4624" max="4624" width="11.5" customWidth="1"/>
    <col min="4625" max="4625" width="11.33203125" customWidth="1"/>
    <col min="4866" max="4866" width="11.6640625" customWidth="1"/>
    <col min="4868" max="4868" width="19.83203125" bestFit="1" customWidth="1"/>
    <col min="4869" max="4869" width="19.83203125" customWidth="1"/>
    <col min="4870" max="4870" width="11.6640625" customWidth="1"/>
    <col min="4871" max="4871" width="12.6640625" customWidth="1"/>
    <col min="4873" max="4873" width="18.6640625" bestFit="1" customWidth="1"/>
    <col min="4874" max="4874" width="11.6640625" customWidth="1"/>
    <col min="4875" max="4875" width="15.5" customWidth="1"/>
    <col min="4878" max="4878" width="13.5" customWidth="1"/>
    <col min="4879" max="4879" width="10.5" customWidth="1"/>
    <col min="4880" max="4880" width="11.5" customWidth="1"/>
    <col min="4881" max="4881" width="11.33203125" customWidth="1"/>
    <col min="5122" max="5122" width="11.6640625" customWidth="1"/>
    <col min="5124" max="5124" width="19.83203125" bestFit="1" customWidth="1"/>
    <col min="5125" max="5125" width="19.83203125" customWidth="1"/>
    <col min="5126" max="5126" width="11.6640625" customWidth="1"/>
    <col min="5127" max="5127" width="12.6640625" customWidth="1"/>
    <col min="5129" max="5129" width="18.6640625" bestFit="1" customWidth="1"/>
    <col min="5130" max="5130" width="11.6640625" customWidth="1"/>
    <col min="5131" max="5131" width="15.5" customWidth="1"/>
    <col min="5134" max="5134" width="13.5" customWidth="1"/>
    <col min="5135" max="5135" width="10.5" customWidth="1"/>
    <col min="5136" max="5136" width="11.5" customWidth="1"/>
    <col min="5137" max="5137" width="11.33203125" customWidth="1"/>
    <col min="5378" max="5378" width="11.6640625" customWidth="1"/>
    <col min="5380" max="5380" width="19.83203125" bestFit="1" customWidth="1"/>
    <col min="5381" max="5381" width="19.83203125" customWidth="1"/>
    <col min="5382" max="5382" width="11.6640625" customWidth="1"/>
    <col min="5383" max="5383" width="12.6640625" customWidth="1"/>
    <col min="5385" max="5385" width="18.6640625" bestFit="1" customWidth="1"/>
    <col min="5386" max="5386" width="11.6640625" customWidth="1"/>
    <col min="5387" max="5387" width="15.5" customWidth="1"/>
    <col min="5390" max="5390" width="13.5" customWidth="1"/>
    <col min="5391" max="5391" width="10.5" customWidth="1"/>
    <col min="5392" max="5392" width="11.5" customWidth="1"/>
    <col min="5393" max="5393" width="11.33203125" customWidth="1"/>
    <col min="5634" max="5634" width="11.6640625" customWidth="1"/>
    <col min="5636" max="5636" width="19.83203125" bestFit="1" customWidth="1"/>
    <col min="5637" max="5637" width="19.83203125" customWidth="1"/>
    <col min="5638" max="5638" width="11.6640625" customWidth="1"/>
    <col min="5639" max="5639" width="12.6640625" customWidth="1"/>
    <col min="5641" max="5641" width="18.6640625" bestFit="1" customWidth="1"/>
    <col min="5642" max="5642" width="11.6640625" customWidth="1"/>
    <col min="5643" max="5643" width="15.5" customWidth="1"/>
    <col min="5646" max="5646" width="13.5" customWidth="1"/>
    <col min="5647" max="5647" width="10.5" customWidth="1"/>
    <col min="5648" max="5648" width="11.5" customWidth="1"/>
    <col min="5649" max="5649" width="11.33203125" customWidth="1"/>
    <col min="5890" max="5890" width="11.6640625" customWidth="1"/>
    <col min="5892" max="5892" width="19.83203125" bestFit="1" customWidth="1"/>
    <col min="5893" max="5893" width="19.83203125" customWidth="1"/>
    <col min="5894" max="5894" width="11.6640625" customWidth="1"/>
    <col min="5895" max="5895" width="12.6640625" customWidth="1"/>
    <col min="5897" max="5897" width="18.6640625" bestFit="1" customWidth="1"/>
    <col min="5898" max="5898" width="11.6640625" customWidth="1"/>
    <col min="5899" max="5899" width="15.5" customWidth="1"/>
    <col min="5902" max="5902" width="13.5" customWidth="1"/>
    <col min="5903" max="5903" width="10.5" customWidth="1"/>
    <col min="5904" max="5904" width="11.5" customWidth="1"/>
    <col min="5905" max="5905" width="11.33203125" customWidth="1"/>
    <col min="6146" max="6146" width="11.6640625" customWidth="1"/>
    <col min="6148" max="6148" width="19.83203125" bestFit="1" customWidth="1"/>
    <col min="6149" max="6149" width="19.83203125" customWidth="1"/>
    <col min="6150" max="6150" width="11.6640625" customWidth="1"/>
    <col min="6151" max="6151" width="12.6640625" customWidth="1"/>
    <col min="6153" max="6153" width="18.6640625" bestFit="1" customWidth="1"/>
    <col min="6154" max="6154" width="11.6640625" customWidth="1"/>
    <col min="6155" max="6155" width="15.5" customWidth="1"/>
    <col min="6158" max="6158" width="13.5" customWidth="1"/>
    <col min="6159" max="6159" width="10.5" customWidth="1"/>
    <col min="6160" max="6160" width="11.5" customWidth="1"/>
    <col min="6161" max="6161" width="11.33203125" customWidth="1"/>
    <col min="6402" max="6402" width="11.6640625" customWidth="1"/>
    <col min="6404" max="6404" width="19.83203125" bestFit="1" customWidth="1"/>
    <col min="6405" max="6405" width="19.83203125" customWidth="1"/>
    <col min="6406" max="6406" width="11.6640625" customWidth="1"/>
    <col min="6407" max="6407" width="12.6640625" customWidth="1"/>
    <col min="6409" max="6409" width="18.6640625" bestFit="1" customWidth="1"/>
    <col min="6410" max="6410" width="11.6640625" customWidth="1"/>
    <col min="6411" max="6411" width="15.5" customWidth="1"/>
    <col min="6414" max="6414" width="13.5" customWidth="1"/>
    <col min="6415" max="6415" width="10.5" customWidth="1"/>
    <col min="6416" max="6416" width="11.5" customWidth="1"/>
    <col min="6417" max="6417" width="11.33203125" customWidth="1"/>
    <col min="6658" max="6658" width="11.6640625" customWidth="1"/>
    <col min="6660" max="6660" width="19.83203125" bestFit="1" customWidth="1"/>
    <col min="6661" max="6661" width="19.83203125" customWidth="1"/>
    <col min="6662" max="6662" width="11.6640625" customWidth="1"/>
    <col min="6663" max="6663" width="12.6640625" customWidth="1"/>
    <col min="6665" max="6665" width="18.6640625" bestFit="1" customWidth="1"/>
    <col min="6666" max="6666" width="11.6640625" customWidth="1"/>
    <col min="6667" max="6667" width="15.5" customWidth="1"/>
    <col min="6670" max="6670" width="13.5" customWidth="1"/>
    <col min="6671" max="6671" width="10.5" customWidth="1"/>
    <col min="6672" max="6672" width="11.5" customWidth="1"/>
    <col min="6673" max="6673" width="11.33203125" customWidth="1"/>
    <col min="6914" max="6914" width="11.6640625" customWidth="1"/>
    <col min="6916" max="6916" width="19.83203125" bestFit="1" customWidth="1"/>
    <col min="6917" max="6917" width="19.83203125" customWidth="1"/>
    <col min="6918" max="6918" width="11.6640625" customWidth="1"/>
    <col min="6919" max="6919" width="12.6640625" customWidth="1"/>
    <col min="6921" max="6921" width="18.6640625" bestFit="1" customWidth="1"/>
    <col min="6922" max="6922" width="11.6640625" customWidth="1"/>
    <col min="6923" max="6923" width="15.5" customWidth="1"/>
    <col min="6926" max="6926" width="13.5" customWidth="1"/>
    <col min="6927" max="6927" width="10.5" customWidth="1"/>
    <col min="6928" max="6928" width="11.5" customWidth="1"/>
    <col min="6929" max="6929" width="11.33203125" customWidth="1"/>
    <col min="7170" max="7170" width="11.6640625" customWidth="1"/>
    <col min="7172" max="7172" width="19.83203125" bestFit="1" customWidth="1"/>
    <col min="7173" max="7173" width="19.83203125" customWidth="1"/>
    <col min="7174" max="7174" width="11.6640625" customWidth="1"/>
    <col min="7175" max="7175" width="12.6640625" customWidth="1"/>
    <col min="7177" max="7177" width="18.6640625" bestFit="1" customWidth="1"/>
    <col min="7178" max="7178" width="11.6640625" customWidth="1"/>
    <col min="7179" max="7179" width="15.5" customWidth="1"/>
    <col min="7182" max="7182" width="13.5" customWidth="1"/>
    <col min="7183" max="7183" width="10.5" customWidth="1"/>
    <col min="7184" max="7184" width="11.5" customWidth="1"/>
    <col min="7185" max="7185" width="11.33203125" customWidth="1"/>
    <col min="7426" max="7426" width="11.6640625" customWidth="1"/>
    <col min="7428" max="7428" width="19.83203125" bestFit="1" customWidth="1"/>
    <col min="7429" max="7429" width="19.83203125" customWidth="1"/>
    <col min="7430" max="7430" width="11.6640625" customWidth="1"/>
    <col min="7431" max="7431" width="12.6640625" customWidth="1"/>
    <col min="7433" max="7433" width="18.6640625" bestFit="1" customWidth="1"/>
    <col min="7434" max="7434" width="11.6640625" customWidth="1"/>
    <col min="7435" max="7435" width="15.5" customWidth="1"/>
    <col min="7438" max="7438" width="13.5" customWidth="1"/>
    <col min="7439" max="7439" width="10.5" customWidth="1"/>
    <col min="7440" max="7440" width="11.5" customWidth="1"/>
    <col min="7441" max="7441" width="11.33203125" customWidth="1"/>
    <col min="7682" max="7682" width="11.6640625" customWidth="1"/>
    <col min="7684" max="7684" width="19.83203125" bestFit="1" customWidth="1"/>
    <col min="7685" max="7685" width="19.83203125" customWidth="1"/>
    <col min="7686" max="7686" width="11.6640625" customWidth="1"/>
    <col min="7687" max="7687" width="12.6640625" customWidth="1"/>
    <col min="7689" max="7689" width="18.6640625" bestFit="1" customWidth="1"/>
    <col min="7690" max="7690" width="11.6640625" customWidth="1"/>
    <col min="7691" max="7691" width="15.5" customWidth="1"/>
    <col min="7694" max="7694" width="13.5" customWidth="1"/>
    <col min="7695" max="7695" width="10.5" customWidth="1"/>
    <col min="7696" max="7696" width="11.5" customWidth="1"/>
    <col min="7697" max="7697" width="11.33203125" customWidth="1"/>
    <col min="7938" max="7938" width="11.6640625" customWidth="1"/>
    <col min="7940" max="7940" width="19.83203125" bestFit="1" customWidth="1"/>
    <col min="7941" max="7941" width="19.83203125" customWidth="1"/>
    <col min="7942" max="7942" width="11.6640625" customWidth="1"/>
    <col min="7943" max="7943" width="12.6640625" customWidth="1"/>
    <col min="7945" max="7945" width="18.6640625" bestFit="1" customWidth="1"/>
    <col min="7946" max="7946" width="11.6640625" customWidth="1"/>
    <col min="7947" max="7947" width="15.5" customWidth="1"/>
    <col min="7950" max="7950" width="13.5" customWidth="1"/>
    <col min="7951" max="7951" width="10.5" customWidth="1"/>
    <col min="7952" max="7952" width="11.5" customWidth="1"/>
    <col min="7953" max="7953" width="11.33203125" customWidth="1"/>
    <col min="8194" max="8194" width="11.6640625" customWidth="1"/>
    <col min="8196" max="8196" width="19.83203125" bestFit="1" customWidth="1"/>
    <col min="8197" max="8197" width="19.83203125" customWidth="1"/>
    <col min="8198" max="8198" width="11.6640625" customWidth="1"/>
    <col min="8199" max="8199" width="12.6640625" customWidth="1"/>
    <col min="8201" max="8201" width="18.6640625" bestFit="1" customWidth="1"/>
    <col min="8202" max="8202" width="11.6640625" customWidth="1"/>
    <col min="8203" max="8203" width="15.5" customWidth="1"/>
    <col min="8206" max="8206" width="13.5" customWidth="1"/>
    <col min="8207" max="8207" width="10.5" customWidth="1"/>
    <col min="8208" max="8208" width="11.5" customWidth="1"/>
    <col min="8209" max="8209" width="11.33203125" customWidth="1"/>
    <col min="8450" max="8450" width="11.6640625" customWidth="1"/>
    <col min="8452" max="8452" width="19.83203125" bestFit="1" customWidth="1"/>
    <col min="8453" max="8453" width="19.83203125" customWidth="1"/>
    <col min="8454" max="8454" width="11.6640625" customWidth="1"/>
    <col min="8455" max="8455" width="12.6640625" customWidth="1"/>
    <col min="8457" max="8457" width="18.6640625" bestFit="1" customWidth="1"/>
    <col min="8458" max="8458" width="11.6640625" customWidth="1"/>
    <col min="8459" max="8459" width="15.5" customWidth="1"/>
    <col min="8462" max="8462" width="13.5" customWidth="1"/>
    <col min="8463" max="8463" width="10.5" customWidth="1"/>
    <col min="8464" max="8464" width="11.5" customWidth="1"/>
    <col min="8465" max="8465" width="11.33203125" customWidth="1"/>
    <col min="8706" max="8706" width="11.6640625" customWidth="1"/>
    <col min="8708" max="8708" width="19.83203125" bestFit="1" customWidth="1"/>
    <col min="8709" max="8709" width="19.83203125" customWidth="1"/>
    <col min="8710" max="8710" width="11.6640625" customWidth="1"/>
    <col min="8711" max="8711" width="12.6640625" customWidth="1"/>
    <col min="8713" max="8713" width="18.6640625" bestFit="1" customWidth="1"/>
    <col min="8714" max="8714" width="11.6640625" customWidth="1"/>
    <col min="8715" max="8715" width="15.5" customWidth="1"/>
    <col min="8718" max="8718" width="13.5" customWidth="1"/>
    <col min="8719" max="8719" width="10.5" customWidth="1"/>
    <col min="8720" max="8720" width="11.5" customWidth="1"/>
    <col min="8721" max="8721" width="11.33203125" customWidth="1"/>
    <col min="8962" max="8962" width="11.6640625" customWidth="1"/>
    <col min="8964" max="8964" width="19.83203125" bestFit="1" customWidth="1"/>
    <col min="8965" max="8965" width="19.83203125" customWidth="1"/>
    <col min="8966" max="8966" width="11.6640625" customWidth="1"/>
    <col min="8967" max="8967" width="12.6640625" customWidth="1"/>
    <col min="8969" max="8969" width="18.6640625" bestFit="1" customWidth="1"/>
    <col min="8970" max="8970" width="11.6640625" customWidth="1"/>
    <col min="8971" max="8971" width="15.5" customWidth="1"/>
    <col min="8974" max="8974" width="13.5" customWidth="1"/>
    <col min="8975" max="8975" width="10.5" customWidth="1"/>
    <col min="8976" max="8976" width="11.5" customWidth="1"/>
    <col min="8977" max="8977" width="11.33203125" customWidth="1"/>
    <col min="9218" max="9218" width="11.6640625" customWidth="1"/>
    <col min="9220" max="9220" width="19.83203125" bestFit="1" customWidth="1"/>
    <col min="9221" max="9221" width="19.83203125" customWidth="1"/>
    <col min="9222" max="9222" width="11.6640625" customWidth="1"/>
    <col min="9223" max="9223" width="12.6640625" customWidth="1"/>
    <col min="9225" max="9225" width="18.6640625" bestFit="1" customWidth="1"/>
    <col min="9226" max="9226" width="11.6640625" customWidth="1"/>
    <col min="9227" max="9227" width="15.5" customWidth="1"/>
    <col min="9230" max="9230" width="13.5" customWidth="1"/>
    <col min="9231" max="9231" width="10.5" customWidth="1"/>
    <col min="9232" max="9232" width="11.5" customWidth="1"/>
    <col min="9233" max="9233" width="11.33203125" customWidth="1"/>
    <col min="9474" max="9474" width="11.6640625" customWidth="1"/>
    <col min="9476" max="9476" width="19.83203125" bestFit="1" customWidth="1"/>
    <col min="9477" max="9477" width="19.83203125" customWidth="1"/>
    <col min="9478" max="9478" width="11.6640625" customWidth="1"/>
    <col min="9479" max="9479" width="12.6640625" customWidth="1"/>
    <col min="9481" max="9481" width="18.6640625" bestFit="1" customWidth="1"/>
    <col min="9482" max="9482" width="11.6640625" customWidth="1"/>
    <col min="9483" max="9483" width="15.5" customWidth="1"/>
    <col min="9486" max="9486" width="13.5" customWidth="1"/>
    <col min="9487" max="9487" width="10.5" customWidth="1"/>
    <col min="9488" max="9488" width="11.5" customWidth="1"/>
    <col min="9489" max="9489" width="11.33203125" customWidth="1"/>
    <col min="9730" max="9730" width="11.6640625" customWidth="1"/>
    <col min="9732" max="9732" width="19.83203125" bestFit="1" customWidth="1"/>
    <col min="9733" max="9733" width="19.83203125" customWidth="1"/>
    <col min="9734" max="9734" width="11.6640625" customWidth="1"/>
    <col min="9735" max="9735" width="12.6640625" customWidth="1"/>
    <col min="9737" max="9737" width="18.6640625" bestFit="1" customWidth="1"/>
    <col min="9738" max="9738" width="11.6640625" customWidth="1"/>
    <col min="9739" max="9739" width="15.5" customWidth="1"/>
    <col min="9742" max="9742" width="13.5" customWidth="1"/>
    <col min="9743" max="9743" width="10.5" customWidth="1"/>
    <col min="9744" max="9744" width="11.5" customWidth="1"/>
    <col min="9745" max="9745" width="11.33203125" customWidth="1"/>
    <col min="9986" max="9986" width="11.6640625" customWidth="1"/>
    <col min="9988" max="9988" width="19.83203125" bestFit="1" customWidth="1"/>
    <col min="9989" max="9989" width="19.83203125" customWidth="1"/>
    <col min="9990" max="9990" width="11.6640625" customWidth="1"/>
    <col min="9991" max="9991" width="12.6640625" customWidth="1"/>
    <col min="9993" max="9993" width="18.6640625" bestFit="1" customWidth="1"/>
    <col min="9994" max="9994" width="11.6640625" customWidth="1"/>
    <col min="9995" max="9995" width="15.5" customWidth="1"/>
    <col min="9998" max="9998" width="13.5" customWidth="1"/>
    <col min="9999" max="9999" width="10.5" customWidth="1"/>
    <col min="10000" max="10000" width="11.5" customWidth="1"/>
    <col min="10001" max="10001" width="11.33203125" customWidth="1"/>
    <col min="10242" max="10242" width="11.6640625" customWidth="1"/>
    <col min="10244" max="10244" width="19.83203125" bestFit="1" customWidth="1"/>
    <col min="10245" max="10245" width="19.83203125" customWidth="1"/>
    <col min="10246" max="10246" width="11.6640625" customWidth="1"/>
    <col min="10247" max="10247" width="12.6640625" customWidth="1"/>
    <col min="10249" max="10249" width="18.6640625" bestFit="1" customWidth="1"/>
    <col min="10250" max="10250" width="11.6640625" customWidth="1"/>
    <col min="10251" max="10251" width="15.5" customWidth="1"/>
    <col min="10254" max="10254" width="13.5" customWidth="1"/>
    <col min="10255" max="10255" width="10.5" customWidth="1"/>
    <col min="10256" max="10256" width="11.5" customWidth="1"/>
    <col min="10257" max="10257" width="11.33203125" customWidth="1"/>
    <col min="10498" max="10498" width="11.6640625" customWidth="1"/>
    <col min="10500" max="10500" width="19.83203125" bestFit="1" customWidth="1"/>
    <col min="10501" max="10501" width="19.83203125" customWidth="1"/>
    <col min="10502" max="10502" width="11.6640625" customWidth="1"/>
    <col min="10503" max="10503" width="12.6640625" customWidth="1"/>
    <col min="10505" max="10505" width="18.6640625" bestFit="1" customWidth="1"/>
    <col min="10506" max="10506" width="11.6640625" customWidth="1"/>
    <col min="10507" max="10507" width="15.5" customWidth="1"/>
    <col min="10510" max="10510" width="13.5" customWidth="1"/>
    <col min="10511" max="10511" width="10.5" customWidth="1"/>
    <col min="10512" max="10512" width="11.5" customWidth="1"/>
    <col min="10513" max="10513" width="11.33203125" customWidth="1"/>
    <col min="10754" max="10754" width="11.6640625" customWidth="1"/>
    <col min="10756" max="10756" width="19.83203125" bestFit="1" customWidth="1"/>
    <col min="10757" max="10757" width="19.83203125" customWidth="1"/>
    <col min="10758" max="10758" width="11.6640625" customWidth="1"/>
    <col min="10759" max="10759" width="12.6640625" customWidth="1"/>
    <col min="10761" max="10761" width="18.6640625" bestFit="1" customWidth="1"/>
    <col min="10762" max="10762" width="11.6640625" customWidth="1"/>
    <col min="10763" max="10763" width="15.5" customWidth="1"/>
    <col min="10766" max="10766" width="13.5" customWidth="1"/>
    <col min="10767" max="10767" width="10.5" customWidth="1"/>
    <col min="10768" max="10768" width="11.5" customWidth="1"/>
    <col min="10769" max="10769" width="11.33203125" customWidth="1"/>
    <col min="11010" max="11010" width="11.6640625" customWidth="1"/>
    <col min="11012" max="11012" width="19.83203125" bestFit="1" customWidth="1"/>
    <col min="11013" max="11013" width="19.83203125" customWidth="1"/>
    <col min="11014" max="11014" width="11.6640625" customWidth="1"/>
    <col min="11015" max="11015" width="12.6640625" customWidth="1"/>
    <col min="11017" max="11017" width="18.6640625" bestFit="1" customWidth="1"/>
    <col min="11018" max="11018" width="11.6640625" customWidth="1"/>
    <col min="11019" max="11019" width="15.5" customWidth="1"/>
    <col min="11022" max="11022" width="13.5" customWidth="1"/>
    <col min="11023" max="11023" width="10.5" customWidth="1"/>
    <col min="11024" max="11024" width="11.5" customWidth="1"/>
    <col min="11025" max="11025" width="11.33203125" customWidth="1"/>
    <col min="11266" max="11266" width="11.6640625" customWidth="1"/>
    <col min="11268" max="11268" width="19.83203125" bestFit="1" customWidth="1"/>
    <col min="11269" max="11269" width="19.83203125" customWidth="1"/>
    <col min="11270" max="11270" width="11.6640625" customWidth="1"/>
    <col min="11271" max="11271" width="12.6640625" customWidth="1"/>
    <col min="11273" max="11273" width="18.6640625" bestFit="1" customWidth="1"/>
    <col min="11274" max="11274" width="11.6640625" customWidth="1"/>
    <col min="11275" max="11275" width="15.5" customWidth="1"/>
    <col min="11278" max="11278" width="13.5" customWidth="1"/>
    <col min="11279" max="11279" width="10.5" customWidth="1"/>
    <col min="11280" max="11280" width="11.5" customWidth="1"/>
    <col min="11281" max="11281" width="11.33203125" customWidth="1"/>
    <col min="11522" max="11522" width="11.6640625" customWidth="1"/>
    <col min="11524" max="11524" width="19.83203125" bestFit="1" customWidth="1"/>
    <col min="11525" max="11525" width="19.83203125" customWidth="1"/>
    <col min="11526" max="11526" width="11.6640625" customWidth="1"/>
    <col min="11527" max="11527" width="12.6640625" customWidth="1"/>
    <col min="11529" max="11529" width="18.6640625" bestFit="1" customWidth="1"/>
    <col min="11530" max="11530" width="11.6640625" customWidth="1"/>
    <col min="11531" max="11531" width="15.5" customWidth="1"/>
    <col min="11534" max="11534" width="13.5" customWidth="1"/>
    <col min="11535" max="11535" width="10.5" customWidth="1"/>
    <col min="11536" max="11536" width="11.5" customWidth="1"/>
    <col min="11537" max="11537" width="11.33203125" customWidth="1"/>
    <col min="11778" max="11778" width="11.6640625" customWidth="1"/>
    <col min="11780" max="11780" width="19.83203125" bestFit="1" customWidth="1"/>
    <col min="11781" max="11781" width="19.83203125" customWidth="1"/>
    <col min="11782" max="11782" width="11.6640625" customWidth="1"/>
    <col min="11783" max="11783" width="12.6640625" customWidth="1"/>
    <col min="11785" max="11785" width="18.6640625" bestFit="1" customWidth="1"/>
    <col min="11786" max="11786" width="11.6640625" customWidth="1"/>
    <col min="11787" max="11787" width="15.5" customWidth="1"/>
    <col min="11790" max="11790" width="13.5" customWidth="1"/>
    <col min="11791" max="11791" width="10.5" customWidth="1"/>
    <col min="11792" max="11792" width="11.5" customWidth="1"/>
    <col min="11793" max="11793" width="11.33203125" customWidth="1"/>
    <col min="12034" max="12034" width="11.6640625" customWidth="1"/>
    <col min="12036" max="12036" width="19.83203125" bestFit="1" customWidth="1"/>
    <col min="12037" max="12037" width="19.83203125" customWidth="1"/>
    <col min="12038" max="12038" width="11.6640625" customWidth="1"/>
    <col min="12039" max="12039" width="12.6640625" customWidth="1"/>
    <col min="12041" max="12041" width="18.6640625" bestFit="1" customWidth="1"/>
    <col min="12042" max="12042" width="11.6640625" customWidth="1"/>
    <col min="12043" max="12043" width="15.5" customWidth="1"/>
    <col min="12046" max="12046" width="13.5" customWidth="1"/>
    <col min="12047" max="12047" width="10.5" customWidth="1"/>
    <col min="12048" max="12048" width="11.5" customWidth="1"/>
    <col min="12049" max="12049" width="11.33203125" customWidth="1"/>
    <col min="12290" max="12290" width="11.6640625" customWidth="1"/>
    <col min="12292" max="12292" width="19.83203125" bestFit="1" customWidth="1"/>
    <col min="12293" max="12293" width="19.83203125" customWidth="1"/>
    <col min="12294" max="12294" width="11.6640625" customWidth="1"/>
    <col min="12295" max="12295" width="12.6640625" customWidth="1"/>
    <col min="12297" max="12297" width="18.6640625" bestFit="1" customWidth="1"/>
    <col min="12298" max="12298" width="11.6640625" customWidth="1"/>
    <col min="12299" max="12299" width="15.5" customWidth="1"/>
    <col min="12302" max="12302" width="13.5" customWidth="1"/>
    <col min="12303" max="12303" width="10.5" customWidth="1"/>
    <col min="12304" max="12304" width="11.5" customWidth="1"/>
    <col min="12305" max="12305" width="11.33203125" customWidth="1"/>
    <col min="12546" max="12546" width="11.6640625" customWidth="1"/>
    <col min="12548" max="12548" width="19.83203125" bestFit="1" customWidth="1"/>
    <col min="12549" max="12549" width="19.83203125" customWidth="1"/>
    <col min="12550" max="12550" width="11.6640625" customWidth="1"/>
    <col min="12551" max="12551" width="12.6640625" customWidth="1"/>
    <col min="12553" max="12553" width="18.6640625" bestFit="1" customWidth="1"/>
    <col min="12554" max="12554" width="11.6640625" customWidth="1"/>
    <col min="12555" max="12555" width="15.5" customWidth="1"/>
    <col min="12558" max="12558" width="13.5" customWidth="1"/>
    <col min="12559" max="12559" width="10.5" customWidth="1"/>
    <col min="12560" max="12560" width="11.5" customWidth="1"/>
    <col min="12561" max="12561" width="11.33203125" customWidth="1"/>
    <col min="12802" max="12802" width="11.6640625" customWidth="1"/>
    <col min="12804" max="12804" width="19.83203125" bestFit="1" customWidth="1"/>
    <col min="12805" max="12805" width="19.83203125" customWidth="1"/>
    <col min="12806" max="12806" width="11.6640625" customWidth="1"/>
    <col min="12807" max="12807" width="12.6640625" customWidth="1"/>
    <col min="12809" max="12809" width="18.6640625" bestFit="1" customWidth="1"/>
    <col min="12810" max="12810" width="11.6640625" customWidth="1"/>
    <col min="12811" max="12811" width="15.5" customWidth="1"/>
    <col min="12814" max="12814" width="13.5" customWidth="1"/>
    <col min="12815" max="12815" width="10.5" customWidth="1"/>
    <col min="12816" max="12816" width="11.5" customWidth="1"/>
    <col min="12817" max="12817" width="11.33203125" customWidth="1"/>
    <col min="13058" max="13058" width="11.6640625" customWidth="1"/>
    <col min="13060" max="13060" width="19.83203125" bestFit="1" customWidth="1"/>
    <col min="13061" max="13061" width="19.83203125" customWidth="1"/>
    <col min="13062" max="13062" width="11.6640625" customWidth="1"/>
    <col min="13063" max="13063" width="12.6640625" customWidth="1"/>
    <col min="13065" max="13065" width="18.6640625" bestFit="1" customWidth="1"/>
    <col min="13066" max="13066" width="11.6640625" customWidth="1"/>
    <col min="13067" max="13067" width="15.5" customWidth="1"/>
    <col min="13070" max="13070" width="13.5" customWidth="1"/>
    <col min="13071" max="13071" width="10.5" customWidth="1"/>
    <col min="13072" max="13072" width="11.5" customWidth="1"/>
    <col min="13073" max="13073" width="11.33203125" customWidth="1"/>
    <col min="13314" max="13314" width="11.6640625" customWidth="1"/>
    <col min="13316" max="13316" width="19.83203125" bestFit="1" customWidth="1"/>
    <col min="13317" max="13317" width="19.83203125" customWidth="1"/>
    <col min="13318" max="13318" width="11.6640625" customWidth="1"/>
    <col min="13319" max="13319" width="12.6640625" customWidth="1"/>
    <col min="13321" max="13321" width="18.6640625" bestFit="1" customWidth="1"/>
    <col min="13322" max="13322" width="11.6640625" customWidth="1"/>
    <col min="13323" max="13323" width="15.5" customWidth="1"/>
    <col min="13326" max="13326" width="13.5" customWidth="1"/>
    <col min="13327" max="13327" width="10.5" customWidth="1"/>
    <col min="13328" max="13328" width="11.5" customWidth="1"/>
    <col min="13329" max="13329" width="11.33203125" customWidth="1"/>
    <col min="13570" max="13570" width="11.6640625" customWidth="1"/>
    <col min="13572" max="13572" width="19.83203125" bestFit="1" customWidth="1"/>
    <col min="13573" max="13573" width="19.83203125" customWidth="1"/>
    <col min="13574" max="13574" width="11.6640625" customWidth="1"/>
    <col min="13575" max="13575" width="12.6640625" customWidth="1"/>
    <col min="13577" max="13577" width="18.6640625" bestFit="1" customWidth="1"/>
    <col min="13578" max="13578" width="11.6640625" customWidth="1"/>
    <col min="13579" max="13579" width="15.5" customWidth="1"/>
    <col min="13582" max="13582" width="13.5" customWidth="1"/>
    <col min="13583" max="13583" width="10.5" customWidth="1"/>
    <col min="13584" max="13584" width="11.5" customWidth="1"/>
    <col min="13585" max="13585" width="11.33203125" customWidth="1"/>
    <col min="13826" max="13826" width="11.6640625" customWidth="1"/>
    <col min="13828" max="13828" width="19.83203125" bestFit="1" customWidth="1"/>
    <col min="13829" max="13829" width="19.83203125" customWidth="1"/>
    <col min="13830" max="13830" width="11.6640625" customWidth="1"/>
    <col min="13831" max="13831" width="12.6640625" customWidth="1"/>
    <col min="13833" max="13833" width="18.6640625" bestFit="1" customWidth="1"/>
    <col min="13834" max="13834" width="11.6640625" customWidth="1"/>
    <col min="13835" max="13835" width="15.5" customWidth="1"/>
    <col min="13838" max="13838" width="13.5" customWidth="1"/>
    <col min="13839" max="13839" width="10.5" customWidth="1"/>
    <col min="13840" max="13840" width="11.5" customWidth="1"/>
    <col min="13841" max="13841" width="11.33203125" customWidth="1"/>
    <col min="14082" max="14082" width="11.6640625" customWidth="1"/>
    <col min="14084" max="14084" width="19.83203125" bestFit="1" customWidth="1"/>
    <col min="14085" max="14085" width="19.83203125" customWidth="1"/>
    <col min="14086" max="14086" width="11.6640625" customWidth="1"/>
    <col min="14087" max="14087" width="12.6640625" customWidth="1"/>
    <col min="14089" max="14089" width="18.6640625" bestFit="1" customWidth="1"/>
    <col min="14090" max="14090" width="11.6640625" customWidth="1"/>
    <col min="14091" max="14091" width="15.5" customWidth="1"/>
    <col min="14094" max="14094" width="13.5" customWidth="1"/>
    <col min="14095" max="14095" width="10.5" customWidth="1"/>
    <col min="14096" max="14096" width="11.5" customWidth="1"/>
    <col min="14097" max="14097" width="11.33203125" customWidth="1"/>
    <col min="14338" max="14338" width="11.6640625" customWidth="1"/>
    <col min="14340" max="14340" width="19.83203125" bestFit="1" customWidth="1"/>
    <col min="14341" max="14341" width="19.83203125" customWidth="1"/>
    <col min="14342" max="14342" width="11.6640625" customWidth="1"/>
    <col min="14343" max="14343" width="12.6640625" customWidth="1"/>
    <col min="14345" max="14345" width="18.6640625" bestFit="1" customWidth="1"/>
    <col min="14346" max="14346" width="11.6640625" customWidth="1"/>
    <col min="14347" max="14347" width="15.5" customWidth="1"/>
    <col min="14350" max="14350" width="13.5" customWidth="1"/>
    <col min="14351" max="14351" width="10.5" customWidth="1"/>
    <col min="14352" max="14352" width="11.5" customWidth="1"/>
    <col min="14353" max="14353" width="11.33203125" customWidth="1"/>
    <col min="14594" max="14594" width="11.6640625" customWidth="1"/>
    <col min="14596" max="14596" width="19.83203125" bestFit="1" customWidth="1"/>
    <col min="14597" max="14597" width="19.83203125" customWidth="1"/>
    <col min="14598" max="14598" width="11.6640625" customWidth="1"/>
    <col min="14599" max="14599" width="12.6640625" customWidth="1"/>
    <col min="14601" max="14601" width="18.6640625" bestFit="1" customWidth="1"/>
    <col min="14602" max="14602" width="11.6640625" customWidth="1"/>
    <col min="14603" max="14603" width="15.5" customWidth="1"/>
    <col min="14606" max="14606" width="13.5" customWidth="1"/>
    <col min="14607" max="14607" width="10.5" customWidth="1"/>
    <col min="14608" max="14608" width="11.5" customWidth="1"/>
    <col min="14609" max="14609" width="11.33203125" customWidth="1"/>
    <col min="14850" max="14850" width="11.6640625" customWidth="1"/>
    <col min="14852" max="14852" width="19.83203125" bestFit="1" customWidth="1"/>
    <col min="14853" max="14853" width="19.83203125" customWidth="1"/>
    <col min="14854" max="14854" width="11.6640625" customWidth="1"/>
    <col min="14855" max="14855" width="12.6640625" customWidth="1"/>
    <col min="14857" max="14857" width="18.6640625" bestFit="1" customWidth="1"/>
    <col min="14858" max="14858" width="11.6640625" customWidth="1"/>
    <col min="14859" max="14859" width="15.5" customWidth="1"/>
    <col min="14862" max="14862" width="13.5" customWidth="1"/>
    <col min="14863" max="14863" width="10.5" customWidth="1"/>
    <col min="14864" max="14864" width="11.5" customWidth="1"/>
    <col min="14865" max="14865" width="11.33203125" customWidth="1"/>
    <col min="15106" max="15106" width="11.6640625" customWidth="1"/>
    <col min="15108" max="15108" width="19.83203125" bestFit="1" customWidth="1"/>
    <col min="15109" max="15109" width="19.83203125" customWidth="1"/>
    <col min="15110" max="15110" width="11.6640625" customWidth="1"/>
    <col min="15111" max="15111" width="12.6640625" customWidth="1"/>
    <col min="15113" max="15113" width="18.6640625" bestFit="1" customWidth="1"/>
    <col min="15114" max="15114" width="11.6640625" customWidth="1"/>
    <col min="15115" max="15115" width="15.5" customWidth="1"/>
    <col min="15118" max="15118" width="13.5" customWidth="1"/>
    <col min="15119" max="15119" width="10.5" customWidth="1"/>
    <col min="15120" max="15120" width="11.5" customWidth="1"/>
    <col min="15121" max="15121" width="11.33203125" customWidth="1"/>
    <col min="15362" max="15362" width="11.6640625" customWidth="1"/>
    <col min="15364" max="15364" width="19.83203125" bestFit="1" customWidth="1"/>
    <col min="15365" max="15365" width="19.83203125" customWidth="1"/>
    <col min="15366" max="15366" width="11.6640625" customWidth="1"/>
    <col min="15367" max="15367" width="12.6640625" customWidth="1"/>
    <col min="15369" max="15369" width="18.6640625" bestFit="1" customWidth="1"/>
    <col min="15370" max="15370" width="11.6640625" customWidth="1"/>
    <col min="15371" max="15371" width="15.5" customWidth="1"/>
    <col min="15374" max="15374" width="13.5" customWidth="1"/>
    <col min="15375" max="15375" width="10.5" customWidth="1"/>
    <col min="15376" max="15376" width="11.5" customWidth="1"/>
    <col min="15377" max="15377" width="11.33203125" customWidth="1"/>
    <col min="15618" max="15618" width="11.6640625" customWidth="1"/>
    <col min="15620" max="15620" width="19.83203125" bestFit="1" customWidth="1"/>
    <col min="15621" max="15621" width="19.83203125" customWidth="1"/>
    <col min="15622" max="15622" width="11.6640625" customWidth="1"/>
    <col min="15623" max="15623" width="12.6640625" customWidth="1"/>
    <col min="15625" max="15625" width="18.6640625" bestFit="1" customWidth="1"/>
    <col min="15626" max="15626" width="11.6640625" customWidth="1"/>
    <col min="15627" max="15627" width="15.5" customWidth="1"/>
    <col min="15630" max="15630" width="13.5" customWidth="1"/>
    <col min="15631" max="15631" width="10.5" customWidth="1"/>
    <col min="15632" max="15632" width="11.5" customWidth="1"/>
    <col min="15633" max="15633" width="11.33203125" customWidth="1"/>
    <col min="15874" max="15874" width="11.6640625" customWidth="1"/>
    <col min="15876" max="15876" width="19.83203125" bestFit="1" customWidth="1"/>
    <col min="15877" max="15877" width="19.83203125" customWidth="1"/>
    <col min="15878" max="15878" width="11.6640625" customWidth="1"/>
    <col min="15879" max="15879" width="12.6640625" customWidth="1"/>
    <col min="15881" max="15881" width="18.6640625" bestFit="1" customWidth="1"/>
    <col min="15882" max="15882" width="11.6640625" customWidth="1"/>
    <col min="15883" max="15883" width="15.5" customWidth="1"/>
    <col min="15886" max="15886" width="13.5" customWidth="1"/>
    <col min="15887" max="15887" width="10.5" customWidth="1"/>
    <col min="15888" max="15888" width="11.5" customWidth="1"/>
    <col min="15889" max="15889" width="11.33203125" customWidth="1"/>
    <col min="16130" max="16130" width="11.6640625" customWidth="1"/>
    <col min="16132" max="16132" width="19.83203125" bestFit="1" customWidth="1"/>
    <col min="16133" max="16133" width="19.83203125" customWidth="1"/>
    <col min="16134" max="16134" width="11.6640625" customWidth="1"/>
    <col min="16135" max="16135" width="12.6640625" customWidth="1"/>
    <col min="16137" max="16137" width="18.6640625" bestFit="1" customWidth="1"/>
    <col min="16138" max="16138" width="11.6640625" customWidth="1"/>
    <col min="16139" max="16139" width="15.5" customWidth="1"/>
    <col min="16142" max="16142" width="13.5" customWidth="1"/>
    <col min="16143" max="16143" width="10.5" customWidth="1"/>
    <col min="16144" max="16144" width="11.5" customWidth="1"/>
    <col min="16145" max="16145" width="11.33203125" customWidth="1"/>
  </cols>
  <sheetData>
    <row r="1" spans="1:15">
      <c r="A1" s="1" t="s">
        <v>173</v>
      </c>
    </row>
    <row r="2" spans="1:15" ht="16">
      <c r="A2" s="81"/>
      <c r="B2" s="8"/>
      <c r="C2" s="8"/>
      <c r="D2" s="28"/>
      <c r="E2" s="28"/>
      <c r="F2" s="28"/>
      <c r="I2" s="10"/>
    </row>
    <row r="3" spans="1:15">
      <c r="A3" s="8"/>
      <c r="B3" s="8"/>
      <c r="C3" s="83"/>
      <c r="D3" s="28"/>
      <c r="E3" s="516" t="s">
        <v>11</v>
      </c>
      <c r="F3" s="516" t="s">
        <v>12</v>
      </c>
      <c r="I3" s="694"/>
      <c r="J3" s="694"/>
      <c r="K3" s="694"/>
      <c r="L3" s="694"/>
      <c r="M3" s="91"/>
    </row>
    <row r="4" spans="1:15" ht="16">
      <c r="B4" s="112" t="s">
        <v>22</v>
      </c>
      <c r="C4" s="77" t="s">
        <v>1</v>
      </c>
      <c r="D4" s="77" t="s">
        <v>88</v>
      </c>
      <c r="E4" s="7" t="s">
        <v>185</v>
      </c>
      <c r="F4" s="7" t="s">
        <v>37</v>
      </c>
      <c r="G4" s="30"/>
      <c r="I4" s="695"/>
      <c r="J4" s="695"/>
      <c r="K4" s="695"/>
      <c r="L4" s="89"/>
      <c r="M4" s="91"/>
    </row>
    <row r="5" spans="1:15">
      <c r="A5" s="24"/>
      <c r="B5" s="110">
        <v>1</v>
      </c>
      <c r="C5" s="9">
        <v>569</v>
      </c>
      <c r="D5" s="9">
        <v>2958</v>
      </c>
      <c r="E5" s="113">
        <f t="shared" ref="E5:E16" si="0">$B$24*(C5)+$B$23</f>
        <v>2968.35681725206</v>
      </c>
      <c r="F5" s="113">
        <f t="shared" ref="F5:F16" si="1">ABS(E5-D5)</f>
        <v>10.356817252059955</v>
      </c>
      <c r="I5" s="695"/>
      <c r="J5" s="695"/>
      <c r="K5" s="695"/>
      <c r="L5" s="89"/>
      <c r="M5" s="91"/>
      <c r="N5" s="8"/>
      <c r="O5" s="8"/>
    </row>
    <row r="6" spans="1:15">
      <c r="B6" s="110">
        <v>2</v>
      </c>
      <c r="C6" s="9">
        <v>542</v>
      </c>
      <c r="D6" s="9">
        <v>2926</v>
      </c>
      <c r="E6" s="113">
        <f t="shared" si="0"/>
        <v>2833.4341359359478</v>
      </c>
      <c r="F6" s="113">
        <f t="shared" si="1"/>
        <v>92.565864064052221</v>
      </c>
      <c r="I6" s="91"/>
      <c r="J6" s="91"/>
      <c r="K6" s="91"/>
      <c r="L6" s="91"/>
      <c r="M6" s="91"/>
      <c r="N6" s="8"/>
      <c r="O6" s="8"/>
    </row>
    <row r="7" spans="1:15">
      <c r="B7" s="110">
        <v>3</v>
      </c>
      <c r="C7" s="9">
        <v>490</v>
      </c>
      <c r="D7" s="9">
        <v>2572</v>
      </c>
      <c r="E7" s="113">
        <f t="shared" si="0"/>
        <v>2573.5830459938052</v>
      </c>
      <c r="F7" s="113">
        <f t="shared" si="1"/>
        <v>1.5830459938051717</v>
      </c>
      <c r="I7" s="92"/>
      <c r="J7" s="93"/>
      <c r="K7" s="94"/>
      <c r="L7" s="90"/>
      <c r="M7" s="91"/>
      <c r="N7" s="8"/>
      <c r="O7" s="8"/>
    </row>
    <row r="8" spans="1:15">
      <c r="B8" s="110">
        <v>4</v>
      </c>
      <c r="C8" s="9">
        <v>590</v>
      </c>
      <c r="D8" s="9">
        <v>3056</v>
      </c>
      <c r="E8" s="113">
        <f t="shared" si="0"/>
        <v>3073.2966804979255</v>
      </c>
      <c r="F8" s="113">
        <f t="shared" si="1"/>
        <v>17.296680497925536</v>
      </c>
      <c r="I8" s="92"/>
      <c r="J8" s="89"/>
      <c r="K8" s="94"/>
      <c r="L8" s="90"/>
      <c r="M8" s="91"/>
      <c r="N8" s="8"/>
      <c r="O8" s="8"/>
    </row>
    <row r="9" spans="1:15">
      <c r="B9" s="110">
        <v>5</v>
      </c>
      <c r="C9" s="9">
        <v>525</v>
      </c>
      <c r="D9" s="9">
        <v>2693</v>
      </c>
      <c r="E9" s="113">
        <f t="shared" si="0"/>
        <v>2748.482818070247</v>
      </c>
      <c r="F9" s="113">
        <f t="shared" si="1"/>
        <v>55.482818070247049</v>
      </c>
      <c r="I9" s="92"/>
      <c r="J9" s="89"/>
      <c r="K9" s="94"/>
      <c r="L9" s="90"/>
      <c r="M9" s="91"/>
      <c r="N9" s="8"/>
      <c r="O9" s="8"/>
    </row>
    <row r="10" spans="1:15">
      <c r="B10" s="110">
        <v>6</v>
      </c>
      <c r="C10" s="9">
        <v>433</v>
      </c>
      <c r="D10" s="9">
        <v>2294</v>
      </c>
      <c r="E10" s="113">
        <f t="shared" si="0"/>
        <v>2288.7462743264568</v>
      </c>
      <c r="F10" s="113">
        <f t="shared" si="1"/>
        <v>5.2537256735431583</v>
      </c>
      <c r="I10" s="696"/>
      <c r="J10" s="696"/>
      <c r="K10" s="696"/>
      <c r="L10" s="95"/>
      <c r="M10" s="91"/>
      <c r="N10" s="8"/>
      <c r="O10" s="8"/>
    </row>
    <row r="11" spans="1:15">
      <c r="B11" s="110">
        <v>7</v>
      </c>
      <c r="C11" s="9">
        <v>465</v>
      </c>
      <c r="D11" s="9">
        <v>2455</v>
      </c>
      <c r="E11" s="113">
        <f t="shared" si="0"/>
        <v>2448.6546373677752</v>
      </c>
      <c r="F11" s="113">
        <f t="shared" si="1"/>
        <v>6.3453626322248056</v>
      </c>
      <c r="I11" s="696"/>
      <c r="J11" s="696"/>
      <c r="K11" s="696"/>
      <c r="L11" s="96"/>
      <c r="M11" s="91"/>
      <c r="N11" s="8"/>
      <c r="O11" s="8"/>
    </row>
    <row r="12" spans="1:15">
      <c r="B12" s="110">
        <v>8</v>
      </c>
      <c r="C12" s="9">
        <v>486</v>
      </c>
      <c r="D12" s="9">
        <v>2561</v>
      </c>
      <c r="E12" s="113">
        <f t="shared" si="0"/>
        <v>2553.5945006136403</v>
      </c>
      <c r="F12" s="113">
        <f t="shared" si="1"/>
        <v>7.4054993863596792</v>
      </c>
      <c r="I12" s="91"/>
      <c r="J12" s="91"/>
      <c r="K12" s="91"/>
      <c r="L12" s="91"/>
      <c r="M12" s="91"/>
      <c r="N12" s="8"/>
      <c r="O12" s="8"/>
    </row>
    <row r="13" spans="1:15">
      <c r="B13" s="110">
        <v>9</v>
      </c>
      <c r="C13" s="9">
        <v>584</v>
      </c>
      <c r="D13" s="9">
        <v>3030</v>
      </c>
      <c r="E13" s="113">
        <f t="shared" si="0"/>
        <v>3043.313862427678</v>
      </c>
      <c r="F13" s="113">
        <f t="shared" si="1"/>
        <v>13.313862427678032</v>
      </c>
      <c r="I13" s="97"/>
      <c r="J13" s="97"/>
      <c r="K13" s="97"/>
      <c r="L13" s="97"/>
      <c r="M13" s="98"/>
      <c r="N13" s="8"/>
      <c r="O13" s="8"/>
    </row>
    <row r="14" spans="1:15">
      <c r="B14" s="110">
        <v>10</v>
      </c>
      <c r="C14" s="9">
        <v>570</v>
      </c>
      <c r="D14" s="9">
        <v>3003</v>
      </c>
      <c r="E14" s="113">
        <f t="shared" si="0"/>
        <v>2973.3539535971013</v>
      </c>
      <c r="F14" s="113">
        <f t="shared" si="1"/>
        <v>29.646046402898719</v>
      </c>
      <c r="I14" s="97"/>
      <c r="J14" s="99"/>
      <c r="K14" s="100"/>
      <c r="L14" s="100"/>
      <c r="M14" s="101"/>
      <c r="N14" s="8"/>
      <c r="O14" s="8"/>
    </row>
    <row r="15" spans="1:15">
      <c r="B15" s="110">
        <v>11</v>
      </c>
      <c r="C15" s="9">
        <v>537</v>
      </c>
      <c r="D15" s="9">
        <v>2776</v>
      </c>
      <c r="E15" s="113">
        <f t="shared" si="0"/>
        <v>2808.4484542107416</v>
      </c>
      <c r="F15" s="113">
        <f t="shared" si="1"/>
        <v>32.448454210741602</v>
      </c>
      <c r="I15" s="97"/>
      <c r="J15" s="99"/>
      <c r="K15" s="100"/>
      <c r="L15" s="100"/>
      <c r="M15" s="101"/>
      <c r="N15" s="8"/>
      <c r="O15" s="8"/>
    </row>
    <row r="16" spans="1:15">
      <c r="B16" s="110">
        <v>12</v>
      </c>
      <c r="C16" s="9">
        <v>437</v>
      </c>
      <c r="D16" s="9">
        <v>2298</v>
      </c>
      <c r="E16" s="113">
        <f t="shared" si="0"/>
        <v>2308.7348197066217</v>
      </c>
      <c r="F16" s="113">
        <f t="shared" si="1"/>
        <v>10.734819706621693</v>
      </c>
      <c r="I16" s="97"/>
      <c r="J16" s="99"/>
      <c r="K16" s="100"/>
      <c r="L16" s="100"/>
      <c r="M16" s="101"/>
      <c r="N16" s="8"/>
      <c r="O16" s="8"/>
    </row>
    <row r="17" spans="1:15">
      <c r="B17" s="110"/>
      <c r="C17" s="9"/>
      <c r="D17" s="111"/>
      <c r="E17" s="113"/>
      <c r="F17" s="113"/>
      <c r="I17" s="97"/>
      <c r="J17" s="99"/>
      <c r="K17" s="100"/>
      <c r="L17" s="100"/>
      <c r="M17" s="101"/>
      <c r="N17" s="8"/>
      <c r="O17" s="8"/>
    </row>
    <row r="18" spans="1:15" ht="16">
      <c r="B18" s="541" t="s">
        <v>11</v>
      </c>
      <c r="C18" s="697" t="s">
        <v>87</v>
      </c>
      <c r="D18" s="698"/>
      <c r="E18" s="113"/>
      <c r="F18" s="113"/>
      <c r="I18" s="97"/>
      <c r="J18" s="99"/>
      <c r="K18" s="100"/>
      <c r="L18" s="100"/>
      <c r="M18" s="101"/>
      <c r="N18" s="8"/>
      <c r="O18" s="8"/>
    </row>
    <row r="19" spans="1:15">
      <c r="B19" s="540"/>
      <c r="C19" s="544"/>
      <c r="D19" s="545"/>
      <c r="E19" s="542"/>
      <c r="F19" s="113"/>
      <c r="I19" s="97"/>
      <c r="J19" s="99"/>
      <c r="K19" s="100"/>
      <c r="L19" s="100"/>
      <c r="M19" s="101"/>
      <c r="N19" s="8"/>
      <c r="O19" s="8"/>
    </row>
    <row r="20" spans="1:15" ht="16">
      <c r="B20" s="541" t="s">
        <v>12</v>
      </c>
      <c r="C20" s="522">
        <v>450</v>
      </c>
      <c r="D20" s="546"/>
      <c r="E20" s="543">
        <f>$B$24*(C20)+$B$23</f>
        <v>2373.6975921921571</v>
      </c>
      <c r="F20" s="113"/>
      <c r="I20" s="97"/>
      <c r="J20" s="99"/>
      <c r="K20" s="100"/>
      <c r="L20" s="100"/>
      <c r="M20" s="101"/>
      <c r="N20" s="8"/>
      <c r="O20" s="8"/>
    </row>
    <row r="21" spans="1:15">
      <c r="B21" s="110"/>
      <c r="C21" s="522">
        <v>500</v>
      </c>
      <c r="D21" s="546"/>
      <c r="E21" s="543">
        <f>$B$24*(C21)+$B$23</f>
        <v>2623.5544094442171</v>
      </c>
      <c r="F21" s="113"/>
      <c r="I21" s="97"/>
      <c r="J21" s="99"/>
      <c r="K21" s="100"/>
      <c r="L21" s="100"/>
      <c r="M21" s="101"/>
      <c r="N21" s="8"/>
      <c r="O21" s="8"/>
    </row>
    <row r="22" spans="1:15">
      <c r="B22" t="s">
        <v>56</v>
      </c>
      <c r="C22" s="84"/>
      <c r="E22" s="106"/>
      <c r="F22" s="107"/>
      <c r="I22" s="97"/>
      <c r="J22" s="99"/>
      <c r="K22" s="100"/>
      <c r="L22" s="100"/>
      <c r="M22" s="101"/>
      <c r="N22" s="8"/>
      <c r="O22" s="8"/>
    </row>
    <row r="23" spans="1:15">
      <c r="A23" t="s">
        <v>63</v>
      </c>
      <c r="B23" s="537">
        <f>B44</f>
        <v>124.98623692361662</v>
      </c>
      <c r="C23" s="84"/>
      <c r="E23" s="106"/>
      <c r="F23" s="107"/>
      <c r="G23" s="8"/>
      <c r="I23" s="97"/>
      <c r="J23" s="102"/>
      <c r="K23" s="100"/>
      <c r="L23" s="100"/>
      <c r="M23" s="101"/>
    </row>
    <row r="24" spans="1:15">
      <c r="B24" s="537">
        <f>B45</f>
        <v>4.9971363450412012</v>
      </c>
      <c r="C24" s="84"/>
      <c r="E24" s="106"/>
      <c r="F24" s="28"/>
      <c r="G24" s="8"/>
      <c r="I24" s="97"/>
      <c r="J24" s="99"/>
      <c r="K24" s="100"/>
      <c r="L24" s="100"/>
      <c r="M24" s="101"/>
    </row>
    <row r="25" spans="1:15">
      <c r="D25"/>
      <c r="E25"/>
      <c r="F25"/>
      <c r="I25" s="97"/>
      <c r="J25" s="99"/>
      <c r="K25" s="100"/>
      <c r="L25" s="100"/>
      <c r="M25" s="101"/>
    </row>
    <row r="26" spans="1:15">
      <c r="D26"/>
      <c r="E26"/>
      <c r="F26"/>
      <c r="I26"/>
    </row>
    <row r="27" spans="1:15">
      <c r="D27"/>
      <c r="E27"/>
      <c r="F27"/>
      <c r="I27"/>
    </row>
    <row r="28" spans="1:15">
      <c r="A28" t="s">
        <v>40</v>
      </c>
      <c r="D28"/>
      <c r="E28"/>
      <c r="F28"/>
      <c r="I28"/>
    </row>
    <row r="29" spans="1:15" ht="16" thickBot="1">
      <c r="D29"/>
      <c r="E29"/>
      <c r="F29"/>
      <c r="I29"/>
    </row>
    <row r="30" spans="1:15">
      <c r="A30" s="105" t="s">
        <v>41</v>
      </c>
      <c r="B30" s="105"/>
      <c r="D30"/>
      <c r="E30"/>
      <c r="F30"/>
      <c r="I30"/>
    </row>
    <row r="31" spans="1:15">
      <c r="A31" s="87" t="s">
        <v>42</v>
      </c>
      <c r="B31" s="87">
        <v>0.9916781659028262</v>
      </c>
      <c r="D31"/>
      <c r="E31"/>
      <c r="F31"/>
      <c r="I31"/>
    </row>
    <row r="32" spans="1:15">
      <c r="A32" s="87" t="s">
        <v>43</v>
      </c>
      <c r="B32" s="87">
        <v>0.98342558472839325</v>
      </c>
      <c r="D32"/>
      <c r="E32"/>
      <c r="F32"/>
      <c r="I32"/>
    </row>
    <row r="33" spans="1:9">
      <c r="A33" s="87" t="s">
        <v>44</v>
      </c>
      <c r="B33" s="87">
        <v>0.98176814320123251</v>
      </c>
      <c r="D33"/>
      <c r="E33"/>
      <c r="F33"/>
      <c r="I33"/>
    </row>
    <row r="34" spans="1:9">
      <c r="A34" s="87" t="s">
        <v>45</v>
      </c>
      <c r="B34" s="87">
        <v>37.950914826673142</v>
      </c>
      <c r="D34"/>
      <c r="E34"/>
      <c r="F34"/>
      <c r="I34"/>
    </row>
    <row r="35" spans="1:9" ht="16" thickBot="1">
      <c r="A35" s="88" t="s">
        <v>46</v>
      </c>
      <c r="B35" s="88">
        <v>12</v>
      </c>
      <c r="D35"/>
      <c r="E35"/>
      <c r="F35"/>
      <c r="I35"/>
    </row>
    <row r="36" spans="1:9">
      <c r="D36"/>
      <c r="E36"/>
      <c r="F36"/>
      <c r="I36"/>
    </row>
    <row r="37" spans="1:9" ht="16" thickBot="1">
      <c r="A37" t="s">
        <v>47</v>
      </c>
      <c r="D37"/>
      <c r="E37"/>
      <c r="F37"/>
      <c r="I37"/>
    </row>
    <row r="38" spans="1:9">
      <c r="A38" s="104"/>
      <c r="B38" s="104" t="s">
        <v>48</v>
      </c>
      <c r="C38" s="104" t="s">
        <v>49</v>
      </c>
      <c r="D38" s="104" t="s">
        <v>50</v>
      </c>
      <c r="E38" s="104" t="s">
        <v>51</v>
      </c>
      <c r="F38" s="104" t="s">
        <v>52</v>
      </c>
      <c r="I38"/>
    </row>
    <row r="39" spans="1:9">
      <c r="A39" s="87" t="s">
        <v>53</v>
      </c>
      <c r="B39" s="87">
        <v>1</v>
      </c>
      <c r="C39" s="87">
        <v>854570.28063818603</v>
      </c>
      <c r="D39" s="87">
        <v>854570.28063818603</v>
      </c>
      <c r="E39" s="87">
        <v>593.33953482695279</v>
      </c>
      <c r="F39" s="87">
        <v>3.099650444652033E-10</v>
      </c>
      <c r="I39"/>
    </row>
    <row r="40" spans="1:9">
      <c r="A40" s="87" t="s">
        <v>54</v>
      </c>
      <c r="B40" s="87">
        <v>10</v>
      </c>
      <c r="C40" s="87">
        <v>14402.719361813994</v>
      </c>
      <c r="D40" s="87">
        <v>1440.2719361813993</v>
      </c>
      <c r="E40" s="87"/>
      <c r="F40" s="87"/>
      <c r="I40"/>
    </row>
    <row r="41" spans="1:9" ht="16" thickBot="1">
      <c r="A41" s="88" t="s">
        <v>55</v>
      </c>
      <c r="B41" s="88">
        <v>11</v>
      </c>
      <c r="C41" s="88">
        <v>868973</v>
      </c>
      <c r="D41" s="88"/>
      <c r="E41" s="88"/>
      <c r="F41" s="88"/>
      <c r="I41"/>
    </row>
    <row r="42" spans="1:9" ht="16" thickBot="1">
      <c r="D42"/>
      <c r="E42"/>
      <c r="F42"/>
      <c r="I42"/>
    </row>
    <row r="43" spans="1:9">
      <c r="A43" s="104"/>
      <c r="B43" s="104" t="s">
        <v>56</v>
      </c>
      <c r="C43" s="104" t="s">
        <v>45</v>
      </c>
      <c r="D43" s="104" t="s">
        <v>57</v>
      </c>
      <c r="E43" s="104" t="s">
        <v>58</v>
      </c>
      <c r="F43" s="104" t="s">
        <v>59</v>
      </c>
      <c r="G43" s="104" t="s">
        <v>60</v>
      </c>
      <c r="H43" s="104" t="s">
        <v>61</v>
      </c>
      <c r="I43" s="104" t="s">
        <v>62</v>
      </c>
    </row>
    <row r="44" spans="1:9">
      <c r="A44" s="87" t="s">
        <v>63</v>
      </c>
      <c r="B44" s="87">
        <v>124.98623692361662</v>
      </c>
      <c r="C44" s="87">
        <v>107.03451703001703</v>
      </c>
      <c r="D44" s="87">
        <v>1.1677189788090991</v>
      </c>
      <c r="E44" s="87">
        <v>0.27000762865342198</v>
      </c>
      <c r="F44" s="87">
        <v>-113.50152897455087</v>
      </c>
      <c r="G44" s="87">
        <v>363.4740028217841</v>
      </c>
      <c r="H44" s="87">
        <v>-113.50152897455087</v>
      </c>
      <c r="I44" s="87">
        <v>363.4740028217841</v>
      </c>
    </row>
    <row r="45" spans="1:9" ht="16" thickBot="1">
      <c r="A45" s="88" t="s">
        <v>64</v>
      </c>
      <c r="B45" s="88">
        <v>4.9971363450412012</v>
      </c>
      <c r="C45" s="88">
        <v>0.20514907153500439</v>
      </c>
      <c r="D45" s="88">
        <v>24.358561838231594</v>
      </c>
      <c r="E45" s="88">
        <v>3.099650444652033E-10</v>
      </c>
      <c r="F45" s="88">
        <v>4.5400357283051465</v>
      </c>
      <c r="G45" s="88">
        <v>5.4542369617772559</v>
      </c>
      <c r="H45" s="88">
        <v>4.5400357283051465</v>
      </c>
      <c r="I45" s="88">
        <v>5.4542369617772559</v>
      </c>
    </row>
    <row r="46" spans="1:9">
      <c r="D46"/>
      <c r="E46"/>
      <c r="F46"/>
      <c r="I46"/>
    </row>
    <row r="47" spans="1:9">
      <c r="D47"/>
      <c r="E47"/>
      <c r="F47"/>
      <c r="I47"/>
    </row>
    <row r="48" spans="1:9">
      <c r="D48"/>
      <c r="E48"/>
      <c r="F48"/>
      <c r="I48"/>
    </row>
  </sheetData>
  <mergeCells count="6">
    <mergeCell ref="C18:D18"/>
    <mergeCell ref="I3:L3"/>
    <mergeCell ref="I4:K4"/>
    <mergeCell ref="I5:K5"/>
    <mergeCell ref="I10:K10"/>
    <mergeCell ref="I11:K1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40"/>
  <sheetViews>
    <sheetView topLeftCell="A9" workbookViewId="0">
      <selection activeCell="N20" sqref="N20"/>
    </sheetView>
  </sheetViews>
  <sheetFormatPr baseColWidth="10" defaultColWidth="8.83203125" defaultRowHeight="15"/>
  <cols>
    <col min="1" max="1" width="17.5" customWidth="1"/>
    <col min="3" max="3" width="12.33203125" customWidth="1"/>
    <col min="4" max="4" width="12.6640625" customWidth="1"/>
    <col min="8" max="8" width="11.5" customWidth="1"/>
    <col min="257" max="257" width="17.5" customWidth="1"/>
    <col min="259" max="259" width="12.33203125" customWidth="1"/>
    <col min="260" max="260" width="12.6640625" customWidth="1"/>
    <col min="264" max="264" width="11.5" customWidth="1"/>
    <col min="513" max="513" width="17.5" customWidth="1"/>
    <col min="515" max="515" width="12.33203125" customWidth="1"/>
    <col min="516" max="516" width="12.6640625" customWidth="1"/>
    <col min="520" max="520" width="11.5" customWidth="1"/>
    <col min="769" max="769" width="17.5" customWidth="1"/>
    <col min="771" max="771" width="12.33203125" customWidth="1"/>
    <col min="772" max="772" width="12.6640625" customWidth="1"/>
    <col min="776" max="776" width="11.5" customWidth="1"/>
    <col min="1025" max="1025" width="17.5" customWidth="1"/>
    <col min="1027" max="1027" width="12.33203125" customWidth="1"/>
    <col min="1028" max="1028" width="12.6640625" customWidth="1"/>
    <col min="1032" max="1032" width="11.5" customWidth="1"/>
    <col min="1281" max="1281" width="17.5" customWidth="1"/>
    <col min="1283" max="1283" width="12.33203125" customWidth="1"/>
    <col min="1284" max="1284" width="12.6640625" customWidth="1"/>
    <col min="1288" max="1288" width="11.5" customWidth="1"/>
    <col min="1537" max="1537" width="17.5" customWidth="1"/>
    <col min="1539" max="1539" width="12.33203125" customWidth="1"/>
    <col min="1540" max="1540" width="12.6640625" customWidth="1"/>
    <col min="1544" max="1544" width="11.5" customWidth="1"/>
    <col min="1793" max="1793" width="17.5" customWidth="1"/>
    <col min="1795" max="1795" width="12.33203125" customWidth="1"/>
    <col min="1796" max="1796" width="12.6640625" customWidth="1"/>
    <col min="1800" max="1800" width="11.5" customWidth="1"/>
    <col min="2049" max="2049" width="17.5" customWidth="1"/>
    <col min="2051" max="2051" width="12.33203125" customWidth="1"/>
    <col min="2052" max="2052" width="12.6640625" customWidth="1"/>
    <col min="2056" max="2056" width="11.5" customWidth="1"/>
    <col min="2305" max="2305" width="17.5" customWidth="1"/>
    <col min="2307" max="2307" width="12.33203125" customWidth="1"/>
    <col min="2308" max="2308" width="12.6640625" customWidth="1"/>
    <col min="2312" max="2312" width="11.5" customWidth="1"/>
    <col min="2561" max="2561" width="17.5" customWidth="1"/>
    <col min="2563" max="2563" width="12.33203125" customWidth="1"/>
    <col min="2564" max="2564" width="12.6640625" customWidth="1"/>
    <col min="2568" max="2568" width="11.5" customWidth="1"/>
    <col min="2817" max="2817" width="17.5" customWidth="1"/>
    <col min="2819" max="2819" width="12.33203125" customWidth="1"/>
    <col min="2820" max="2820" width="12.6640625" customWidth="1"/>
    <col min="2824" max="2824" width="11.5" customWidth="1"/>
    <col min="3073" max="3073" width="17.5" customWidth="1"/>
    <col min="3075" max="3075" width="12.33203125" customWidth="1"/>
    <col min="3076" max="3076" width="12.6640625" customWidth="1"/>
    <col min="3080" max="3080" width="11.5" customWidth="1"/>
    <col min="3329" max="3329" width="17.5" customWidth="1"/>
    <col min="3331" max="3331" width="12.33203125" customWidth="1"/>
    <col min="3332" max="3332" width="12.6640625" customWidth="1"/>
    <col min="3336" max="3336" width="11.5" customWidth="1"/>
    <col min="3585" max="3585" width="17.5" customWidth="1"/>
    <col min="3587" max="3587" width="12.33203125" customWidth="1"/>
    <col min="3588" max="3588" width="12.6640625" customWidth="1"/>
    <col min="3592" max="3592" width="11.5" customWidth="1"/>
    <col min="3841" max="3841" width="17.5" customWidth="1"/>
    <col min="3843" max="3843" width="12.33203125" customWidth="1"/>
    <col min="3844" max="3844" width="12.6640625" customWidth="1"/>
    <col min="3848" max="3848" width="11.5" customWidth="1"/>
    <col min="4097" max="4097" width="17.5" customWidth="1"/>
    <col min="4099" max="4099" width="12.33203125" customWidth="1"/>
    <col min="4100" max="4100" width="12.6640625" customWidth="1"/>
    <col min="4104" max="4104" width="11.5" customWidth="1"/>
    <col min="4353" max="4353" width="17.5" customWidth="1"/>
    <col min="4355" max="4355" width="12.33203125" customWidth="1"/>
    <col min="4356" max="4356" width="12.6640625" customWidth="1"/>
    <col min="4360" max="4360" width="11.5" customWidth="1"/>
    <col min="4609" max="4609" width="17.5" customWidth="1"/>
    <col min="4611" max="4611" width="12.33203125" customWidth="1"/>
    <col min="4612" max="4612" width="12.6640625" customWidth="1"/>
    <col min="4616" max="4616" width="11.5" customWidth="1"/>
    <col min="4865" max="4865" width="17.5" customWidth="1"/>
    <col min="4867" max="4867" width="12.33203125" customWidth="1"/>
    <col min="4868" max="4868" width="12.6640625" customWidth="1"/>
    <col min="4872" max="4872" width="11.5" customWidth="1"/>
    <col min="5121" max="5121" width="17.5" customWidth="1"/>
    <col min="5123" max="5123" width="12.33203125" customWidth="1"/>
    <col min="5124" max="5124" width="12.6640625" customWidth="1"/>
    <col min="5128" max="5128" width="11.5" customWidth="1"/>
    <col min="5377" max="5377" width="17.5" customWidth="1"/>
    <col min="5379" max="5379" width="12.33203125" customWidth="1"/>
    <col min="5380" max="5380" width="12.6640625" customWidth="1"/>
    <col min="5384" max="5384" width="11.5" customWidth="1"/>
    <col min="5633" max="5633" width="17.5" customWidth="1"/>
    <col min="5635" max="5635" width="12.33203125" customWidth="1"/>
    <col min="5636" max="5636" width="12.6640625" customWidth="1"/>
    <col min="5640" max="5640" width="11.5" customWidth="1"/>
    <col min="5889" max="5889" width="17.5" customWidth="1"/>
    <col min="5891" max="5891" width="12.33203125" customWidth="1"/>
    <col min="5892" max="5892" width="12.6640625" customWidth="1"/>
    <col min="5896" max="5896" width="11.5" customWidth="1"/>
    <col min="6145" max="6145" width="17.5" customWidth="1"/>
    <col min="6147" max="6147" width="12.33203125" customWidth="1"/>
    <col min="6148" max="6148" width="12.6640625" customWidth="1"/>
    <col min="6152" max="6152" width="11.5" customWidth="1"/>
    <col min="6401" max="6401" width="17.5" customWidth="1"/>
    <col min="6403" max="6403" width="12.33203125" customWidth="1"/>
    <col min="6404" max="6404" width="12.6640625" customWidth="1"/>
    <col min="6408" max="6408" width="11.5" customWidth="1"/>
    <col min="6657" max="6657" width="17.5" customWidth="1"/>
    <col min="6659" max="6659" width="12.33203125" customWidth="1"/>
    <col min="6660" max="6660" width="12.6640625" customWidth="1"/>
    <col min="6664" max="6664" width="11.5" customWidth="1"/>
    <col min="6913" max="6913" width="17.5" customWidth="1"/>
    <col min="6915" max="6915" width="12.33203125" customWidth="1"/>
    <col min="6916" max="6916" width="12.6640625" customWidth="1"/>
    <col min="6920" max="6920" width="11.5" customWidth="1"/>
    <col min="7169" max="7169" width="17.5" customWidth="1"/>
    <col min="7171" max="7171" width="12.33203125" customWidth="1"/>
    <col min="7172" max="7172" width="12.6640625" customWidth="1"/>
    <col min="7176" max="7176" width="11.5" customWidth="1"/>
    <col min="7425" max="7425" width="17.5" customWidth="1"/>
    <col min="7427" max="7427" width="12.33203125" customWidth="1"/>
    <col min="7428" max="7428" width="12.6640625" customWidth="1"/>
    <col min="7432" max="7432" width="11.5" customWidth="1"/>
    <col min="7681" max="7681" width="17.5" customWidth="1"/>
    <col min="7683" max="7683" width="12.33203125" customWidth="1"/>
    <col min="7684" max="7684" width="12.6640625" customWidth="1"/>
    <col min="7688" max="7688" width="11.5" customWidth="1"/>
    <col min="7937" max="7937" width="17.5" customWidth="1"/>
    <col min="7939" max="7939" width="12.33203125" customWidth="1"/>
    <col min="7940" max="7940" width="12.6640625" customWidth="1"/>
    <col min="7944" max="7944" width="11.5" customWidth="1"/>
    <col min="8193" max="8193" width="17.5" customWidth="1"/>
    <col min="8195" max="8195" width="12.33203125" customWidth="1"/>
    <col min="8196" max="8196" width="12.6640625" customWidth="1"/>
    <col min="8200" max="8200" width="11.5" customWidth="1"/>
    <col min="8449" max="8449" width="17.5" customWidth="1"/>
    <col min="8451" max="8451" width="12.33203125" customWidth="1"/>
    <col min="8452" max="8452" width="12.6640625" customWidth="1"/>
    <col min="8456" max="8456" width="11.5" customWidth="1"/>
    <col min="8705" max="8705" width="17.5" customWidth="1"/>
    <col min="8707" max="8707" width="12.33203125" customWidth="1"/>
    <col min="8708" max="8708" width="12.6640625" customWidth="1"/>
    <col min="8712" max="8712" width="11.5" customWidth="1"/>
    <col min="8961" max="8961" width="17.5" customWidth="1"/>
    <col min="8963" max="8963" width="12.33203125" customWidth="1"/>
    <col min="8964" max="8964" width="12.6640625" customWidth="1"/>
    <col min="8968" max="8968" width="11.5" customWidth="1"/>
    <col min="9217" max="9217" width="17.5" customWidth="1"/>
    <col min="9219" max="9219" width="12.33203125" customWidth="1"/>
    <col min="9220" max="9220" width="12.6640625" customWidth="1"/>
    <col min="9224" max="9224" width="11.5" customWidth="1"/>
    <col min="9473" max="9473" width="17.5" customWidth="1"/>
    <col min="9475" max="9475" width="12.33203125" customWidth="1"/>
    <col min="9476" max="9476" width="12.6640625" customWidth="1"/>
    <col min="9480" max="9480" width="11.5" customWidth="1"/>
    <col min="9729" max="9729" width="17.5" customWidth="1"/>
    <col min="9731" max="9731" width="12.33203125" customWidth="1"/>
    <col min="9732" max="9732" width="12.6640625" customWidth="1"/>
    <col min="9736" max="9736" width="11.5" customWidth="1"/>
    <col min="9985" max="9985" width="17.5" customWidth="1"/>
    <col min="9987" max="9987" width="12.33203125" customWidth="1"/>
    <col min="9988" max="9988" width="12.6640625" customWidth="1"/>
    <col min="9992" max="9992" width="11.5" customWidth="1"/>
    <col min="10241" max="10241" width="17.5" customWidth="1"/>
    <col min="10243" max="10243" width="12.33203125" customWidth="1"/>
    <col min="10244" max="10244" width="12.6640625" customWidth="1"/>
    <col min="10248" max="10248" width="11.5" customWidth="1"/>
    <col min="10497" max="10497" width="17.5" customWidth="1"/>
    <col min="10499" max="10499" width="12.33203125" customWidth="1"/>
    <col min="10500" max="10500" width="12.6640625" customWidth="1"/>
    <col min="10504" max="10504" width="11.5" customWidth="1"/>
    <col min="10753" max="10753" width="17.5" customWidth="1"/>
    <col min="10755" max="10755" width="12.33203125" customWidth="1"/>
    <col min="10756" max="10756" width="12.6640625" customWidth="1"/>
    <col min="10760" max="10760" width="11.5" customWidth="1"/>
    <col min="11009" max="11009" width="17.5" customWidth="1"/>
    <col min="11011" max="11011" width="12.33203125" customWidth="1"/>
    <col min="11012" max="11012" width="12.6640625" customWidth="1"/>
    <col min="11016" max="11016" width="11.5" customWidth="1"/>
    <col min="11265" max="11265" width="17.5" customWidth="1"/>
    <col min="11267" max="11267" width="12.33203125" customWidth="1"/>
    <col min="11268" max="11268" width="12.6640625" customWidth="1"/>
    <col min="11272" max="11272" width="11.5" customWidth="1"/>
    <col min="11521" max="11521" width="17.5" customWidth="1"/>
    <col min="11523" max="11523" width="12.33203125" customWidth="1"/>
    <col min="11524" max="11524" width="12.6640625" customWidth="1"/>
    <col min="11528" max="11528" width="11.5" customWidth="1"/>
    <col min="11777" max="11777" width="17.5" customWidth="1"/>
    <col min="11779" max="11779" width="12.33203125" customWidth="1"/>
    <col min="11780" max="11780" width="12.6640625" customWidth="1"/>
    <col min="11784" max="11784" width="11.5" customWidth="1"/>
    <col min="12033" max="12033" width="17.5" customWidth="1"/>
    <col min="12035" max="12035" width="12.33203125" customWidth="1"/>
    <col min="12036" max="12036" width="12.6640625" customWidth="1"/>
    <col min="12040" max="12040" width="11.5" customWidth="1"/>
    <col min="12289" max="12289" width="17.5" customWidth="1"/>
    <col min="12291" max="12291" width="12.33203125" customWidth="1"/>
    <col min="12292" max="12292" width="12.6640625" customWidth="1"/>
    <col min="12296" max="12296" width="11.5" customWidth="1"/>
    <col min="12545" max="12545" width="17.5" customWidth="1"/>
    <col min="12547" max="12547" width="12.33203125" customWidth="1"/>
    <col min="12548" max="12548" width="12.6640625" customWidth="1"/>
    <col min="12552" max="12552" width="11.5" customWidth="1"/>
    <col min="12801" max="12801" width="17.5" customWidth="1"/>
    <col min="12803" max="12803" width="12.33203125" customWidth="1"/>
    <col min="12804" max="12804" width="12.6640625" customWidth="1"/>
    <col min="12808" max="12808" width="11.5" customWidth="1"/>
    <col min="13057" max="13057" width="17.5" customWidth="1"/>
    <col min="13059" max="13059" width="12.33203125" customWidth="1"/>
    <col min="13060" max="13060" width="12.6640625" customWidth="1"/>
    <col min="13064" max="13064" width="11.5" customWidth="1"/>
    <col min="13313" max="13313" width="17.5" customWidth="1"/>
    <col min="13315" max="13315" width="12.33203125" customWidth="1"/>
    <col min="13316" max="13316" width="12.6640625" customWidth="1"/>
    <col min="13320" max="13320" width="11.5" customWidth="1"/>
    <col min="13569" max="13569" width="17.5" customWidth="1"/>
    <col min="13571" max="13571" width="12.33203125" customWidth="1"/>
    <col min="13572" max="13572" width="12.6640625" customWidth="1"/>
    <col min="13576" max="13576" width="11.5" customWidth="1"/>
    <col min="13825" max="13825" width="17.5" customWidth="1"/>
    <col min="13827" max="13827" width="12.33203125" customWidth="1"/>
    <col min="13828" max="13828" width="12.6640625" customWidth="1"/>
    <col min="13832" max="13832" width="11.5" customWidth="1"/>
    <col min="14081" max="14081" width="17.5" customWidth="1"/>
    <col min="14083" max="14083" width="12.33203125" customWidth="1"/>
    <col min="14084" max="14084" width="12.6640625" customWidth="1"/>
    <col min="14088" max="14088" width="11.5" customWidth="1"/>
    <col min="14337" max="14337" width="17.5" customWidth="1"/>
    <col min="14339" max="14339" width="12.33203125" customWidth="1"/>
    <col min="14340" max="14340" width="12.6640625" customWidth="1"/>
    <col min="14344" max="14344" width="11.5" customWidth="1"/>
    <col min="14593" max="14593" width="17.5" customWidth="1"/>
    <col min="14595" max="14595" width="12.33203125" customWidth="1"/>
    <col min="14596" max="14596" width="12.6640625" customWidth="1"/>
    <col min="14600" max="14600" width="11.5" customWidth="1"/>
    <col min="14849" max="14849" width="17.5" customWidth="1"/>
    <col min="14851" max="14851" width="12.33203125" customWidth="1"/>
    <col min="14852" max="14852" width="12.6640625" customWidth="1"/>
    <col min="14856" max="14856" width="11.5" customWidth="1"/>
    <col min="15105" max="15105" width="17.5" customWidth="1"/>
    <col min="15107" max="15107" width="12.33203125" customWidth="1"/>
    <col min="15108" max="15108" width="12.6640625" customWidth="1"/>
    <col min="15112" max="15112" width="11.5" customWidth="1"/>
    <col min="15361" max="15361" width="17.5" customWidth="1"/>
    <col min="15363" max="15363" width="12.33203125" customWidth="1"/>
    <col min="15364" max="15364" width="12.6640625" customWidth="1"/>
    <col min="15368" max="15368" width="11.5" customWidth="1"/>
    <col min="15617" max="15617" width="17.5" customWidth="1"/>
    <col min="15619" max="15619" width="12.33203125" customWidth="1"/>
    <col min="15620" max="15620" width="12.6640625" customWidth="1"/>
    <col min="15624" max="15624" width="11.5" customWidth="1"/>
    <col min="15873" max="15873" width="17.5" customWidth="1"/>
    <col min="15875" max="15875" width="12.33203125" customWidth="1"/>
    <col min="15876" max="15876" width="12.6640625" customWidth="1"/>
    <col min="15880" max="15880" width="11.5" customWidth="1"/>
    <col min="16129" max="16129" width="17.5" customWidth="1"/>
    <col min="16131" max="16131" width="12.33203125" customWidth="1"/>
    <col min="16132" max="16132" width="12.6640625" customWidth="1"/>
    <col min="16136" max="16136" width="11.5" customWidth="1"/>
  </cols>
  <sheetData>
    <row r="1" spans="1:10">
      <c r="A1" s="1" t="s">
        <v>241</v>
      </c>
    </row>
    <row r="2" spans="1:10">
      <c r="D2" t="s">
        <v>237</v>
      </c>
    </row>
    <row r="3" spans="1:10">
      <c r="B3" t="s">
        <v>38</v>
      </c>
      <c r="D3" t="s">
        <v>242</v>
      </c>
    </row>
    <row r="4" spans="1:10">
      <c r="A4" s="8">
        <v>1</v>
      </c>
      <c r="B4">
        <v>32996</v>
      </c>
      <c r="D4" t="s">
        <v>238</v>
      </c>
    </row>
    <row r="5" spans="1:10">
      <c r="A5" s="8">
        <v>2</v>
      </c>
      <c r="B5">
        <v>34242</v>
      </c>
      <c r="F5" s="114"/>
      <c r="H5" s="114"/>
      <c r="I5" s="8"/>
    </row>
    <row r="6" spans="1:10">
      <c r="A6" s="8">
        <v>3</v>
      </c>
      <c r="B6">
        <v>27825</v>
      </c>
      <c r="D6" s="82" t="s">
        <v>213</v>
      </c>
    </row>
    <row r="7" spans="1:10">
      <c r="A7" s="8">
        <v>4</v>
      </c>
      <c r="B7">
        <v>29807</v>
      </c>
      <c r="D7" t="s">
        <v>239</v>
      </c>
    </row>
    <row r="8" spans="1:10">
      <c r="A8" s="8">
        <v>5</v>
      </c>
      <c r="B8">
        <v>28692</v>
      </c>
    </row>
    <row r="9" spans="1:10" ht="16">
      <c r="A9" s="8">
        <v>6</v>
      </c>
      <c r="B9">
        <v>34449</v>
      </c>
      <c r="D9" s="700" t="s">
        <v>199</v>
      </c>
      <c r="E9" s="700"/>
      <c r="F9" s="700"/>
      <c r="G9" s="700"/>
      <c r="H9" s="700"/>
      <c r="I9" s="700"/>
      <c r="J9" s="445"/>
    </row>
    <row r="10" spans="1:10" ht="16" thickBot="1">
      <c r="A10" s="8">
        <v>7</v>
      </c>
      <c r="B10">
        <v>33335</v>
      </c>
      <c r="D10" s="445"/>
      <c r="E10" s="445"/>
      <c r="F10" s="445"/>
      <c r="G10" s="445"/>
      <c r="H10" s="445"/>
      <c r="I10" s="445"/>
      <c r="J10" s="445"/>
    </row>
    <row r="11" spans="1:10" ht="16" thickBot="1">
      <c r="A11" s="8">
        <v>8</v>
      </c>
      <c r="B11">
        <v>38217</v>
      </c>
      <c r="D11" s="701" t="s">
        <v>138</v>
      </c>
      <c r="E11" s="701"/>
      <c r="F11" s="701"/>
      <c r="G11" s="447">
        <v>0.3</v>
      </c>
      <c r="H11" s="446"/>
      <c r="I11" s="446"/>
      <c r="J11" s="445"/>
    </row>
    <row r="12" spans="1:10" ht="16" thickBot="1">
      <c r="A12" s="8">
        <v>9</v>
      </c>
      <c r="B12">
        <v>36690</v>
      </c>
      <c r="D12" s="701" t="s">
        <v>200</v>
      </c>
      <c r="E12" s="701"/>
      <c r="F12" s="701"/>
      <c r="G12" s="447">
        <v>0.4</v>
      </c>
      <c r="H12" s="446"/>
      <c r="I12" s="446"/>
      <c r="J12" s="445"/>
    </row>
    <row r="13" spans="1:10">
      <c r="A13" s="547">
        <v>10</v>
      </c>
      <c r="B13">
        <v>35303</v>
      </c>
      <c r="D13" s="446"/>
      <c r="E13" s="446"/>
      <c r="F13" s="446"/>
      <c r="G13" s="446"/>
      <c r="H13" s="446"/>
      <c r="I13" s="446"/>
      <c r="J13" s="445"/>
    </row>
    <row r="14" spans="1:10" ht="16" thickBot="1">
      <c r="A14" s="547">
        <v>11</v>
      </c>
      <c r="B14">
        <v>33780</v>
      </c>
      <c r="D14" s="701" t="s">
        <v>201</v>
      </c>
      <c r="E14" s="701"/>
      <c r="F14" s="701"/>
      <c r="G14" s="701"/>
      <c r="H14" s="446"/>
      <c r="I14" s="446"/>
      <c r="J14" s="445"/>
    </row>
    <row r="15" spans="1:10" ht="16" thickBot="1">
      <c r="A15" s="547">
        <v>12</v>
      </c>
      <c r="B15">
        <v>32843</v>
      </c>
      <c r="D15" s="699" t="s">
        <v>202</v>
      </c>
      <c r="E15" s="699"/>
      <c r="F15" s="449">
        <v>9</v>
      </c>
      <c r="G15" s="446"/>
      <c r="H15" s="446"/>
      <c r="I15" s="446"/>
      <c r="J15" s="445"/>
    </row>
    <row r="16" spans="1:10" ht="16" thickBot="1">
      <c r="A16" s="547">
        <v>13</v>
      </c>
      <c r="B16">
        <v>37781</v>
      </c>
      <c r="D16" s="699" t="s">
        <v>315</v>
      </c>
      <c r="E16" s="699"/>
      <c r="F16" s="449">
        <v>36690</v>
      </c>
      <c r="G16" s="446"/>
      <c r="H16" s="446"/>
      <c r="I16" s="446"/>
      <c r="J16" s="445"/>
    </row>
    <row r="17" spans="1:10" ht="16" thickBot="1">
      <c r="A17" s="547">
        <v>14</v>
      </c>
      <c r="B17">
        <v>27716</v>
      </c>
      <c r="D17" s="699" t="s">
        <v>203</v>
      </c>
      <c r="E17" s="699"/>
      <c r="F17" s="449">
        <v>-461.75</v>
      </c>
      <c r="G17" s="446"/>
      <c r="H17" s="446"/>
      <c r="I17" s="446"/>
      <c r="J17" s="445"/>
    </row>
    <row r="18" spans="1:10" ht="16" thickBot="1">
      <c r="A18" s="547">
        <v>15</v>
      </c>
      <c r="B18">
        <v>31876</v>
      </c>
      <c r="D18" s="445"/>
      <c r="E18" s="445"/>
      <c r="F18" s="445"/>
      <c r="G18" s="445"/>
      <c r="H18" s="445"/>
      <c r="I18" s="445"/>
      <c r="J18" s="445"/>
    </row>
    <row r="19" spans="1:10">
      <c r="A19" s="547">
        <v>16</v>
      </c>
      <c r="B19">
        <v>31463</v>
      </c>
      <c r="D19" s="450" t="s">
        <v>121</v>
      </c>
      <c r="E19" s="451">
        <v>2039.674229765626</v>
      </c>
      <c r="F19" s="445"/>
      <c r="G19" s="448"/>
      <c r="H19" s="445"/>
      <c r="I19" s="452"/>
      <c r="J19" s="445"/>
    </row>
    <row r="20" spans="1:10" ht="16" thickBot="1">
      <c r="A20" s="547">
        <v>17</v>
      </c>
      <c r="B20">
        <v>29829</v>
      </c>
      <c r="D20" s="450" t="s">
        <v>122</v>
      </c>
      <c r="E20" s="453">
        <v>6.2616874098203726E-2</v>
      </c>
      <c r="F20" s="445"/>
      <c r="G20" s="448"/>
      <c r="H20" s="445"/>
      <c r="I20" s="454"/>
      <c r="J20" s="445"/>
    </row>
    <row r="21" spans="1:10" ht="16" thickBot="1">
      <c r="A21" s="548" t="s">
        <v>240</v>
      </c>
      <c r="D21" s="445"/>
      <c r="E21" s="445"/>
      <c r="F21" s="445"/>
      <c r="G21" s="445"/>
      <c r="H21" s="445"/>
      <c r="I21" s="445"/>
      <c r="J21" s="445"/>
    </row>
    <row r="22" spans="1:10" ht="30" thickBot="1">
      <c r="D22" s="455" t="s">
        <v>39</v>
      </c>
      <c r="E22" s="455" t="s">
        <v>38</v>
      </c>
      <c r="F22" s="455" t="s">
        <v>185</v>
      </c>
      <c r="G22" s="455" t="s">
        <v>204</v>
      </c>
      <c r="H22" s="455" t="s">
        <v>205</v>
      </c>
      <c r="I22" s="455" t="s">
        <v>37</v>
      </c>
      <c r="J22" s="456" t="s">
        <v>123</v>
      </c>
    </row>
    <row r="23" spans="1:10">
      <c r="D23" s="457">
        <v>1</v>
      </c>
      <c r="E23" s="458">
        <v>32996</v>
      </c>
      <c r="F23" s="459" t="s">
        <v>124</v>
      </c>
      <c r="G23" s="460" t="s">
        <v>124</v>
      </c>
      <c r="H23" s="460" t="s">
        <v>124</v>
      </c>
      <c r="I23" s="460" t="s">
        <v>124</v>
      </c>
      <c r="J23" s="461" t="s">
        <v>124</v>
      </c>
    </row>
    <row r="24" spans="1:10">
      <c r="D24" s="462">
        <v>2</v>
      </c>
      <c r="E24" s="458">
        <v>34242</v>
      </c>
      <c r="F24" s="463" t="s">
        <v>124</v>
      </c>
      <c r="G24" s="464" t="s">
        <v>124</v>
      </c>
      <c r="H24" s="464" t="s">
        <v>124</v>
      </c>
      <c r="I24" s="464" t="s">
        <v>124</v>
      </c>
      <c r="J24" s="465" t="s">
        <v>124</v>
      </c>
    </row>
    <row r="25" spans="1:10">
      <c r="D25" s="462">
        <v>3</v>
      </c>
      <c r="E25" s="458">
        <v>27825</v>
      </c>
      <c r="F25" s="463" t="s">
        <v>124</v>
      </c>
      <c r="G25" s="464" t="s">
        <v>124</v>
      </c>
      <c r="H25" s="464" t="s">
        <v>124</v>
      </c>
      <c r="I25" s="464" t="s">
        <v>124</v>
      </c>
      <c r="J25" s="465" t="s">
        <v>124</v>
      </c>
    </row>
    <row r="26" spans="1:10">
      <c r="D26" s="462">
        <v>4</v>
      </c>
      <c r="E26" s="458">
        <v>29807</v>
      </c>
      <c r="F26" s="463" t="s">
        <v>124</v>
      </c>
      <c r="G26" s="464" t="s">
        <v>124</v>
      </c>
      <c r="H26" s="464" t="s">
        <v>124</v>
      </c>
      <c r="I26" s="464" t="s">
        <v>124</v>
      </c>
      <c r="J26" s="465" t="s">
        <v>124</v>
      </c>
    </row>
    <row r="27" spans="1:10">
      <c r="D27" s="462">
        <v>5</v>
      </c>
      <c r="E27" s="458">
        <v>28692</v>
      </c>
      <c r="F27" s="463" t="s">
        <v>124</v>
      </c>
      <c r="G27" s="464" t="s">
        <v>124</v>
      </c>
      <c r="H27" s="464" t="s">
        <v>124</v>
      </c>
      <c r="I27" s="464" t="s">
        <v>124</v>
      </c>
      <c r="J27" s="465" t="s">
        <v>124</v>
      </c>
    </row>
    <row r="28" spans="1:10">
      <c r="D28" s="462">
        <v>6</v>
      </c>
      <c r="E28" s="458">
        <v>34449</v>
      </c>
      <c r="F28" s="463" t="s">
        <v>124</v>
      </c>
      <c r="G28" s="464" t="s">
        <v>124</v>
      </c>
      <c r="H28" s="464" t="s">
        <v>124</v>
      </c>
      <c r="I28" s="464" t="s">
        <v>124</v>
      </c>
      <c r="J28" s="465" t="s">
        <v>124</v>
      </c>
    </row>
    <row r="29" spans="1:10">
      <c r="D29" s="462">
        <v>7</v>
      </c>
      <c r="E29" s="458">
        <v>33335</v>
      </c>
      <c r="F29" s="463" t="s">
        <v>124</v>
      </c>
      <c r="G29" s="464" t="s">
        <v>124</v>
      </c>
      <c r="H29" s="464" t="s">
        <v>124</v>
      </c>
      <c r="I29" s="464" t="s">
        <v>124</v>
      </c>
      <c r="J29" s="465" t="s">
        <v>124</v>
      </c>
    </row>
    <row r="30" spans="1:10">
      <c r="D30" s="462">
        <v>8</v>
      </c>
      <c r="E30" s="458">
        <v>38217</v>
      </c>
      <c r="F30" s="463" t="s">
        <v>124</v>
      </c>
      <c r="G30" s="464" t="s">
        <v>124</v>
      </c>
      <c r="H30" s="464" t="s">
        <v>124</v>
      </c>
      <c r="I30" s="464" t="s">
        <v>124</v>
      </c>
      <c r="J30" s="465" t="s">
        <v>124</v>
      </c>
    </row>
    <row r="31" spans="1:10">
      <c r="D31" s="462">
        <v>9</v>
      </c>
      <c r="E31" s="458">
        <v>36690</v>
      </c>
      <c r="F31" s="463" t="s">
        <v>124</v>
      </c>
      <c r="G31" s="464">
        <v>36690</v>
      </c>
      <c r="H31" s="464">
        <v>-461.75</v>
      </c>
      <c r="I31" s="464" t="s">
        <v>124</v>
      </c>
      <c r="J31" s="465" t="s">
        <v>124</v>
      </c>
    </row>
    <row r="32" spans="1:10">
      <c r="D32" s="462">
        <v>10</v>
      </c>
      <c r="E32" s="458">
        <v>35303</v>
      </c>
      <c r="F32" s="463">
        <v>36228.25</v>
      </c>
      <c r="G32" s="464">
        <v>35950.675000000003</v>
      </c>
      <c r="H32" s="464">
        <v>-461.75</v>
      </c>
      <c r="I32" s="464">
        <v>-925.25</v>
      </c>
      <c r="J32" s="465">
        <v>-1</v>
      </c>
    </row>
    <row r="33" spans="4:10">
      <c r="D33" s="462">
        <v>11</v>
      </c>
      <c r="E33" s="458">
        <v>33780</v>
      </c>
      <c r="F33" s="463">
        <v>35488.925000000003</v>
      </c>
      <c r="G33" s="464">
        <v>34976.247500000005</v>
      </c>
      <c r="H33" s="464">
        <v>-572.77999999999884</v>
      </c>
      <c r="I33" s="464">
        <v>-1708.925</v>
      </c>
      <c r="J33" s="465">
        <v>-2</v>
      </c>
    </row>
    <row r="34" spans="4:10">
      <c r="D34" s="462">
        <v>12</v>
      </c>
      <c r="E34" s="458">
        <v>32843</v>
      </c>
      <c r="F34" s="463">
        <v>34403.467500000006</v>
      </c>
      <c r="G34" s="464">
        <v>33935.327250000002</v>
      </c>
      <c r="H34" s="464">
        <v>-777.85099999999807</v>
      </c>
      <c r="I34" s="464">
        <v>-1560.4675000000061</v>
      </c>
      <c r="J34" s="465">
        <v>-3</v>
      </c>
    </row>
    <row r="35" spans="4:10">
      <c r="D35" s="462">
        <v>13</v>
      </c>
      <c r="E35" s="458">
        <v>37781</v>
      </c>
      <c r="F35" s="463">
        <v>33157.476250000007</v>
      </c>
      <c r="G35" s="464">
        <v>34544.533375000006</v>
      </c>
      <c r="H35" s="464">
        <v>-965.10709999999847</v>
      </c>
      <c r="I35" s="464">
        <v>4623.523749999993</v>
      </c>
      <c r="J35" s="465">
        <v>0.19454441562608729</v>
      </c>
    </row>
    <row r="36" spans="4:10">
      <c r="D36" s="462">
        <v>14</v>
      </c>
      <c r="E36" s="458">
        <v>27716</v>
      </c>
      <c r="F36" s="463">
        <v>33579.426275000005</v>
      </c>
      <c r="G36" s="464">
        <v>31820.398392500003</v>
      </c>
      <c r="H36" s="464">
        <v>-410.28424999999982</v>
      </c>
      <c r="I36" s="464">
        <v>-5863.4262750000053</v>
      </c>
      <c r="J36" s="465">
        <v>-1.8508022940106827</v>
      </c>
    </row>
    <row r="37" spans="4:10">
      <c r="D37" s="462">
        <v>15</v>
      </c>
      <c r="E37" s="458">
        <v>31876</v>
      </c>
      <c r="F37" s="463">
        <v>31410.114142500002</v>
      </c>
      <c r="G37" s="464">
        <v>31549.879899750002</v>
      </c>
      <c r="H37" s="464">
        <v>-1113.8954030000011</v>
      </c>
      <c r="I37" s="464">
        <v>465.88585749999766</v>
      </c>
      <c r="J37" s="465">
        <v>-1.9681133883935504</v>
      </c>
    </row>
    <row r="38" spans="4:10">
      <c r="D38" s="462">
        <v>16</v>
      </c>
      <c r="E38" s="458">
        <v>31463</v>
      </c>
      <c r="F38" s="463">
        <v>30435.984496749999</v>
      </c>
      <c r="G38" s="464">
        <v>30744.089147725001</v>
      </c>
      <c r="H38" s="464">
        <v>-1057.9891001000019</v>
      </c>
      <c r="I38" s="464">
        <v>1027.0155032500006</v>
      </c>
      <c r="J38" s="465">
        <v>-1.7058651630551933</v>
      </c>
    </row>
    <row r="39" spans="4:10">
      <c r="D39" s="462">
        <v>17</v>
      </c>
      <c r="E39" s="458">
        <v>29829</v>
      </c>
      <c r="F39" s="463">
        <v>29686.100047624997</v>
      </c>
      <c r="G39" s="464">
        <v>29728.970033337497</v>
      </c>
      <c r="H39" s="464">
        <v>-934.74723971000196</v>
      </c>
      <c r="I39" s="464">
        <v>142.89995237500261</v>
      </c>
      <c r="J39" s="465">
        <v>-1.8624266838491776</v>
      </c>
    </row>
    <row r="40" spans="4:10">
      <c r="D40" s="462">
        <v>18</v>
      </c>
      <c r="E40" s="466"/>
      <c r="F40" s="463">
        <v>28794.222793627494</v>
      </c>
      <c r="G40" s="464" t="s">
        <v>124</v>
      </c>
      <c r="H40" s="464" t="s">
        <v>124</v>
      </c>
      <c r="I40" s="464" t="s">
        <v>124</v>
      </c>
      <c r="J40" s="465" t="s">
        <v>124</v>
      </c>
    </row>
  </sheetData>
  <mergeCells count="7">
    <mergeCell ref="D17:E17"/>
    <mergeCell ref="D9:I9"/>
    <mergeCell ref="D11:F11"/>
    <mergeCell ref="D12:F12"/>
    <mergeCell ref="D14:G14"/>
    <mergeCell ref="D15:E15"/>
    <mergeCell ref="D16:E1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42"/>
  <sheetViews>
    <sheetView workbookViewId="0">
      <selection activeCell="M15" sqref="M15"/>
    </sheetView>
  </sheetViews>
  <sheetFormatPr baseColWidth="10" defaultColWidth="8.83203125" defaultRowHeight="15"/>
  <cols>
    <col min="1" max="1" width="9.6640625" customWidth="1"/>
    <col min="3" max="3" width="12.33203125" customWidth="1"/>
    <col min="4" max="4" width="12.6640625" customWidth="1"/>
    <col min="6" max="6" width="13.6640625" bestFit="1" customWidth="1"/>
    <col min="7" max="7" width="9.33203125" customWidth="1"/>
    <col min="8" max="8" width="11.5" customWidth="1"/>
    <col min="17" max="17" width="15.6640625" customWidth="1"/>
    <col min="257" max="257" width="17.5" customWidth="1"/>
    <col min="259" max="259" width="12.33203125" customWidth="1"/>
    <col min="260" max="260" width="12.6640625" customWidth="1"/>
    <col min="264" max="264" width="11.5" customWidth="1"/>
    <col min="513" max="513" width="17.5" customWidth="1"/>
    <col min="515" max="515" width="12.33203125" customWidth="1"/>
    <col min="516" max="516" width="12.6640625" customWidth="1"/>
    <col min="520" max="520" width="11.5" customWidth="1"/>
    <col min="769" max="769" width="17.5" customWidth="1"/>
    <col min="771" max="771" width="12.33203125" customWidth="1"/>
    <col min="772" max="772" width="12.6640625" customWidth="1"/>
    <col min="776" max="776" width="11.5" customWidth="1"/>
    <col min="1025" max="1025" width="17.5" customWidth="1"/>
    <col min="1027" max="1027" width="12.33203125" customWidth="1"/>
    <col min="1028" max="1028" width="12.6640625" customWidth="1"/>
    <col min="1032" max="1032" width="11.5" customWidth="1"/>
    <col min="1281" max="1281" width="17.5" customWidth="1"/>
    <col min="1283" max="1283" width="12.33203125" customWidth="1"/>
    <col min="1284" max="1284" width="12.6640625" customWidth="1"/>
    <col min="1288" max="1288" width="11.5" customWidth="1"/>
    <col min="1537" max="1537" width="17.5" customWidth="1"/>
    <col min="1539" max="1539" width="12.33203125" customWidth="1"/>
    <col min="1540" max="1540" width="12.6640625" customWidth="1"/>
    <col min="1544" max="1544" width="11.5" customWidth="1"/>
    <col min="1793" max="1793" width="17.5" customWidth="1"/>
    <col min="1795" max="1795" width="12.33203125" customWidth="1"/>
    <col min="1796" max="1796" width="12.6640625" customWidth="1"/>
    <col min="1800" max="1800" width="11.5" customWidth="1"/>
    <col min="2049" max="2049" width="17.5" customWidth="1"/>
    <col min="2051" max="2051" width="12.33203125" customWidth="1"/>
    <col min="2052" max="2052" width="12.6640625" customWidth="1"/>
    <col min="2056" max="2056" width="11.5" customWidth="1"/>
    <col min="2305" max="2305" width="17.5" customWidth="1"/>
    <col min="2307" max="2307" width="12.33203125" customWidth="1"/>
    <col min="2308" max="2308" width="12.6640625" customWidth="1"/>
    <col min="2312" max="2312" width="11.5" customWidth="1"/>
    <col min="2561" max="2561" width="17.5" customWidth="1"/>
    <col min="2563" max="2563" width="12.33203125" customWidth="1"/>
    <col min="2564" max="2564" width="12.6640625" customWidth="1"/>
    <col min="2568" max="2568" width="11.5" customWidth="1"/>
    <col min="2817" max="2817" width="17.5" customWidth="1"/>
    <col min="2819" max="2819" width="12.33203125" customWidth="1"/>
    <col min="2820" max="2820" width="12.6640625" customWidth="1"/>
    <col min="2824" max="2824" width="11.5" customWidth="1"/>
    <col min="3073" max="3073" width="17.5" customWidth="1"/>
    <col min="3075" max="3075" width="12.33203125" customWidth="1"/>
    <col min="3076" max="3076" width="12.6640625" customWidth="1"/>
    <col min="3080" max="3080" width="11.5" customWidth="1"/>
    <col min="3329" max="3329" width="17.5" customWidth="1"/>
    <col min="3331" max="3331" width="12.33203125" customWidth="1"/>
    <col min="3332" max="3332" width="12.6640625" customWidth="1"/>
    <col min="3336" max="3336" width="11.5" customWidth="1"/>
    <col min="3585" max="3585" width="17.5" customWidth="1"/>
    <col min="3587" max="3587" width="12.33203125" customWidth="1"/>
    <col min="3588" max="3588" width="12.6640625" customWidth="1"/>
    <col min="3592" max="3592" width="11.5" customWidth="1"/>
    <col min="3841" max="3841" width="17.5" customWidth="1"/>
    <col min="3843" max="3843" width="12.33203125" customWidth="1"/>
    <col min="3844" max="3844" width="12.6640625" customWidth="1"/>
    <col min="3848" max="3848" width="11.5" customWidth="1"/>
    <col min="4097" max="4097" width="17.5" customWidth="1"/>
    <col min="4099" max="4099" width="12.33203125" customWidth="1"/>
    <col min="4100" max="4100" width="12.6640625" customWidth="1"/>
    <col min="4104" max="4104" width="11.5" customWidth="1"/>
    <col min="4353" max="4353" width="17.5" customWidth="1"/>
    <col min="4355" max="4355" width="12.33203125" customWidth="1"/>
    <col min="4356" max="4356" width="12.6640625" customWidth="1"/>
    <col min="4360" max="4360" width="11.5" customWidth="1"/>
    <col min="4609" max="4609" width="17.5" customWidth="1"/>
    <col min="4611" max="4611" width="12.33203125" customWidth="1"/>
    <col min="4612" max="4612" width="12.6640625" customWidth="1"/>
    <col min="4616" max="4616" width="11.5" customWidth="1"/>
    <col min="4865" max="4865" width="17.5" customWidth="1"/>
    <col min="4867" max="4867" width="12.33203125" customWidth="1"/>
    <col min="4868" max="4868" width="12.6640625" customWidth="1"/>
    <col min="4872" max="4872" width="11.5" customWidth="1"/>
    <col min="5121" max="5121" width="17.5" customWidth="1"/>
    <col min="5123" max="5123" width="12.33203125" customWidth="1"/>
    <col min="5124" max="5124" width="12.6640625" customWidth="1"/>
    <col min="5128" max="5128" width="11.5" customWidth="1"/>
    <col min="5377" max="5377" width="17.5" customWidth="1"/>
    <col min="5379" max="5379" width="12.33203125" customWidth="1"/>
    <col min="5380" max="5380" width="12.6640625" customWidth="1"/>
    <col min="5384" max="5384" width="11.5" customWidth="1"/>
    <col min="5633" max="5633" width="17.5" customWidth="1"/>
    <col min="5635" max="5635" width="12.33203125" customWidth="1"/>
    <col min="5636" max="5636" width="12.6640625" customWidth="1"/>
    <col min="5640" max="5640" width="11.5" customWidth="1"/>
    <col min="5889" max="5889" width="17.5" customWidth="1"/>
    <col min="5891" max="5891" width="12.33203125" customWidth="1"/>
    <col min="5892" max="5892" width="12.6640625" customWidth="1"/>
    <col min="5896" max="5896" width="11.5" customWidth="1"/>
    <col min="6145" max="6145" width="17.5" customWidth="1"/>
    <col min="6147" max="6147" width="12.33203125" customWidth="1"/>
    <col min="6148" max="6148" width="12.6640625" customWidth="1"/>
    <col min="6152" max="6152" width="11.5" customWidth="1"/>
    <col min="6401" max="6401" width="17.5" customWidth="1"/>
    <col min="6403" max="6403" width="12.33203125" customWidth="1"/>
    <col min="6404" max="6404" width="12.6640625" customWidth="1"/>
    <col min="6408" max="6408" width="11.5" customWidth="1"/>
    <col min="6657" max="6657" width="17.5" customWidth="1"/>
    <col min="6659" max="6659" width="12.33203125" customWidth="1"/>
    <col min="6660" max="6660" width="12.6640625" customWidth="1"/>
    <col min="6664" max="6664" width="11.5" customWidth="1"/>
    <col min="6913" max="6913" width="17.5" customWidth="1"/>
    <col min="6915" max="6915" width="12.33203125" customWidth="1"/>
    <col min="6916" max="6916" width="12.6640625" customWidth="1"/>
    <col min="6920" max="6920" width="11.5" customWidth="1"/>
    <col min="7169" max="7169" width="17.5" customWidth="1"/>
    <col min="7171" max="7171" width="12.33203125" customWidth="1"/>
    <col min="7172" max="7172" width="12.6640625" customWidth="1"/>
    <col min="7176" max="7176" width="11.5" customWidth="1"/>
    <col min="7425" max="7425" width="17.5" customWidth="1"/>
    <col min="7427" max="7427" width="12.33203125" customWidth="1"/>
    <col min="7428" max="7428" width="12.6640625" customWidth="1"/>
    <col min="7432" max="7432" width="11.5" customWidth="1"/>
    <col min="7681" max="7681" width="17.5" customWidth="1"/>
    <col min="7683" max="7683" width="12.33203125" customWidth="1"/>
    <col min="7684" max="7684" width="12.6640625" customWidth="1"/>
    <col min="7688" max="7688" width="11.5" customWidth="1"/>
    <col min="7937" max="7937" width="17.5" customWidth="1"/>
    <col min="7939" max="7939" width="12.33203125" customWidth="1"/>
    <col min="7940" max="7940" width="12.6640625" customWidth="1"/>
    <col min="7944" max="7944" width="11.5" customWidth="1"/>
    <col min="8193" max="8193" width="17.5" customWidth="1"/>
    <col min="8195" max="8195" width="12.33203125" customWidth="1"/>
    <col min="8196" max="8196" width="12.6640625" customWidth="1"/>
    <col min="8200" max="8200" width="11.5" customWidth="1"/>
    <col min="8449" max="8449" width="17.5" customWidth="1"/>
    <col min="8451" max="8451" width="12.33203125" customWidth="1"/>
    <col min="8452" max="8452" width="12.6640625" customWidth="1"/>
    <col min="8456" max="8456" width="11.5" customWidth="1"/>
    <col min="8705" max="8705" width="17.5" customWidth="1"/>
    <col min="8707" max="8707" width="12.33203125" customWidth="1"/>
    <col min="8708" max="8708" width="12.6640625" customWidth="1"/>
    <col min="8712" max="8712" width="11.5" customWidth="1"/>
    <col min="8961" max="8961" width="17.5" customWidth="1"/>
    <col min="8963" max="8963" width="12.33203125" customWidth="1"/>
    <col min="8964" max="8964" width="12.6640625" customWidth="1"/>
    <col min="8968" max="8968" width="11.5" customWidth="1"/>
    <col min="9217" max="9217" width="17.5" customWidth="1"/>
    <col min="9219" max="9219" width="12.33203125" customWidth="1"/>
    <col min="9220" max="9220" width="12.6640625" customWidth="1"/>
    <col min="9224" max="9224" width="11.5" customWidth="1"/>
    <col min="9473" max="9473" width="17.5" customWidth="1"/>
    <col min="9475" max="9475" width="12.33203125" customWidth="1"/>
    <col min="9476" max="9476" width="12.6640625" customWidth="1"/>
    <col min="9480" max="9480" width="11.5" customWidth="1"/>
    <col min="9729" max="9729" width="17.5" customWidth="1"/>
    <col min="9731" max="9731" width="12.33203125" customWidth="1"/>
    <col min="9732" max="9732" width="12.6640625" customWidth="1"/>
    <col min="9736" max="9736" width="11.5" customWidth="1"/>
    <col min="9985" max="9985" width="17.5" customWidth="1"/>
    <col min="9987" max="9987" width="12.33203125" customWidth="1"/>
    <col min="9988" max="9988" width="12.6640625" customWidth="1"/>
    <col min="9992" max="9992" width="11.5" customWidth="1"/>
    <col min="10241" max="10241" width="17.5" customWidth="1"/>
    <col min="10243" max="10243" width="12.33203125" customWidth="1"/>
    <col min="10244" max="10244" width="12.6640625" customWidth="1"/>
    <col min="10248" max="10248" width="11.5" customWidth="1"/>
    <col min="10497" max="10497" width="17.5" customWidth="1"/>
    <col min="10499" max="10499" width="12.33203125" customWidth="1"/>
    <col min="10500" max="10500" width="12.6640625" customWidth="1"/>
    <col min="10504" max="10504" width="11.5" customWidth="1"/>
    <col min="10753" max="10753" width="17.5" customWidth="1"/>
    <col min="10755" max="10755" width="12.33203125" customWidth="1"/>
    <col min="10756" max="10756" width="12.6640625" customWidth="1"/>
    <col min="10760" max="10760" width="11.5" customWidth="1"/>
    <col min="11009" max="11009" width="17.5" customWidth="1"/>
    <col min="11011" max="11011" width="12.33203125" customWidth="1"/>
    <col min="11012" max="11012" width="12.6640625" customWidth="1"/>
    <col min="11016" max="11016" width="11.5" customWidth="1"/>
    <col min="11265" max="11265" width="17.5" customWidth="1"/>
    <col min="11267" max="11267" width="12.33203125" customWidth="1"/>
    <col min="11268" max="11268" width="12.6640625" customWidth="1"/>
    <col min="11272" max="11272" width="11.5" customWidth="1"/>
    <col min="11521" max="11521" width="17.5" customWidth="1"/>
    <col min="11523" max="11523" width="12.33203125" customWidth="1"/>
    <col min="11524" max="11524" width="12.6640625" customWidth="1"/>
    <col min="11528" max="11528" width="11.5" customWidth="1"/>
    <col min="11777" max="11777" width="17.5" customWidth="1"/>
    <col min="11779" max="11779" width="12.33203125" customWidth="1"/>
    <col min="11780" max="11780" width="12.6640625" customWidth="1"/>
    <col min="11784" max="11784" width="11.5" customWidth="1"/>
    <col min="12033" max="12033" width="17.5" customWidth="1"/>
    <col min="12035" max="12035" width="12.33203125" customWidth="1"/>
    <col min="12036" max="12036" width="12.6640625" customWidth="1"/>
    <col min="12040" max="12040" width="11.5" customWidth="1"/>
    <col min="12289" max="12289" width="17.5" customWidth="1"/>
    <col min="12291" max="12291" width="12.33203125" customWidth="1"/>
    <col min="12292" max="12292" width="12.6640625" customWidth="1"/>
    <col min="12296" max="12296" width="11.5" customWidth="1"/>
    <col min="12545" max="12545" width="17.5" customWidth="1"/>
    <col min="12547" max="12547" width="12.33203125" customWidth="1"/>
    <col min="12548" max="12548" width="12.6640625" customWidth="1"/>
    <col min="12552" max="12552" width="11.5" customWidth="1"/>
    <col min="12801" max="12801" width="17.5" customWidth="1"/>
    <col min="12803" max="12803" width="12.33203125" customWidth="1"/>
    <col min="12804" max="12804" width="12.6640625" customWidth="1"/>
    <col min="12808" max="12808" width="11.5" customWidth="1"/>
    <col min="13057" max="13057" width="17.5" customWidth="1"/>
    <col min="13059" max="13059" width="12.33203125" customWidth="1"/>
    <col min="13060" max="13060" width="12.6640625" customWidth="1"/>
    <col min="13064" max="13064" width="11.5" customWidth="1"/>
    <col min="13313" max="13313" width="17.5" customWidth="1"/>
    <col min="13315" max="13315" width="12.33203125" customWidth="1"/>
    <col min="13316" max="13316" width="12.6640625" customWidth="1"/>
    <col min="13320" max="13320" width="11.5" customWidth="1"/>
    <col min="13569" max="13569" width="17.5" customWidth="1"/>
    <col min="13571" max="13571" width="12.33203125" customWidth="1"/>
    <col min="13572" max="13572" width="12.6640625" customWidth="1"/>
    <col min="13576" max="13576" width="11.5" customWidth="1"/>
    <col min="13825" max="13825" width="17.5" customWidth="1"/>
    <col min="13827" max="13827" width="12.33203125" customWidth="1"/>
    <col min="13828" max="13828" width="12.6640625" customWidth="1"/>
    <col min="13832" max="13832" width="11.5" customWidth="1"/>
    <col min="14081" max="14081" width="17.5" customWidth="1"/>
    <col min="14083" max="14083" width="12.33203125" customWidth="1"/>
    <col min="14084" max="14084" width="12.6640625" customWidth="1"/>
    <col min="14088" max="14088" width="11.5" customWidth="1"/>
    <col min="14337" max="14337" width="17.5" customWidth="1"/>
    <col min="14339" max="14339" width="12.33203125" customWidth="1"/>
    <col min="14340" max="14340" width="12.6640625" customWidth="1"/>
    <col min="14344" max="14344" width="11.5" customWidth="1"/>
    <col min="14593" max="14593" width="17.5" customWidth="1"/>
    <col min="14595" max="14595" width="12.33203125" customWidth="1"/>
    <col min="14596" max="14596" width="12.6640625" customWidth="1"/>
    <col min="14600" max="14600" width="11.5" customWidth="1"/>
    <col min="14849" max="14849" width="17.5" customWidth="1"/>
    <col min="14851" max="14851" width="12.33203125" customWidth="1"/>
    <col min="14852" max="14852" width="12.6640625" customWidth="1"/>
    <col min="14856" max="14856" width="11.5" customWidth="1"/>
    <col min="15105" max="15105" width="17.5" customWidth="1"/>
    <col min="15107" max="15107" width="12.33203125" customWidth="1"/>
    <col min="15108" max="15108" width="12.6640625" customWidth="1"/>
    <col min="15112" max="15112" width="11.5" customWidth="1"/>
    <col min="15361" max="15361" width="17.5" customWidth="1"/>
    <col min="15363" max="15363" width="12.33203125" customWidth="1"/>
    <col min="15364" max="15364" width="12.6640625" customWidth="1"/>
    <col min="15368" max="15368" width="11.5" customWidth="1"/>
    <col min="15617" max="15617" width="17.5" customWidth="1"/>
    <col min="15619" max="15619" width="12.33203125" customWidth="1"/>
    <col min="15620" max="15620" width="12.6640625" customWidth="1"/>
    <col min="15624" max="15624" width="11.5" customWidth="1"/>
    <col min="15873" max="15873" width="17.5" customWidth="1"/>
    <col min="15875" max="15875" width="12.33203125" customWidth="1"/>
    <col min="15876" max="15876" width="12.6640625" customWidth="1"/>
    <col min="15880" max="15880" width="11.5" customWidth="1"/>
    <col min="16129" max="16129" width="17.5" customWidth="1"/>
    <col min="16131" max="16131" width="12.33203125" customWidth="1"/>
    <col min="16132" max="16132" width="12.6640625" customWidth="1"/>
    <col min="16136" max="16136" width="11.5" customWidth="1"/>
  </cols>
  <sheetData>
    <row r="1" spans="1:17" ht="16" thickBot="1">
      <c r="A1" s="1" t="s">
        <v>243</v>
      </c>
      <c r="K1" s="6" t="s">
        <v>186</v>
      </c>
    </row>
    <row r="2" spans="1:17" ht="16">
      <c r="D2" t="s">
        <v>150</v>
      </c>
      <c r="K2" s="703" t="s">
        <v>199</v>
      </c>
      <c r="L2" s="704"/>
      <c r="M2" s="704"/>
      <c r="N2" s="704"/>
      <c r="O2" s="704"/>
      <c r="P2" s="704"/>
      <c r="Q2" s="175"/>
    </row>
    <row r="3" spans="1:17" ht="16" thickBot="1">
      <c r="A3" s="61" t="s">
        <v>39</v>
      </c>
      <c r="B3" s="61" t="s">
        <v>38</v>
      </c>
      <c r="D3" t="s">
        <v>97</v>
      </c>
      <c r="K3" s="176"/>
      <c r="L3" s="177"/>
      <c r="M3" s="177"/>
      <c r="N3" s="177"/>
      <c r="O3" s="177"/>
      <c r="P3" s="177"/>
      <c r="Q3" s="178"/>
    </row>
    <row r="4" spans="1:17" ht="16" thickBot="1">
      <c r="A4" s="110">
        <v>1</v>
      </c>
      <c r="B4" s="132">
        <v>175</v>
      </c>
      <c r="D4" s="702" t="s">
        <v>95</v>
      </c>
      <c r="E4" s="702"/>
      <c r="F4" s="702"/>
      <c r="G4" s="702"/>
      <c r="K4" s="659" t="s">
        <v>138</v>
      </c>
      <c r="L4" s="660"/>
      <c r="M4" s="660"/>
      <c r="N4" s="161">
        <v>0.3</v>
      </c>
      <c r="O4" s="274"/>
      <c r="P4" s="274"/>
      <c r="Q4" s="178"/>
    </row>
    <row r="5" spans="1:17" ht="16" thickBot="1">
      <c r="A5" s="110">
        <v>2</v>
      </c>
      <c r="B5" s="132">
        <v>188</v>
      </c>
      <c r="F5" s="114"/>
      <c r="G5" s="550">
        <v>1.571429</v>
      </c>
      <c r="H5" s="114"/>
      <c r="I5" s="8"/>
      <c r="K5" s="659" t="s">
        <v>200</v>
      </c>
      <c r="L5" s="660"/>
      <c r="M5" s="660"/>
      <c r="N5" s="161">
        <v>0.4</v>
      </c>
      <c r="O5" s="274"/>
      <c r="P5" s="274"/>
      <c r="Q5" s="178"/>
    </row>
    <row r="6" spans="1:17">
      <c r="A6" s="110">
        <v>3</v>
      </c>
      <c r="B6" s="132">
        <v>217</v>
      </c>
      <c r="D6" s="82"/>
      <c r="K6" s="273"/>
      <c r="L6" s="274"/>
      <c r="M6" s="274"/>
      <c r="N6" s="274"/>
      <c r="O6" s="274"/>
      <c r="P6" s="274"/>
      <c r="Q6" s="178"/>
    </row>
    <row r="7" spans="1:17" ht="16" thickBot="1">
      <c r="A7" s="110">
        <v>4</v>
      </c>
      <c r="B7" s="132">
        <v>234</v>
      </c>
      <c r="D7" t="s">
        <v>96</v>
      </c>
      <c r="K7" s="659" t="s">
        <v>201</v>
      </c>
      <c r="L7" s="660"/>
      <c r="M7" s="660"/>
      <c r="N7" s="660"/>
      <c r="O7" s="274"/>
      <c r="P7" s="274"/>
      <c r="Q7" s="178"/>
    </row>
    <row r="8" spans="1:17" ht="16" thickBot="1">
      <c r="A8" s="110">
        <v>5</v>
      </c>
      <c r="B8" s="132">
        <v>244</v>
      </c>
      <c r="D8" s="123"/>
      <c r="E8" s="123"/>
      <c r="F8" s="123" t="s">
        <v>98</v>
      </c>
      <c r="G8" s="123" t="s">
        <v>99</v>
      </c>
      <c r="H8" s="123"/>
      <c r="I8" s="123"/>
      <c r="K8" s="688" t="s">
        <v>202</v>
      </c>
      <c r="L8" s="689"/>
      <c r="M8" s="284">
        <v>9</v>
      </c>
      <c r="N8" s="274"/>
      <c r="O8" s="274"/>
      <c r="P8" s="274"/>
      <c r="Q8" s="178"/>
    </row>
    <row r="9" spans="1:17" ht="19" thickBot="1">
      <c r="A9" s="110">
        <v>6</v>
      </c>
      <c r="B9" s="132">
        <v>256</v>
      </c>
      <c r="D9" s="134" t="s">
        <v>90</v>
      </c>
      <c r="E9" s="134" t="s">
        <v>91</v>
      </c>
      <c r="F9" s="134" t="s">
        <v>92</v>
      </c>
      <c r="G9" s="134" t="s">
        <v>93</v>
      </c>
      <c r="H9" s="134" t="s">
        <v>94</v>
      </c>
      <c r="I9" s="122"/>
      <c r="J9" s="115"/>
      <c r="K9" s="688" t="s">
        <v>315</v>
      </c>
      <c r="L9" s="689"/>
      <c r="M9" s="284">
        <v>165.57</v>
      </c>
      <c r="N9" s="274"/>
      <c r="O9" s="274"/>
      <c r="P9" s="274"/>
      <c r="Q9" s="178"/>
    </row>
    <row r="10" spans="1:17" ht="16" thickBot="1">
      <c r="A10" s="110">
        <v>7</v>
      </c>
      <c r="B10" s="132">
        <v>252</v>
      </c>
      <c r="D10" s="130">
        <f>A12</f>
        <v>9</v>
      </c>
      <c r="E10" s="124">
        <f>B12</f>
        <v>182</v>
      </c>
      <c r="F10" s="133">
        <f>B11+$G$5</f>
        <v>165.57142899999999</v>
      </c>
      <c r="G10" s="135">
        <f t="shared" ref="G10:G16" si="0">F10+0.3*(E10-F10)</f>
        <v>170.50000030000001</v>
      </c>
      <c r="H10" s="133">
        <f>G5</f>
        <v>1.571429</v>
      </c>
      <c r="I10" s="124"/>
      <c r="J10" s="115"/>
      <c r="K10" s="688" t="s">
        <v>203</v>
      </c>
      <c r="L10" s="689"/>
      <c r="M10" s="284">
        <v>1.57</v>
      </c>
      <c r="N10" s="274"/>
      <c r="O10" s="274"/>
      <c r="P10" s="274"/>
      <c r="Q10" s="178"/>
    </row>
    <row r="11" spans="1:17" ht="16" thickBot="1">
      <c r="A11" s="110">
        <v>8</v>
      </c>
      <c r="B11" s="132">
        <v>164</v>
      </c>
      <c r="D11" s="130">
        <f t="shared" ref="D11:D16" si="1">A13</f>
        <v>10</v>
      </c>
      <c r="E11" s="124">
        <f t="shared" ref="E11:E16" si="2">B13</f>
        <v>197</v>
      </c>
      <c r="F11" s="133">
        <f>G10+H10</f>
        <v>172.07142930000001</v>
      </c>
      <c r="G11" s="135">
        <f t="shared" si="0"/>
        <v>179.55000051000002</v>
      </c>
      <c r="H11" s="286">
        <f>H10+0.4*(F11-F10-H10)</f>
        <v>3.5428575200000045</v>
      </c>
      <c r="I11" s="116"/>
      <c r="J11" s="115"/>
      <c r="K11" s="176"/>
      <c r="L11" s="177"/>
      <c r="M11" s="177"/>
      <c r="N11" s="177"/>
      <c r="O11" s="177"/>
      <c r="P11" s="177"/>
      <c r="Q11" s="178"/>
    </row>
    <row r="12" spans="1:17">
      <c r="A12" s="549">
        <v>9</v>
      </c>
      <c r="B12" s="132">
        <v>182</v>
      </c>
      <c r="D12" s="130">
        <f t="shared" si="1"/>
        <v>11</v>
      </c>
      <c r="E12" s="124">
        <f t="shared" si="2"/>
        <v>209</v>
      </c>
      <c r="F12" s="133">
        <f t="shared" ref="F12:F17" si="3">G11+H11</f>
        <v>183.09285803000003</v>
      </c>
      <c r="G12" s="135">
        <f t="shared" si="0"/>
        <v>190.86500062100004</v>
      </c>
      <c r="H12" s="286">
        <f t="shared" ref="H12" si="4">H11+0.4*(F12-F11-H11)</f>
        <v>6.5342860040000126</v>
      </c>
      <c r="I12" s="116"/>
      <c r="J12" s="115"/>
      <c r="K12" s="179" t="s">
        <v>121</v>
      </c>
      <c r="L12" s="162">
        <v>33.925698518333355</v>
      </c>
      <c r="M12" s="177"/>
      <c r="N12" s="278"/>
      <c r="O12" s="177"/>
      <c r="P12" s="285"/>
      <c r="Q12" s="178"/>
    </row>
    <row r="13" spans="1:17" ht="16" thickBot="1">
      <c r="A13" s="549">
        <v>10</v>
      </c>
      <c r="B13" s="132">
        <v>197</v>
      </c>
      <c r="D13" s="130">
        <f t="shared" si="1"/>
        <v>12</v>
      </c>
      <c r="E13" s="124">
        <f t="shared" si="2"/>
        <v>217</v>
      </c>
      <c r="F13" s="133">
        <f t="shared" si="3"/>
        <v>197.39928662500006</v>
      </c>
      <c r="G13" s="135">
        <f t="shared" si="0"/>
        <v>203.27950063750004</v>
      </c>
      <c r="H13" s="286">
        <f t="shared" ref="H13:H16" si="5">H12+0.4*(F13-F12-H12)</f>
        <v>9.6431430404000196</v>
      </c>
      <c r="I13" s="116"/>
      <c r="J13" s="115"/>
      <c r="K13" s="179" t="s">
        <v>122</v>
      </c>
      <c r="L13" s="163">
        <v>0.14057609883287303</v>
      </c>
      <c r="M13" s="177"/>
      <c r="N13" s="278"/>
      <c r="O13" s="177"/>
      <c r="P13" s="209"/>
      <c r="Q13" s="178"/>
    </row>
    <row r="14" spans="1:17" ht="16" thickBot="1">
      <c r="A14" s="549">
        <v>11</v>
      </c>
      <c r="B14" s="132">
        <v>209</v>
      </c>
      <c r="D14" s="130">
        <f t="shared" si="1"/>
        <v>13</v>
      </c>
      <c r="E14" s="124">
        <f t="shared" si="2"/>
        <v>222</v>
      </c>
      <c r="F14" s="133">
        <f t="shared" si="3"/>
        <v>212.92264367790006</v>
      </c>
      <c r="G14" s="135">
        <f t="shared" si="0"/>
        <v>215.64585057453004</v>
      </c>
      <c r="H14" s="286">
        <f t="shared" si="5"/>
        <v>11.99522864540001</v>
      </c>
      <c r="I14" s="116"/>
      <c r="J14" s="115"/>
      <c r="K14" s="176"/>
      <c r="L14" s="177"/>
      <c r="M14" s="177"/>
      <c r="N14" s="177"/>
      <c r="O14" s="177"/>
      <c r="P14" s="177"/>
      <c r="Q14" s="178"/>
    </row>
    <row r="15" spans="1:17" ht="15.75" customHeight="1" thickBot="1">
      <c r="A15" s="549">
        <v>12</v>
      </c>
      <c r="B15" s="132">
        <v>217</v>
      </c>
      <c r="D15" s="130">
        <f t="shared" si="1"/>
        <v>14</v>
      </c>
      <c r="E15" s="124">
        <f t="shared" si="2"/>
        <v>263</v>
      </c>
      <c r="F15" s="133">
        <f t="shared" si="3"/>
        <v>227.64107921993005</v>
      </c>
      <c r="G15" s="135">
        <f t="shared" si="0"/>
        <v>238.24875545395105</v>
      </c>
      <c r="H15" s="286">
        <f t="shared" si="5"/>
        <v>13.084511404052003</v>
      </c>
      <c r="I15" s="116"/>
      <c r="J15" s="115"/>
      <c r="K15" s="164" t="s">
        <v>39</v>
      </c>
      <c r="L15" s="164" t="s">
        <v>38</v>
      </c>
      <c r="M15" s="164" t="s">
        <v>185</v>
      </c>
      <c r="N15" s="164" t="s">
        <v>204</v>
      </c>
      <c r="O15" s="164" t="s">
        <v>205</v>
      </c>
      <c r="P15" s="164" t="s">
        <v>37</v>
      </c>
      <c r="Q15" s="165" t="s">
        <v>123</v>
      </c>
    </row>
    <row r="16" spans="1:17">
      <c r="A16" s="549">
        <v>13</v>
      </c>
      <c r="B16" s="132">
        <v>222</v>
      </c>
      <c r="D16" s="130">
        <f t="shared" si="1"/>
        <v>15</v>
      </c>
      <c r="E16" s="124">
        <f t="shared" si="2"/>
        <v>340</v>
      </c>
      <c r="F16" s="133">
        <f t="shared" si="3"/>
        <v>251.33326685800304</v>
      </c>
      <c r="G16" s="135">
        <f t="shared" si="0"/>
        <v>277.9332868006021</v>
      </c>
      <c r="H16" s="286">
        <f t="shared" si="5"/>
        <v>17.327581897660401</v>
      </c>
      <c r="I16" s="116"/>
      <c r="J16" s="115"/>
      <c r="K16" s="166">
        <v>1</v>
      </c>
      <c r="L16" s="200">
        <v>175</v>
      </c>
      <c r="M16" s="168" t="s">
        <v>124</v>
      </c>
      <c r="N16" s="169" t="s">
        <v>124</v>
      </c>
      <c r="O16" s="169" t="s">
        <v>124</v>
      </c>
      <c r="P16" s="169" t="s">
        <v>124</v>
      </c>
      <c r="Q16" s="170" t="s">
        <v>124</v>
      </c>
    </row>
    <row r="17" spans="1:17">
      <c r="A17" s="549">
        <v>14</v>
      </c>
      <c r="B17" s="132">
        <v>263</v>
      </c>
      <c r="D17" s="130">
        <v>16</v>
      </c>
      <c r="E17" s="124"/>
      <c r="F17" s="133">
        <f t="shared" si="3"/>
        <v>295.26086869826253</v>
      </c>
      <c r="G17" s="124"/>
      <c r="H17" s="131"/>
      <c r="I17" s="116"/>
      <c r="J17" s="115"/>
      <c r="K17" s="171">
        <v>2</v>
      </c>
      <c r="L17" s="167">
        <v>188</v>
      </c>
      <c r="M17" s="172" t="s">
        <v>124</v>
      </c>
      <c r="N17" s="173" t="s">
        <v>124</v>
      </c>
      <c r="O17" s="173" t="s">
        <v>124</v>
      </c>
      <c r="P17" s="173" t="s">
        <v>124</v>
      </c>
      <c r="Q17" s="174" t="s">
        <v>124</v>
      </c>
    </row>
    <row r="18" spans="1:17">
      <c r="A18" s="549">
        <v>15</v>
      </c>
      <c r="B18" s="132">
        <v>340</v>
      </c>
      <c r="D18" s="130"/>
      <c r="E18" s="124"/>
      <c r="F18" s="124"/>
      <c r="G18" s="124"/>
      <c r="H18" s="124"/>
      <c r="I18" s="124"/>
      <c r="J18" s="115"/>
      <c r="K18" s="171">
        <v>3</v>
      </c>
      <c r="L18" s="167">
        <v>217</v>
      </c>
      <c r="M18" s="172" t="s">
        <v>124</v>
      </c>
      <c r="N18" s="173" t="s">
        <v>124</v>
      </c>
      <c r="O18" s="173" t="s">
        <v>124</v>
      </c>
      <c r="P18" s="173" t="s">
        <v>124</v>
      </c>
      <c r="Q18" s="174" t="s">
        <v>124</v>
      </c>
    </row>
    <row r="19" spans="1:17">
      <c r="B19" s="132"/>
      <c r="D19" s="125"/>
      <c r="E19" s="126"/>
      <c r="F19" s="124"/>
      <c r="G19" s="117"/>
      <c r="H19" s="124"/>
      <c r="I19" s="126"/>
      <c r="J19" s="115"/>
      <c r="K19" s="171">
        <v>4</v>
      </c>
      <c r="L19" s="167">
        <v>234</v>
      </c>
      <c r="M19" s="172" t="s">
        <v>124</v>
      </c>
      <c r="N19" s="173" t="s">
        <v>124</v>
      </c>
      <c r="O19" s="173" t="s">
        <v>124</v>
      </c>
      <c r="P19" s="173" t="s">
        <v>124</v>
      </c>
      <c r="Q19" s="174" t="s">
        <v>124</v>
      </c>
    </row>
    <row r="20" spans="1:17">
      <c r="D20" s="125"/>
      <c r="E20" s="127"/>
      <c r="F20" s="124"/>
      <c r="G20" s="117"/>
      <c r="H20" s="124"/>
      <c r="I20" s="127"/>
      <c r="J20" s="115"/>
      <c r="K20" s="171">
        <v>5</v>
      </c>
      <c r="L20" s="167">
        <v>244</v>
      </c>
      <c r="M20" s="172" t="s">
        <v>124</v>
      </c>
      <c r="N20" s="173" t="s">
        <v>124</v>
      </c>
      <c r="O20" s="173" t="s">
        <v>124</v>
      </c>
      <c r="P20" s="173" t="s">
        <v>124</v>
      </c>
      <c r="Q20" s="174" t="s">
        <v>124</v>
      </c>
    </row>
    <row r="21" spans="1:17">
      <c r="D21" s="125"/>
      <c r="E21" s="127"/>
      <c r="F21" s="124"/>
      <c r="G21" s="117"/>
      <c r="H21" s="124"/>
      <c r="I21" s="127"/>
      <c r="J21" s="115"/>
      <c r="K21" s="171">
        <v>6</v>
      </c>
      <c r="L21" s="167">
        <v>256</v>
      </c>
      <c r="M21" s="172" t="s">
        <v>124</v>
      </c>
      <c r="N21" s="173" t="s">
        <v>124</v>
      </c>
      <c r="O21" s="173" t="s">
        <v>124</v>
      </c>
      <c r="P21" s="173" t="s">
        <v>124</v>
      </c>
      <c r="Q21" s="174" t="s">
        <v>124</v>
      </c>
    </row>
    <row r="22" spans="1:17">
      <c r="D22" s="124"/>
      <c r="E22" s="124"/>
      <c r="F22" s="124"/>
      <c r="G22" s="124"/>
      <c r="H22" s="124"/>
      <c r="I22" s="124"/>
      <c r="J22" s="115"/>
      <c r="K22" s="171">
        <v>7</v>
      </c>
      <c r="L22" s="167">
        <v>252</v>
      </c>
      <c r="M22" s="172" t="s">
        <v>124</v>
      </c>
      <c r="N22" s="173" t="s">
        <v>124</v>
      </c>
      <c r="O22" s="173" t="s">
        <v>124</v>
      </c>
      <c r="P22" s="173" t="s">
        <v>124</v>
      </c>
      <c r="Q22" s="174" t="s">
        <v>124</v>
      </c>
    </row>
    <row r="23" spans="1:17">
      <c r="D23" s="116"/>
      <c r="E23" s="116"/>
      <c r="F23" s="116"/>
      <c r="G23" s="116"/>
      <c r="H23" s="116"/>
      <c r="I23" s="116"/>
      <c r="J23" s="118"/>
      <c r="K23" s="171">
        <v>8</v>
      </c>
      <c r="L23" s="167">
        <v>164</v>
      </c>
      <c r="M23" s="172" t="s">
        <v>124</v>
      </c>
      <c r="N23" s="173" t="s">
        <v>124</v>
      </c>
      <c r="O23" s="173" t="s">
        <v>124</v>
      </c>
      <c r="P23" s="173" t="s">
        <v>124</v>
      </c>
      <c r="Q23" s="174" t="s">
        <v>124</v>
      </c>
    </row>
    <row r="24" spans="1:17">
      <c r="D24" s="116"/>
      <c r="E24" s="128"/>
      <c r="F24" s="129"/>
      <c r="G24" s="129"/>
      <c r="H24" s="129"/>
      <c r="I24" s="129"/>
      <c r="J24" s="120"/>
      <c r="K24" s="171">
        <v>9</v>
      </c>
      <c r="L24" s="167">
        <v>182</v>
      </c>
      <c r="M24" s="172" t="s">
        <v>124</v>
      </c>
      <c r="N24" s="173">
        <v>170.499</v>
      </c>
      <c r="O24" s="173">
        <v>1.57</v>
      </c>
      <c r="P24" s="173" t="s">
        <v>124</v>
      </c>
      <c r="Q24" s="174" t="s">
        <v>124</v>
      </c>
    </row>
    <row r="25" spans="1:17">
      <c r="D25" s="116"/>
      <c r="E25" s="128"/>
      <c r="F25" s="129"/>
      <c r="G25" s="129"/>
      <c r="H25" s="129"/>
      <c r="I25" s="129"/>
      <c r="J25" s="120"/>
      <c r="K25" s="171">
        <v>10</v>
      </c>
      <c r="L25" s="167">
        <v>197</v>
      </c>
      <c r="M25" s="172">
        <v>172.06899999999999</v>
      </c>
      <c r="N25" s="173">
        <v>179.54829999999998</v>
      </c>
      <c r="O25" s="173">
        <v>3.5415999999999981</v>
      </c>
      <c r="P25" s="173">
        <v>24.931000000000012</v>
      </c>
      <c r="Q25" s="174">
        <v>1</v>
      </c>
    </row>
    <row r="26" spans="1:17">
      <c r="D26" s="116"/>
      <c r="E26" s="128"/>
      <c r="F26" s="129"/>
      <c r="G26" s="129"/>
      <c r="H26" s="129"/>
      <c r="I26" s="129"/>
      <c r="J26" s="120"/>
      <c r="K26" s="171">
        <v>11</v>
      </c>
      <c r="L26" s="167">
        <v>209</v>
      </c>
      <c r="M26" s="172">
        <v>183.08989999999997</v>
      </c>
      <c r="N26" s="173">
        <v>190.86292999999998</v>
      </c>
      <c r="O26" s="173">
        <v>6.5333199999999927</v>
      </c>
      <c r="P26" s="173">
        <v>25.910100000000028</v>
      </c>
      <c r="Q26" s="174">
        <v>2</v>
      </c>
    </row>
    <row r="27" spans="1:17">
      <c r="D27" s="116"/>
      <c r="E27" s="128"/>
      <c r="F27" s="129"/>
      <c r="G27" s="129"/>
      <c r="H27" s="129"/>
      <c r="I27" s="129"/>
      <c r="J27" s="120"/>
      <c r="K27" s="171">
        <v>12</v>
      </c>
      <c r="L27" s="167">
        <v>217</v>
      </c>
      <c r="M27" s="172">
        <v>197.39624999999998</v>
      </c>
      <c r="N27" s="173">
        <v>203.27737499999998</v>
      </c>
      <c r="O27" s="173">
        <v>9.6425319999999992</v>
      </c>
      <c r="P27" s="173">
        <v>19.603750000000019</v>
      </c>
      <c r="Q27" s="174">
        <v>3</v>
      </c>
    </row>
    <row r="28" spans="1:17">
      <c r="D28" s="116"/>
      <c r="E28" s="128"/>
      <c r="F28" s="129"/>
      <c r="G28" s="129"/>
      <c r="H28" s="129"/>
      <c r="I28" s="129"/>
      <c r="J28" s="120"/>
      <c r="K28" s="171">
        <v>13</v>
      </c>
      <c r="L28" s="167">
        <v>222</v>
      </c>
      <c r="M28" s="172">
        <v>212.91990699999997</v>
      </c>
      <c r="N28" s="173">
        <v>215.64393489999998</v>
      </c>
      <c r="O28" s="173">
        <v>11.994981999999993</v>
      </c>
      <c r="P28" s="173">
        <v>9.0800930000000335</v>
      </c>
      <c r="Q28" s="174">
        <v>4</v>
      </c>
    </row>
    <row r="29" spans="1:17">
      <c r="D29" s="116"/>
      <c r="E29" s="119"/>
      <c r="F29" s="120"/>
      <c r="G29" s="120"/>
      <c r="H29" s="120"/>
      <c r="I29" s="120"/>
      <c r="J29" s="120"/>
      <c r="K29" s="171">
        <v>14</v>
      </c>
      <c r="L29" s="167">
        <v>263</v>
      </c>
      <c r="M29" s="172">
        <v>227.63891689999997</v>
      </c>
      <c r="N29" s="173">
        <v>238.24724182999998</v>
      </c>
      <c r="O29" s="173">
        <v>13.084593159999997</v>
      </c>
      <c r="P29" s="173">
        <v>35.36108310000003</v>
      </c>
      <c r="Q29" s="174">
        <v>5</v>
      </c>
    </row>
    <row r="30" spans="1:17">
      <c r="D30" s="116"/>
      <c r="E30" s="119"/>
      <c r="F30" s="120"/>
      <c r="G30" s="120"/>
      <c r="H30" s="120"/>
      <c r="I30" s="120"/>
      <c r="J30" s="120"/>
      <c r="K30" s="171">
        <v>15</v>
      </c>
      <c r="L30" s="167">
        <v>340</v>
      </c>
      <c r="M30" s="172">
        <v>251.33183498999998</v>
      </c>
      <c r="N30" s="173">
        <v>277.932284493</v>
      </c>
      <c r="O30" s="173">
        <v>17.327923132000002</v>
      </c>
      <c r="P30" s="173">
        <v>88.668165010000024</v>
      </c>
      <c r="Q30" s="174">
        <v>6</v>
      </c>
    </row>
    <row r="31" spans="1:17" ht="16" thickBot="1">
      <c r="D31" s="116"/>
      <c r="E31" s="119"/>
      <c r="F31" s="120"/>
      <c r="G31" s="120"/>
      <c r="H31" s="120"/>
      <c r="I31" s="120"/>
      <c r="J31" s="120"/>
      <c r="K31" s="182">
        <v>16</v>
      </c>
      <c r="L31" s="183"/>
      <c r="M31" s="184">
        <v>295.26020762500002</v>
      </c>
      <c r="N31" s="185" t="s">
        <v>124</v>
      </c>
      <c r="O31" s="185" t="s">
        <v>124</v>
      </c>
      <c r="P31" s="185" t="s">
        <v>124</v>
      </c>
      <c r="Q31" s="186" t="s">
        <v>124</v>
      </c>
    </row>
    <row r="32" spans="1:17">
      <c r="D32" s="116"/>
      <c r="E32" s="119"/>
      <c r="F32" s="120"/>
      <c r="G32" s="120"/>
      <c r="H32" s="120"/>
      <c r="I32" s="120"/>
      <c r="J32" s="120"/>
      <c r="K32" s="11"/>
    </row>
    <row r="33" spans="4:11">
      <c r="D33" s="116"/>
      <c r="E33" s="119"/>
      <c r="F33" s="120"/>
      <c r="G33" s="120"/>
      <c r="H33" s="120"/>
      <c r="I33" s="120"/>
      <c r="J33" s="120"/>
      <c r="K33" s="11"/>
    </row>
    <row r="34" spans="4:11">
      <c r="D34" s="116"/>
      <c r="E34" s="119"/>
      <c r="F34" s="120"/>
      <c r="G34" s="120"/>
      <c r="H34" s="120"/>
      <c r="I34" s="120"/>
      <c r="J34" s="120"/>
      <c r="K34" s="11"/>
    </row>
    <row r="35" spans="4:11">
      <c r="D35" s="116"/>
      <c r="E35" s="119"/>
      <c r="F35" s="120"/>
      <c r="G35" s="120"/>
      <c r="H35" s="120"/>
      <c r="I35" s="120"/>
      <c r="J35" s="120"/>
      <c r="K35" s="11"/>
    </row>
    <row r="36" spans="4:11">
      <c r="D36" s="116"/>
      <c r="E36" s="119"/>
      <c r="F36" s="120"/>
      <c r="G36" s="120"/>
      <c r="H36" s="120"/>
      <c r="I36" s="120"/>
      <c r="J36" s="120"/>
      <c r="K36" s="11"/>
    </row>
    <row r="37" spans="4:11">
      <c r="D37" s="116"/>
      <c r="E37" s="119"/>
      <c r="F37" s="120"/>
      <c r="G37" s="120"/>
      <c r="H37" s="120"/>
      <c r="I37" s="120"/>
      <c r="J37" s="120"/>
      <c r="K37" s="11"/>
    </row>
    <row r="38" spans="4:11">
      <c r="D38" s="116"/>
      <c r="E38" s="119"/>
      <c r="F38" s="120"/>
      <c r="G38" s="120"/>
      <c r="H38" s="120"/>
      <c r="I38" s="120"/>
      <c r="J38" s="120"/>
      <c r="K38" s="11"/>
    </row>
    <row r="39" spans="4:11">
      <c r="D39" s="116"/>
      <c r="E39" s="119"/>
      <c r="F39" s="120"/>
      <c r="G39" s="120"/>
      <c r="H39" s="120"/>
      <c r="I39" s="120"/>
      <c r="J39" s="120"/>
      <c r="K39" s="11"/>
    </row>
    <row r="40" spans="4:11">
      <c r="D40" s="116"/>
      <c r="E40" s="119"/>
      <c r="F40" s="120"/>
      <c r="G40" s="120"/>
      <c r="H40" s="120"/>
      <c r="I40" s="120"/>
      <c r="J40" s="120"/>
      <c r="K40" s="11"/>
    </row>
    <row r="41" spans="4:11">
      <c r="D41" s="116"/>
      <c r="E41" s="121"/>
      <c r="F41" s="120"/>
      <c r="G41" s="120"/>
      <c r="H41" s="120"/>
      <c r="I41" s="120"/>
      <c r="J41" s="120"/>
      <c r="K41" s="11"/>
    </row>
    <row r="42" spans="4:11">
      <c r="D42" s="11"/>
      <c r="E42" s="11"/>
      <c r="F42" s="11"/>
      <c r="G42" s="11"/>
      <c r="H42" s="11"/>
      <c r="I42" s="11"/>
      <c r="J42" s="11"/>
      <c r="K42" s="11"/>
    </row>
  </sheetData>
  <mergeCells count="8">
    <mergeCell ref="K8:L8"/>
    <mergeCell ref="K9:L9"/>
    <mergeCell ref="K10:L10"/>
    <mergeCell ref="D4:G4"/>
    <mergeCell ref="K2:P2"/>
    <mergeCell ref="K4:M4"/>
    <mergeCell ref="K5:M5"/>
    <mergeCell ref="K7:N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82"/>
  <sheetViews>
    <sheetView topLeftCell="A39" workbookViewId="0">
      <selection activeCell="I53" sqref="I53"/>
    </sheetView>
  </sheetViews>
  <sheetFormatPr baseColWidth="10" defaultColWidth="8.83203125" defaultRowHeight="15"/>
  <cols>
    <col min="1" max="1" width="13.83203125" customWidth="1"/>
    <col min="4" max="4" width="10.5" customWidth="1"/>
    <col min="8" max="8" width="12.6640625" customWidth="1"/>
    <col min="10" max="10" width="12.5" customWidth="1"/>
    <col min="257" max="257" width="13.83203125" customWidth="1"/>
    <col min="260" max="260" width="10.5" customWidth="1"/>
    <col min="264" max="264" width="12.6640625" customWidth="1"/>
    <col min="266" max="266" width="12.5" customWidth="1"/>
    <col min="513" max="513" width="13.83203125" customWidth="1"/>
    <col min="516" max="516" width="10.5" customWidth="1"/>
    <col min="520" max="520" width="12.6640625" customWidth="1"/>
    <col min="522" max="522" width="12.5" customWidth="1"/>
    <col min="769" max="769" width="13.83203125" customWidth="1"/>
    <col min="772" max="772" width="10.5" customWidth="1"/>
    <col min="776" max="776" width="12.6640625" customWidth="1"/>
    <col min="778" max="778" width="12.5" customWidth="1"/>
    <col min="1025" max="1025" width="13.83203125" customWidth="1"/>
    <col min="1028" max="1028" width="10.5" customWidth="1"/>
    <col min="1032" max="1032" width="12.6640625" customWidth="1"/>
    <col min="1034" max="1034" width="12.5" customWidth="1"/>
    <col min="1281" max="1281" width="13.83203125" customWidth="1"/>
    <col min="1284" max="1284" width="10.5" customWidth="1"/>
    <col min="1288" max="1288" width="12.6640625" customWidth="1"/>
    <col min="1290" max="1290" width="12.5" customWidth="1"/>
    <col min="1537" max="1537" width="13.83203125" customWidth="1"/>
    <col min="1540" max="1540" width="10.5" customWidth="1"/>
    <col min="1544" max="1544" width="12.6640625" customWidth="1"/>
    <col min="1546" max="1546" width="12.5" customWidth="1"/>
    <col min="1793" max="1793" width="13.83203125" customWidth="1"/>
    <col min="1796" max="1796" width="10.5" customWidth="1"/>
    <col min="1800" max="1800" width="12.6640625" customWidth="1"/>
    <col min="1802" max="1802" width="12.5" customWidth="1"/>
    <col min="2049" max="2049" width="13.83203125" customWidth="1"/>
    <col min="2052" max="2052" width="10.5" customWidth="1"/>
    <col min="2056" max="2056" width="12.6640625" customWidth="1"/>
    <col min="2058" max="2058" width="12.5" customWidth="1"/>
    <col min="2305" max="2305" width="13.83203125" customWidth="1"/>
    <col min="2308" max="2308" width="10.5" customWidth="1"/>
    <col min="2312" max="2312" width="12.6640625" customWidth="1"/>
    <col min="2314" max="2314" width="12.5" customWidth="1"/>
    <col min="2561" max="2561" width="13.83203125" customWidth="1"/>
    <col min="2564" max="2564" width="10.5" customWidth="1"/>
    <col min="2568" max="2568" width="12.6640625" customWidth="1"/>
    <col min="2570" max="2570" width="12.5" customWidth="1"/>
    <col min="2817" max="2817" width="13.83203125" customWidth="1"/>
    <col min="2820" max="2820" width="10.5" customWidth="1"/>
    <col min="2824" max="2824" width="12.6640625" customWidth="1"/>
    <col min="2826" max="2826" width="12.5" customWidth="1"/>
    <col min="3073" max="3073" width="13.83203125" customWidth="1"/>
    <col min="3076" max="3076" width="10.5" customWidth="1"/>
    <col min="3080" max="3080" width="12.6640625" customWidth="1"/>
    <col min="3082" max="3082" width="12.5" customWidth="1"/>
    <col min="3329" max="3329" width="13.83203125" customWidth="1"/>
    <col min="3332" max="3332" width="10.5" customWidth="1"/>
    <col min="3336" max="3336" width="12.6640625" customWidth="1"/>
    <col min="3338" max="3338" width="12.5" customWidth="1"/>
    <col min="3585" max="3585" width="13.83203125" customWidth="1"/>
    <col min="3588" max="3588" width="10.5" customWidth="1"/>
    <col min="3592" max="3592" width="12.6640625" customWidth="1"/>
    <col min="3594" max="3594" width="12.5" customWidth="1"/>
    <col min="3841" max="3841" width="13.83203125" customWidth="1"/>
    <col min="3844" max="3844" width="10.5" customWidth="1"/>
    <col min="3848" max="3848" width="12.6640625" customWidth="1"/>
    <col min="3850" max="3850" width="12.5" customWidth="1"/>
    <col min="4097" max="4097" width="13.83203125" customWidth="1"/>
    <col min="4100" max="4100" width="10.5" customWidth="1"/>
    <col min="4104" max="4104" width="12.6640625" customWidth="1"/>
    <col min="4106" max="4106" width="12.5" customWidth="1"/>
    <col min="4353" max="4353" width="13.83203125" customWidth="1"/>
    <col min="4356" max="4356" width="10.5" customWidth="1"/>
    <col min="4360" max="4360" width="12.6640625" customWidth="1"/>
    <col min="4362" max="4362" width="12.5" customWidth="1"/>
    <col min="4609" max="4609" width="13.83203125" customWidth="1"/>
    <col min="4612" max="4612" width="10.5" customWidth="1"/>
    <col min="4616" max="4616" width="12.6640625" customWidth="1"/>
    <col min="4618" max="4618" width="12.5" customWidth="1"/>
    <col min="4865" max="4865" width="13.83203125" customWidth="1"/>
    <col min="4868" max="4868" width="10.5" customWidth="1"/>
    <col min="4872" max="4872" width="12.6640625" customWidth="1"/>
    <col min="4874" max="4874" width="12.5" customWidth="1"/>
    <col min="5121" max="5121" width="13.83203125" customWidth="1"/>
    <col min="5124" max="5124" width="10.5" customWidth="1"/>
    <col min="5128" max="5128" width="12.6640625" customWidth="1"/>
    <col min="5130" max="5130" width="12.5" customWidth="1"/>
    <col min="5377" max="5377" width="13.83203125" customWidth="1"/>
    <col min="5380" max="5380" width="10.5" customWidth="1"/>
    <col min="5384" max="5384" width="12.6640625" customWidth="1"/>
    <col min="5386" max="5386" width="12.5" customWidth="1"/>
    <col min="5633" max="5633" width="13.83203125" customWidth="1"/>
    <col min="5636" max="5636" width="10.5" customWidth="1"/>
    <col min="5640" max="5640" width="12.6640625" customWidth="1"/>
    <col min="5642" max="5642" width="12.5" customWidth="1"/>
    <col min="5889" max="5889" width="13.83203125" customWidth="1"/>
    <col min="5892" max="5892" width="10.5" customWidth="1"/>
    <col min="5896" max="5896" width="12.6640625" customWidth="1"/>
    <col min="5898" max="5898" width="12.5" customWidth="1"/>
    <col min="6145" max="6145" width="13.83203125" customWidth="1"/>
    <col min="6148" max="6148" width="10.5" customWidth="1"/>
    <col min="6152" max="6152" width="12.6640625" customWidth="1"/>
    <col min="6154" max="6154" width="12.5" customWidth="1"/>
    <col min="6401" max="6401" width="13.83203125" customWidth="1"/>
    <col min="6404" max="6404" width="10.5" customWidth="1"/>
    <col min="6408" max="6408" width="12.6640625" customWidth="1"/>
    <col min="6410" max="6410" width="12.5" customWidth="1"/>
    <col min="6657" max="6657" width="13.83203125" customWidth="1"/>
    <col min="6660" max="6660" width="10.5" customWidth="1"/>
    <col min="6664" max="6664" width="12.6640625" customWidth="1"/>
    <col min="6666" max="6666" width="12.5" customWidth="1"/>
    <col min="6913" max="6913" width="13.83203125" customWidth="1"/>
    <col min="6916" max="6916" width="10.5" customWidth="1"/>
    <col min="6920" max="6920" width="12.6640625" customWidth="1"/>
    <col min="6922" max="6922" width="12.5" customWidth="1"/>
    <col min="7169" max="7169" width="13.83203125" customWidth="1"/>
    <col min="7172" max="7172" width="10.5" customWidth="1"/>
    <col min="7176" max="7176" width="12.6640625" customWidth="1"/>
    <col min="7178" max="7178" width="12.5" customWidth="1"/>
    <col min="7425" max="7425" width="13.83203125" customWidth="1"/>
    <col min="7428" max="7428" width="10.5" customWidth="1"/>
    <col min="7432" max="7432" width="12.6640625" customWidth="1"/>
    <col min="7434" max="7434" width="12.5" customWidth="1"/>
    <col min="7681" max="7681" width="13.83203125" customWidth="1"/>
    <col min="7684" max="7684" width="10.5" customWidth="1"/>
    <col min="7688" max="7688" width="12.6640625" customWidth="1"/>
    <col min="7690" max="7690" width="12.5" customWidth="1"/>
    <col min="7937" max="7937" width="13.83203125" customWidth="1"/>
    <col min="7940" max="7940" width="10.5" customWidth="1"/>
    <col min="7944" max="7944" width="12.6640625" customWidth="1"/>
    <col min="7946" max="7946" width="12.5" customWidth="1"/>
    <col min="8193" max="8193" width="13.83203125" customWidth="1"/>
    <col min="8196" max="8196" width="10.5" customWidth="1"/>
    <col min="8200" max="8200" width="12.6640625" customWidth="1"/>
    <col min="8202" max="8202" width="12.5" customWidth="1"/>
    <col min="8449" max="8449" width="13.83203125" customWidth="1"/>
    <col min="8452" max="8452" width="10.5" customWidth="1"/>
    <col min="8456" max="8456" width="12.6640625" customWidth="1"/>
    <col min="8458" max="8458" width="12.5" customWidth="1"/>
    <col min="8705" max="8705" width="13.83203125" customWidth="1"/>
    <col min="8708" max="8708" width="10.5" customWidth="1"/>
    <col min="8712" max="8712" width="12.6640625" customWidth="1"/>
    <col min="8714" max="8714" width="12.5" customWidth="1"/>
    <col min="8961" max="8961" width="13.83203125" customWidth="1"/>
    <col min="8964" max="8964" width="10.5" customWidth="1"/>
    <col min="8968" max="8968" width="12.6640625" customWidth="1"/>
    <col min="8970" max="8970" width="12.5" customWidth="1"/>
    <col min="9217" max="9217" width="13.83203125" customWidth="1"/>
    <col min="9220" max="9220" width="10.5" customWidth="1"/>
    <col min="9224" max="9224" width="12.6640625" customWidth="1"/>
    <col min="9226" max="9226" width="12.5" customWidth="1"/>
    <col min="9473" max="9473" width="13.83203125" customWidth="1"/>
    <col min="9476" max="9476" width="10.5" customWidth="1"/>
    <col min="9480" max="9480" width="12.6640625" customWidth="1"/>
    <col min="9482" max="9482" width="12.5" customWidth="1"/>
    <col min="9729" max="9729" width="13.83203125" customWidth="1"/>
    <col min="9732" max="9732" width="10.5" customWidth="1"/>
    <col min="9736" max="9736" width="12.6640625" customWidth="1"/>
    <col min="9738" max="9738" width="12.5" customWidth="1"/>
    <col min="9985" max="9985" width="13.83203125" customWidth="1"/>
    <col min="9988" max="9988" width="10.5" customWidth="1"/>
    <col min="9992" max="9992" width="12.6640625" customWidth="1"/>
    <col min="9994" max="9994" width="12.5" customWidth="1"/>
    <col min="10241" max="10241" width="13.83203125" customWidth="1"/>
    <col min="10244" max="10244" width="10.5" customWidth="1"/>
    <col min="10248" max="10248" width="12.6640625" customWidth="1"/>
    <col min="10250" max="10250" width="12.5" customWidth="1"/>
    <col min="10497" max="10497" width="13.83203125" customWidth="1"/>
    <col min="10500" max="10500" width="10.5" customWidth="1"/>
    <col min="10504" max="10504" width="12.6640625" customWidth="1"/>
    <col min="10506" max="10506" width="12.5" customWidth="1"/>
    <col min="10753" max="10753" width="13.83203125" customWidth="1"/>
    <col min="10756" max="10756" width="10.5" customWidth="1"/>
    <col min="10760" max="10760" width="12.6640625" customWidth="1"/>
    <col min="10762" max="10762" width="12.5" customWidth="1"/>
    <col min="11009" max="11009" width="13.83203125" customWidth="1"/>
    <col min="11012" max="11012" width="10.5" customWidth="1"/>
    <col min="11016" max="11016" width="12.6640625" customWidth="1"/>
    <col min="11018" max="11018" width="12.5" customWidth="1"/>
    <col min="11265" max="11265" width="13.83203125" customWidth="1"/>
    <col min="11268" max="11268" width="10.5" customWidth="1"/>
    <col min="11272" max="11272" width="12.6640625" customWidth="1"/>
    <col min="11274" max="11274" width="12.5" customWidth="1"/>
    <col min="11521" max="11521" width="13.83203125" customWidth="1"/>
    <col min="11524" max="11524" width="10.5" customWidth="1"/>
    <col min="11528" max="11528" width="12.6640625" customWidth="1"/>
    <col min="11530" max="11530" width="12.5" customWidth="1"/>
    <col min="11777" max="11777" width="13.83203125" customWidth="1"/>
    <col min="11780" max="11780" width="10.5" customWidth="1"/>
    <col min="11784" max="11784" width="12.6640625" customWidth="1"/>
    <col min="11786" max="11786" width="12.5" customWidth="1"/>
    <col min="12033" max="12033" width="13.83203125" customWidth="1"/>
    <col min="12036" max="12036" width="10.5" customWidth="1"/>
    <col min="12040" max="12040" width="12.6640625" customWidth="1"/>
    <col min="12042" max="12042" width="12.5" customWidth="1"/>
    <col min="12289" max="12289" width="13.83203125" customWidth="1"/>
    <col min="12292" max="12292" width="10.5" customWidth="1"/>
    <col min="12296" max="12296" width="12.6640625" customWidth="1"/>
    <col min="12298" max="12298" width="12.5" customWidth="1"/>
    <col min="12545" max="12545" width="13.83203125" customWidth="1"/>
    <col min="12548" max="12548" width="10.5" customWidth="1"/>
    <col min="12552" max="12552" width="12.6640625" customWidth="1"/>
    <col min="12554" max="12554" width="12.5" customWidth="1"/>
    <col min="12801" max="12801" width="13.83203125" customWidth="1"/>
    <col min="12804" max="12804" width="10.5" customWidth="1"/>
    <col min="12808" max="12808" width="12.6640625" customWidth="1"/>
    <col min="12810" max="12810" width="12.5" customWidth="1"/>
    <col min="13057" max="13057" width="13.83203125" customWidth="1"/>
    <col min="13060" max="13060" width="10.5" customWidth="1"/>
    <col min="13064" max="13064" width="12.6640625" customWidth="1"/>
    <col min="13066" max="13066" width="12.5" customWidth="1"/>
    <col min="13313" max="13313" width="13.83203125" customWidth="1"/>
    <col min="13316" max="13316" width="10.5" customWidth="1"/>
    <col min="13320" max="13320" width="12.6640625" customWidth="1"/>
    <col min="13322" max="13322" width="12.5" customWidth="1"/>
    <col min="13569" max="13569" width="13.83203125" customWidth="1"/>
    <col min="13572" max="13572" width="10.5" customWidth="1"/>
    <col min="13576" max="13576" width="12.6640625" customWidth="1"/>
    <col min="13578" max="13578" width="12.5" customWidth="1"/>
    <col min="13825" max="13825" width="13.83203125" customWidth="1"/>
    <col min="13828" max="13828" width="10.5" customWidth="1"/>
    <col min="13832" max="13832" width="12.6640625" customWidth="1"/>
    <col min="13834" max="13834" width="12.5" customWidth="1"/>
    <col min="14081" max="14081" width="13.83203125" customWidth="1"/>
    <col min="14084" max="14084" width="10.5" customWidth="1"/>
    <col min="14088" max="14088" width="12.6640625" customWidth="1"/>
    <col min="14090" max="14090" width="12.5" customWidth="1"/>
    <col min="14337" max="14337" width="13.83203125" customWidth="1"/>
    <col min="14340" max="14340" width="10.5" customWidth="1"/>
    <col min="14344" max="14344" width="12.6640625" customWidth="1"/>
    <col min="14346" max="14346" width="12.5" customWidth="1"/>
    <col min="14593" max="14593" width="13.83203125" customWidth="1"/>
    <col min="14596" max="14596" width="10.5" customWidth="1"/>
    <col min="14600" max="14600" width="12.6640625" customWidth="1"/>
    <col min="14602" max="14602" width="12.5" customWidth="1"/>
    <col min="14849" max="14849" width="13.83203125" customWidth="1"/>
    <col min="14852" max="14852" width="10.5" customWidth="1"/>
    <col min="14856" max="14856" width="12.6640625" customWidth="1"/>
    <col min="14858" max="14858" width="12.5" customWidth="1"/>
    <col min="15105" max="15105" width="13.83203125" customWidth="1"/>
    <col min="15108" max="15108" width="10.5" customWidth="1"/>
    <col min="15112" max="15112" width="12.6640625" customWidth="1"/>
    <col min="15114" max="15114" width="12.5" customWidth="1"/>
    <col min="15361" max="15361" width="13.83203125" customWidth="1"/>
    <col min="15364" max="15364" width="10.5" customWidth="1"/>
    <col min="15368" max="15368" width="12.6640625" customWidth="1"/>
    <col min="15370" max="15370" width="12.5" customWidth="1"/>
    <col min="15617" max="15617" width="13.83203125" customWidth="1"/>
    <col min="15620" max="15620" width="10.5" customWidth="1"/>
    <col min="15624" max="15624" width="12.6640625" customWidth="1"/>
    <col min="15626" max="15626" width="12.5" customWidth="1"/>
    <col min="15873" max="15873" width="13.83203125" customWidth="1"/>
    <col min="15876" max="15876" width="10.5" customWidth="1"/>
    <col min="15880" max="15880" width="12.6640625" customWidth="1"/>
    <col min="15882" max="15882" width="12.5" customWidth="1"/>
    <col min="16129" max="16129" width="13.83203125" customWidth="1"/>
    <col min="16132" max="16132" width="10.5" customWidth="1"/>
    <col min="16136" max="16136" width="12.6640625" customWidth="1"/>
    <col min="16138" max="16138" width="12.5" customWidth="1"/>
  </cols>
  <sheetData>
    <row r="1" spans="1:10">
      <c r="A1" s="1" t="s">
        <v>269</v>
      </c>
    </row>
    <row r="2" spans="1:10">
      <c r="A2" s="1"/>
    </row>
    <row r="3" spans="1:10">
      <c r="A3" s="530" t="s">
        <v>244</v>
      </c>
      <c r="B3" s="326"/>
      <c r="C3" s="326"/>
      <c r="D3" s="326"/>
      <c r="E3" s="326"/>
      <c r="F3" s="326"/>
      <c r="G3" s="326"/>
      <c r="H3" s="326"/>
      <c r="I3" s="326"/>
      <c r="J3" s="328"/>
    </row>
    <row r="4" spans="1:10">
      <c r="G4" s="291" t="s">
        <v>100</v>
      </c>
      <c r="H4" s="136"/>
      <c r="J4" s="136"/>
    </row>
    <row r="5" spans="1:10">
      <c r="B5" s="291" t="s">
        <v>101</v>
      </c>
      <c r="C5" s="291" t="s">
        <v>102</v>
      </c>
      <c r="D5" s="291" t="s">
        <v>103</v>
      </c>
      <c r="E5" s="291" t="s">
        <v>104</v>
      </c>
      <c r="F5" s="291" t="s">
        <v>105</v>
      </c>
      <c r="G5" s="137" t="s">
        <v>106</v>
      </c>
      <c r="H5" s="138"/>
      <c r="I5" s="82"/>
      <c r="J5" s="136"/>
    </row>
    <row r="6" spans="1:10">
      <c r="A6" t="s">
        <v>14</v>
      </c>
      <c r="B6">
        <v>2356</v>
      </c>
      <c r="C6">
        <v>2245</v>
      </c>
      <c r="D6">
        <v>2213</v>
      </c>
      <c r="E6">
        <v>2215</v>
      </c>
      <c r="F6">
        <v>1542</v>
      </c>
      <c r="G6" s="551">
        <f>AVERAGE(B6:F6)</f>
        <v>2114.1999999999998</v>
      </c>
      <c r="H6" s="140"/>
    </row>
    <row r="7" spans="1:10">
      <c r="A7" t="s">
        <v>15</v>
      </c>
      <c r="B7">
        <v>2427</v>
      </c>
      <c r="C7">
        <v>2312</v>
      </c>
      <c r="D7">
        <v>2279</v>
      </c>
      <c r="E7">
        <v>2281</v>
      </c>
      <c r="F7">
        <v>1588</v>
      </c>
      <c r="G7" s="551">
        <f t="shared" ref="G7:G17" si="0">AVERAGE(B7:F7)</f>
        <v>2177.4</v>
      </c>
      <c r="H7" s="140"/>
    </row>
    <row r="8" spans="1:10">
      <c r="A8" t="s">
        <v>16</v>
      </c>
      <c r="B8">
        <v>2309</v>
      </c>
      <c r="C8">
        <v>2200</v>
      </c>
      <c r="D8">
        <v>2169</v>
      </c>
      <c r="E8">
        <v>2171</v>
      </c>
      <c r="F8">
        <v>1511</v>
      </c>
      <c r="G8" s="551">
        <f t="shared" si="0"/>
        <v>2072</v>
      </c>
      <c r="H8" s="140"/>
    </row>
    <row r="9" spans="1:10">
      <c r="A9" t="s">
        <v>4</v>
      </c>
      <c r="B9">
        <v>2299</v>
      </c>
      <c r="C9">
        <v>2191</v>
      </c>
      <c r="D9">
        <v>2160</v>
      </c>
      <c r="E9">
        <v>2162</v>
      </c>
      <c r="F9">
        <v>1505</v>
      </c>
      <c r="G9" s="551">
        <f t="shared" si="0"/>
        <v>2063.4</v>
      </c>
    </row>
    <row r="10" spans="1:10">
      <c r="A10" t="s">
        <v>5</v>
      </c>
      <c r="B10">
        <v>2328</v>
      </c>
      <c r="C10">
        <v>2218</v>
      </c>
      <c r="D10">
        <v>2186</v>
      </c>
      <c r="E10">
        <v>2188</v>
      </c>
      <c r="F10">
        <v>1523</v>
      </c>
      <c r="G10" s="551">
        <f t="shared" si="0"/>
        <v>2088.6</v>
      </c>
    </row>
    <row r="11" spans="1:10">
      <c r="A11" t="s">
        <v>6</v>
      </c>
      <c r="B11">
        <v>2391</v>
      </c>
      <c r="C11">
        <v>2279</v>
      </c>
      <c r="D11">
        <v>2246</v>
      </c>
      <c r="E11">
        <v>2248</v>
      </c>
      <c r="F11">
        <v>1565</v>
      </c>
      <c r="G11" s="551">
        <f t="shared" si="0"/>
        <v>2145.8000000000002</v>
      </c>
    </row>
    <row r="12" spans="1:10">
      <c r="A12" t="s">
        <v>245</v>
      </c>
      <c r="B12">
        <v>2396</v>
      </c>
      <c r="C12">
        <v>2283</v>
      </c>
      <c r="D12">
        <v>2251</v>
      </c>
      <c r="E12">
        <v>2253</v>
      </c>
      <c r="F12">
        <v>1568</v>
      </c>
      <c r="G12" s="551">
        <f t="shared" si="0"/>
        <v>2150.1999999999998</v>
      </c>
    </row>
    <row r="13" spans="1:10">
      <c r="A13" t="s">
        <v>8</v>
      </c>
      <c r="B13">
        <v>2388</v>
      </c>
      <c r="C13">
        <v>2275</v>
      </c>
      <c r="D13">
        <v>2243</v>
      </c>
      <c r="E13">
        <v>2245</v>
      </c>
      <c r="F13">
        <v>1563</v>
      </c>
      <c r="G13" s="551">
        <f t="shared" si="0"/>
        <v>2142.8000000000002</v>
      </c>
    </row>
    <row r="14" spans="1:10">
      <c r="A14" t="s">
        <v>9</v>
      </c>
      <c r="B14">
        <v>2302</v>
      </c>
      <c r="C14">
        <v>2193</v>
      </c>
      <c r="D14">
        <v>2162</v>
      </c>
      <c r="E14">
        <v>2164</v>
      </c>
      <c r="F14">
        <v>1507</v>
      </c>
      <c r="G14" s="551">
        <f t="shared" si="0"/>
        <v>2065.6</v>
      </c>
    </row>
    <row r="15" spans="1:10">
      <c r="A15" t="s">
        <v>10</v>
      </c>
      <c r="B15">
        <v>2402</v>
      </c>
      <c r="C15">
        <v>2289</v>
      </c>
      <c r="D15">
        <v>2256</v>
      </c>
      <c r="E15">
        <v>2258</v>
      </c>
      <c r="F15">
        <v>1572</v>
      </c>
      <c r="G15" s="551">
        <f t="shared" si="0"/>
        <v>2155.4</v>
      </c>
    </row>
    <row r="16" spans="1:10">
      <c r="A16" t="s">
        <v>23</v>
      </c>
      <c r="B16">
        <v>2372</v>
      </c>
      <c r="C16">
        <v>2261</v>
      </c>
      <c r="D16">
        <v>2228</v>
      </c>
      <c r="E16">
        <v>2231</v>
      </c>
      <c r="F16">
        <v>1553</v>
      </c>
      <c r="G16" s="551">
        <f t="shared" si="0"/>
        <v>2129</v>
      </c>
    </row>
    <row r="17" spans="1:10">
      <c r="A17" t="s">
        <v>24</v>
      </c>
      <c r="B17">
        <v>2382</v>
      </c>
      <c r="C17">
        <v>2270</v>
      </c>
      <c r="D17">
        <v>2237</v>
      </c>
      <c r="E17">
        <v>2239</v>
      </c>
      <c r="F17">
        <v>1559</v>
      </c>
      <c r="G17" s="551">
        <f t="shared" si="0"/>
        <v>2137.4</v>
      </c>
    </row>
    <row r="18" spans="1:10">
      <c r="B18" s="141"/>
      <c r="C18" s="141"/>
      <c r="D18" s="141"/>
      <c r="E18" s="141"/>
      <c r="F18" s="141"/>
      <c r="G18" s="139"/>
    </row>
    <row r="19" spans="1:10">
      <c r="A19" s="142"/>
      <c r="B19" s="143"/>
      <c r="C19" s="143"/>
      <c r="D19" s="143"/>
      <c r="E19" s="143"/>
      <c r="F19" s="143"/>
    </row>
    <row r="22" spans="1:10">
      <c r="A22" s="552" t="s">
        <v>316</v>
      </c>
      <c r="B22" s="553"/>
      <c r="C22" s="553"/>
    </row>
    <row r="24" spans="1:10">
      <c r="A24" s="24"/>
      <c r="B24" t="s">
        <v>38</v>
      </c>
      <c r="C24" t="s">
        <v>318</v>
      </c>
      <c r="D24" t="s">
        <v>185</v>
      </c>
      <c r="E24" t="s">
        <v>246</v>
      </c>
      <c r="F24" t="s">
        <v>107</v>
      </c>
      <c r="G24" t="s">
        <v>247</v>
      </c>
      <c r="H24" t="s">
        <v>248</v>
      </c>
      <c r="I24" t="s">
        <v>249</v>
      </c>
      <c r="J24" t="s">
        <v>108</v>
      </c>
    </row>
    <row r="25" spans="1:10">
      <c r="A25" t="s">
        <v>22</v>
      </c>
      <c r="B25" t="s">
        <v>109</v>
      </c>
      <c r="C25" t="s">
        <v>110</v>
      </c>
      <c r="D25" t="s">
        <v>37</v>
      </c>
      <c r="I25" t="s">
        <v>250</v>
      </c>
    </row>
    <row r="26" spans="1:10">
      <c r="A26" t="s">
        <v>251</v>
      </c>
      <c r="B26">
        <v>2114.1999999999998</v>
      </c>
      <c r="C26">
        <v>2108.9699999999998</v>
      </c>
      <c r="D26">
        <v>5.2297359999999999</v>
      </c>
      <c r="E26">
        <v>5.2297359999999999</v>
      </c>
      <c r="F26">
        <v>5.2297359999999999</v>
      </c>
      <c r="G26">
        <v>27.35014</v>
      </c>
      <c r="H26">
        <v>0.24736240000000001</v>
      </c>
      <c r="I26">
        <v>1</v>
      </c>
    </row>
    <row r="27" spans="1:10">
      <c r="A27" t="s">
        <v>252</v>
      </c>
      <c r="B27">
        <v>2177.4</v>
      </c>
      <c r="C27">
        <v>2111.0030000000002</v>
      </c>
      <c r="D27">
        <v>66.396969999999996</v>
      </c>
      <c r="E27">
        <v>71.626710000000003</v>
      </c>
      <c r="F27">
        <v>35.81335</v>
      </c>
      <c r="G27">
        <v>2217.9540000000002</v>
      </c>
      <c r="H27">
        <v>1.648366</v>
      </c>
      <c r="I27">
        <v>2</v>
      </c>
    </row>
    <row r="28" spans="1:10">
      <c r="A28" t="s">
        <v>253</v>
      </c>
      <c r="B28">
        <v>2072</v>
      </c>
      <c r="C28">
        <v>2113.0360000000001</v>
      </c>
      <c r="D28">
        <v>-41.035640000000001</v>
      </c>
      <c r="E28">
        <v>30.591059999999999</v>
      </c>
      <c r="F28">
        <v>37.554119999999998</v>
      </c>
      <c r="G28">
        <v>2039.944</v>
      </c>
      <c r="H28">
        <v>1.759072</v>
      </c>
      <c r="I28">
        <v>0.81458609999999998</v>
      </c>
      <c r="J28" s="86">
        <v>5.6893680000000002E-2</v>
      </c>
    </row>
    <row r="29" spans="1:10">
      <c r="A29" t="s">
        <v>254</v>
      </c>
      <c r="B29">
        <v>2063.4</v>
      </c>
      <c r="C29">
        <v>2115.0680000000002</v>
      </c>
      <c r="D29">
        <v>-51.668460000000003</v>
      </c>
      <c r="E29">
        <v>-21.077390000000001</v>
      </c>
      <c r="F29">
        <v>41.082700000000003</v>
      </c>
      <c r="G29">
        <v>2197.3649999999998</v>
      </c>
      <c r="H29">
        <v>1.9453149999999999</v>
      </c>
      <c r="I29">
        <v>-0.5130479</v>
      </c>
      <c r="J29" s="86">
        <v>1.6194489999999999E-2</v>
      </c>
    </row>
    <row r="30" spans="1:10">
      <c r="A30" t="s">
        <v>255</v>
      </c>
      <c r="B30">
        <v>2088.6</v>
      </c>
      <c r="C30">
        <v>2117.1010000000001</v>
      </c>
      <c r="D30">
        <v>-28.500979999999998</v>
      </c>
      <c r="E30">
        <v>-49.57837</v>
      </c>
      <c r="F30">
        <v>38.566360000000003</v>
      </c>
      <c r="G30">
        <v>1920.354</v>
      </c>
      <c r="H30">
        <v>1.829172</v>
      </c>
      <c r="I30">
        <v>-1.285534</v>
      </c>
      <c r="J30" s="86">
        <v>6.3465149999999998E-2</v>
      </c>
    </row>
    <row r="31" spans="1:10">
      <c r="A31" t="s">
        <v>256</v>
      </c>
      <c r="B31">
        <v>2145.8000000000002</v>
      </c>
      <c r="C31">
        <v>2119.134</v>
      </c>
      <c r="D31">
        <v>26.666260000000001</v>
      </c>
      <c r="E31">
        <v>-22.912109999999998</v>
      </c>
      <c r="F31">
        <v>36.583010000000002</v>
      </c>
      <c r="G31">
        <v>1718.809</v>
      </c>
      <c r="H31">
        <v>1.73143</v>
      </c>
      <c r="I31">
        <v>-0.62630470000000005</v>
      </c>
      <c r="J31" s="86">
        <v>1.6117670000000001E-2</v>
      </c>
    </row>
    <row r="32" spans="1:10">
      <c r="A32" t="s">
        <v>257</v>
      </c>
      <c r="B32">
        <v>2150.1999999999998</v>
      </c>
      <c r="C32">
        <v>2121.1669999999999</v>
      </c>
      <c r="D32">
        <v>29.033449999999998</v>
      </c>
      <c r="E32">
        <v>6.1213379999999997</v>
      </c>
      <c r="F32">
        <v>35.5045</v>
      </c>
      <c r="G32">
        <v>1593.6849999999999</v>
      </c>
      <c r="H32">
        <v>1.6769780000000001</v>
      </c>
      <c r="I32">
        <v>0.17241020000000001</v>
      </c>
      <c r="J32">
        <v>1.0727E-2</v>
      </c>
    </row>
    <row r="33" spans="1:10">
      <c r="A33" t="s">
        <v>258</v>
      </c>
      <c r="B33">
        <v>2142.8000000000002</v>
      </c>
      <c r="C33">
        <v>2123.1990000000001</v>
      </c>
      <c r="D33">
        <v>19.600829999999998</v>
      </c>
      <c r="E33">
        <v>25.722169999999998</v>
      </c>
      <c r="F33">
        <v>33.516539999999999</v>
      </c>
      <c r="G33">
        <v>1442.499</v>
      </c>
      <c r="H33">
        <v>1.5816969999999999</v>
      </c>
      <c r="I33">
        <v>0.76744699999999999</v>
      </c>
      <c r="J33">
        <v>2.1505400000000001E-2</v>
      </c>
    </row>
    <row r="34" spans="1:10">
      <c r="A34" t="s">
        <v>259</v>
      </c>
      <c r="B34">
        <v>2065.6</v>
      </c>
      <c r="C34">
        <v>2125.232</v>
      </c>
      <c r="D34">
        <v>-59.631839999999997</v>
      </c>
      <c r="E34">
        <v>-33.909669999999998</v>
      </c>
      <c r="F34">
        <v>36.418239999999997</v>
      </c>
      <c r="G34">
        <v>1677.327</v>
      </c>
      <c r="H34">
        <v>1.7267189999999999</v>
      </c>
      <c r="I34">
        <v>-0.93111770000000005</v>
      </c>
      <c r="J34" s="86">
        <v>2.594722E-2</v>
      </c>
    </row>
    <row r="35" spans="1:10">
      <c r="A35" t="s">
        <v>260</v>
      </c>
      <c r="B35">
        <v>2155.4</v>
      </c>
      <c r="C35">
        <v>2127.2649999999999</v>
      </c>
      <c r="D35">
        <v>28.135249999999999</v>
      </c>
      <c r="E35">
        <v>-5.7744140000000002</v>
      </c>
      <c r="F35">
        <v>35.589939999999999</v>
      </c>
      <c r="G35">
        <v>1588.7539999999999</v>
      </c>
      <c r="H35">
        <v>1.6845810000000001</v>
      </c>
      <c r="I35">
        <v>-0.16224849999999999</v>
      </c>
      <c r="J35" s="86">
        <v>2.1418019999999999E-2</v>
      </c>
    </row>
    <row r="36" spans="1:10">
      <c r="A36" t="s">
        <v>261</v>
      </c>
      <c r="B36">
        <v>2129</v>
      </c>
      <c r="C36">
        <v>2129.297</v>
      </c>
      <c r="D36">
        <v>-0.2973633</v>
      </c>
      <c r="E36">
        <v>-6.071777</v>
      </c>
      <c r="F36">
        <v>32.381529999999998</v>
      </c>
      <c r="G36">
        <v>1444.33</v>
      </c>
      <c r="H36">
        <v>1.532707</v>
      </c>
      <c r="I36">
        <v>-0.18750749999999999</v>
      </c>
      <c r="J36" s="86">
        <v>2.8279249999999999E-2</v>
      </c>
    </row>
    <row r="37" spans="1:10">
      <c r="A37" t="s">
        <v>262</v>
      </c>
      <c r="B37">
        <v>2137.4</v>
      </c>
      <c r="C37">
        <v>2131.33</v>
      </c>
      <c r="D37">
        <v>6.0698239999999997</v>
      </c>
      <c r="E37" s="86">
        <v>-1.953125E-3</v>
      </c>
      <c r="F37">
        <v>30.188880000000001</v>
      </c>
      <c r="G37">
        <v>1327.039</v>
      </c>
      <c r="H37">
        <v>1.428647</v>
      </c>
      <c r="I37" s="86">
        <v>-6.4696829999999996E-5</v>
      </c>
      <c r="J37" s="86">
        <v>3.577661E-2</v>
      </c>
    </row>
    <row r="38" spans="1:10">
      <c r="A38" s="537" t="s">
        <v>263</v>
      </c>
      <c r="B38" s="537"/>
      <c r="C38" s="537">
        <v>2133.3629999999998</v>
      </c>
    </row>
    <row r="39" spans="1:10">
      <c r="A39" s="537" t="s">
        <v>264</v>
      </c>
      <c r="B39" s="537"/>
      <c r="C39" s="537">
        <v>2135.3960000000002</v>
      </c>
    </row>
    <row r="40" spans="1:10">
      <c r="A40" s="537" t="s">
        <v>265</v>
      </c>
      <c r="B40" s="537"/>
      <c r="C40" s="537">
        <v>2137.4279999999999</v>
      </c>
    </row>
    <row r="42" spans="1:10">
      <c r="A42" t="s">
        <v>107</v>
      </c>
      <c r="C42" s="249">
        <v>30.188880000000001</v>
      </c>
    </row>
    <row r="43" spans="1:10">
      <c r="A43" t="s">
        <v>111</v>
      </c>
      <c r="C43" s="249">
        <v>1.428647</v>
      </c>
    </row>
    <row r="44" spans="1:10">
      <c r="C44" s="554"/>
    </row>
    <row r="45" spans="1:10">
      <c r="A45" t="s">
        <v>108</v>
      </c>
      <c r="C45" s="554">
        <v>3.577661E-2</v>
      </c>
    </row>
    <row r="46" spans="1:10">
      <c r="C46" s="249" t="s">
        <v>266</v>
      </c>
    </row>
    <row r="47" spans="1:10">
      <c r="C47" s="249" t="s">
        <v>267</v>
      </c>
    </row>
    <row r="50" spans="1:10">
      <c r="A50" s="326" t="s">
        <v>268</v>
      </c>
    </row>
    <row r="51" spans="1:10">
      <c r="A51" s="1"/>
      <c r="J51" s="136" t="s">
        <v>112</v>
      </c>
    </row>
    <row r="52" spans="1:10">
      <c r="G52" s="291" t="s">
        <v>100</v>
      </c>
      <c r="H52" s="136" t="s">
        <v>113</v>
      </c>
      <c r="J52" s="136" t="s">
        <v>113</v>
      </c>
    </row>
    <row r="53" spans="1:10">
      <c r="B53" s="291" t="s">
        <v>101</v>
      </c>
      <c r="C53" s="291" t="s">
        <v>102</v>
      </c>
      <c r="D53" s="291" t="s">
        <v>103</v>
      </c>
      <c r="E53" s="291" t="s">
        <v>104</v>
      </c>
      <c r="F53" s="291" t="s">
        <v>105</v>
      </c>
      <c r="G53" s="137" t="s">
        <v>106</v>
      </c>
      <c r="H53" s="138" t="s">
        <v>114</v>
      </c>
      <c r="I53" s="82" t="s">
        <v>185</v>
      </c>
      <c r="J53" s="136" t="s">
        <v>185</v>
      </c>
    </row>
    <row r="54" spans="1:10">
      <c r="A54" t="s">
        <v>14</v>
      </c>
      <c r="B54">
        <v>2356</v>
      </c>
      <c r="C54">
        <v>2245</v>
      </c>
      <c r="D54">
        <v>2213</v>
      </c>
      <c r="E54">
        <v>2215</v>
      </c>
      <c r="F54">
        <v>1542</v>
      </c>
      <c r="G54" s="555">
        <f>AVERAGE(B54:F54)</f>
        <v>2114.1999999999998</v>
      </c>
      <c r="H54" s="556">
        <f>G54/G66</f>
        <v>0.9971935947928211</v>
      </c>
      <c r="I54">
        <f>C38</f>
        <v>2133.3629999999998</v>
      </c>
      <c r="J54" s="144">
        <f>H54*I54</f>
        <v>2127.3759189679972</v>
      </c>
    </row>
    <row r="55" spans="1:10">
      <c r="A55" t="s">
        <v>15</v>
      </c>
      <c r="B55">
        <v>2427</v>
      </c>
      <c r="C55">
        <v>2312</v>
      </c>
      <c r="D55">
        <v>2279</v>
      </c>
      <c r="E55">
        <v>2281</v>
      </c>
      <c r="F55">
        <v>1588</v>
      </c>
      <c r="G55" s="555">
        <f t="shared" ref="G55:G66" si="1">AVERAGE(B55:F55)</f>
        <v>2177.4</v>
      </c>
      <c r="H55" s="556">
        <f>G55/G66</f>
        <v>1.0270028064052072</v>
      </c>
      <c r="I55">
        <f>C39</f>
        <v>2135.3960000000002</v>
      </c>
      <c r="J55" s="144">
        <f>H55*I55</f>
        <v>2193.057684786454</v>
      </c>
    </row>
    <row r="56" spans="1:10">
      <c r="A56" t="s">
        <v>16</v>
      </c>
      <c r="B56">
        <v>2309</v>
      </c>
      <c r="C56">
        <v>2200</v>
      </c>
      <c r="D56">
        <v>2169</v>
      </c>
      <c r="E56">
        <v>2171</v>
      </c>
      <c r="F56">
        <v>1511</v>
      </c>
      <c r="G56" s="555">
        <f t="shared" si="1"/>
        <v>2072</v>
      </c>
      <c r="H56" s="556">
        <f>G56/G66</f>
        <v>0.97728934273518375</v>
      </c>
      <c r="I56">
        <f>C40</f>
        <v>2137.4279999999999</v>
      </c>
      <c r="J56" s="144">
        <f>H56*I56</f>
        <v>2088.8856052637784</v>
      </c>
    </row>
    <row r="57" spans="1:10">
      <c r="A57" t="s">
        <v>4</v>
      </c>
      <c r="B57">
        <v>2299</v>
      </c>
      <c r="C57">
        <v>2191</v>
      </c>
      <c r="D57">
        <v>2160</v>
      </c>
      <c r="E57">
        <v>2162</v>
      </c>
      <c r="F57">
        <v>1505</v>
      </c>
      <c r="G57" s="555">
        <f t="shared" si="1"/>
        <v>2063.4</v>
      </c>
      <c r="H57" s="557"/>
    </row>
    <row r="58" spans="1:10">
      <c r="A58" t="s">
        <v>5</v>
      </c>
      <c r="B58">
        <v>2328</v>
      </c>
      <c r="C58">
        <v>2218</v>
      </c>
      <c r="D58">
        <v>2186</v>
      </c>
      <c r="E58">
        <v>2188</v>
      </c>
      <c r="F58">
        <v>1523</v>
      </c>
      <c r="G58" s="555">
        <f t="shared" si="1"/>
        <v>2088.6</v>
      </c>
      <c r="H58" s="557"/>
    </row>
    <row r="59" spans="1:10">
      <c r="A59" t="s">
        <v>6</v>
      </c>
      <c r="B59">
        <v>2391</v>
      </c>
      <c r="C59">
        <v>2279</v>
      </c>
      <c r="D59">
        <v>2246</v>
      </c>
      <c r="E59">
        <v>2248</v>
      </c>
      <c r="F59">
        <v>1565</v>
      </c>
      <c r="G59" s="555">
        <f t="shared" si="1"/>
        <v>2145.8000000000002</v>
      </c>
      <c r="H59" s="557"/>
    </row>
    <row r="60" spans="1:10">
      <c r="A60" t="s">
        <v>245</v>
      </c>
      <c r="B60">
        <v>2396</v>
      </c>
      <c r="C60">
        <v>2283</v>
      </c>
      <c r="D60">
        <v>2251</v>
      </c>
      <c r="E60">
        <v>2253</v>
      </c>
      <c r="F60">
        <v>1568</v>
      </c>
      <c r="G60" s="555">
        <f t="shared" si="1"/>
        <v>2150.1999999999998</v>
      </c>
      <c r="H60" s="557"/>
    </row>
    <row r="61" spans="1:10">
      <c r="A61" t="s">
        <v>8</v>
      </c>
      <c r="B61">
        <v>2388</v>
      </c>
      <c r="C61">
        <v>2275</v>
      </c>
      <c r="D61">
        <v>2243</v>
      </c>
      <c r="E61">
        <v>2245</v>
      </c>
      <c r="F61">
        <v>1563</v>
      </c>
      <c r="G61" s="555">
        <f t="shared" si="1"/>
        <v>2142.8000000000002</v>
      </c>
      <c r="H61" s="557"/>
    </row>
    <row r="62" spans="1:10">
      <c r="A62" t="s">
        <v>9</v>
      </c>
      <c r="B62">
        <v>2302</v>
      </c>
      <c r="C62">
        <v>2193</v>
      </c>
      <c r="D62">
        <v>2162</v>
      </c>
      <c r="E62">
        <v>2164</v>
      </c>
      <c r="F62">
        <v>1507</v>
      </c>
      <c r="G62" s="555">
        <f t="shared" si="1"/>
        <v>2065.6</v>
      </c>
      <c r="H62" s="557"/>
    </row>
    <row r="63" spans="1:10">
      <c r="A63" t="s">
        <v>10</v>
      </c>
      <c r="B63">
        <v>2402</v>
      </c>
      <c r="C63">
        <v>2289</v>
      </c>
      <c r="D63">
        <v>2256</v>
      </c>
      <c r="E63">
        <v>2258</v>
      </c>
      <c r="F63">
        <v>1572</v>
      </c>
      <c r="G63" s="555">
        <f t="shared" si="1"/>
        <v>2155.4</v>
      </c>
      <c r="H63" s="557"/>
    </row>
    <row r="64" spans="1:10">
      <c r="A64" t="s">
        <v>23</v>
      </c>
      <c r="B64">
        <v>2372</v>
      </c>
      <c r="C64">
        <v>2261</v>
      </c>
      <c r="D64">
        <v>2228</v>
      </c>
      <c r="E64">
        <v>2231</v>
      </c>
      <c r="F64">
        <v>1553</v>
      </c>
      <c r="G64" s="555">
        <f t="shared" si="1"/>
        <v>2129</v>
      </c>
      <c r="H64" s="557"/>
    </row>
    <row r="65" spans="1:8">
      <c r="A65" t="s">
        <v>24</v>
      </c>
      <c r="B65">
        <v>2382</v>
      </c>
      <c r="C65">
        <v>2270</v>
      </c>
      <c r="D65">
        <v>2237</v>
      </c>
      <c r="E65">
        <v>2239</v>
      </c>
      <c r="F65">
        <v>1559</v>
      </c>
      <c r="G65" s="555">
        <f t="shared" si="1"/>
        <v>2137.4</v>
      </c>
      <c r="H65" s="557"/>
    </row>
    <row r="66" spans="1:8">
      <c r="A66" t="s">
        <v>115</v>
      </c>
      <c r="B66" s="1">
        <f>SUM(B54:B65)/12</f>
        <v>2362.6666666666665</v>
      </c>
      <c r="C66" s="1">
        <f>SUM(C54:C65)/12</f>
        <v>2251.3333333333335</v>
      </c>
      <c r="D66" s="1">
        <f>SUM(D54:D65)/12</f>
        <v>2219.1666666666665</v>
      </c>
      <c r="E66" s="1">
        <f>SUM(E54:E65)/12</f>
        <v>2221.25</v>
      </c>
      <c r="F66" s="1">
        <f>SUM(F54:F65)/12</f>
        <v>1546.3333333333333</v>
      </c>
      <c r="G66" s="555">
        <f t="shared" si="1"/>
        <v>2120.15</v>
      </c>
      <c r="H66" s="557"/>
    </row>
    <row r="67" spans="1:8">
      <c r="A67" s="142" t="s">
        <v>116</v>
      </c>
      <c r="B67" s="142">
        <f>B66/G66</f>
        <v>1.1143865606993215</v>
      </c>
      <c r="C67" s="142">
        <f>C66/G66</f>
        <v>1.0618745529011313</v>
      </c>
      <c r="D67" s="142">
        <f>D66/G66</f>
        <v>1.0467026704085403</v>
      </c>
      <c r="E67" s="142">
        <f>E66/G66</f>
        <v>1.0476853052850035</v>
      </c>
      <c r="F67" s="142">
        <f>F66/G66</f>
        <v>0.72935091070600344</v>
      </c>
    </row>
    <row r="69" spans="1:8">
      <c r="A69" s="326" t="s">
        <v>317</v>
      </c>
      <c r="B69" s="8"/>
      <c r="C69" s="8"/>
      <c r="D69" s="8"/>
      <c r="E69" s="8"/>
      <c r="F69" s="8"/>
      <c r="G69" s="8"/>
      <c r="H69" s="8"/>
    </row>
    <row r="70" spans="1:8">
      <c r="A70" s="8"/>
      <c r="B70" s="8"/>
      <c r="C70" s="8"/>
      <c r="D70" s="8"/>
      <c r="E70" s="8"/>
      <c r="F70" s="8"/>
      <c r="G70" s="8"/>
      <c r="H70" s="8"/>
    </row>
    <row r="71" spans="1:8">
      <c r="A71" s="8"/>
      <c r="B71" s="79" t="s">
        <v>101</v>
      </c>
      <c r="C71" s="79" t="s">
        <v>102</v>
      </c>
      <c r="D71" s="79" t="s">
        <v>103</v>
      </c>
      <c r="E71" s="79" t="s">
        <v>104</v>
      </c>
      <c r="F71" s="79" t="s">
        <v>105</v>
      </c>
      <c r="G71" s="8"/>
      <c r="H71" s="8"/>
    </row>
    <row r="72" spans="1:8">
      <c r="A72" s="229" t="s">
        <v>14</v>
      </c>
      <c r="B72" s="230">
        <f>$J$54*B67</f>
        <v>2370.7191336533051</v>
      </c>
      <c r="C72" s="230">
        <f>$J$54*C67</f>
        <v>2259.0063528067753</v>
      </c>
      <c r="D72" s="230">
        <f>$J$54*D67</f>
        <v>2226.7300553466252</v>
      </c>
      <c r="E72" s="230">
        <f>$J$54*E67</f>
        <v>2228.8204891199512</v>
      </c>
      <c r="F72" s="230">
        <f>$J$54*F67</f>
        <v>1551.6035639133297</v>
      </c>
      <c r="G72" s="8"/>
      <c r="H72" s="8"/>
    </row>
    <row r="73" spans="1:8">
      <c r="A73" s="229" t="s">
        <v>15</v>
      </c>
      <c r="B73" s="230">
        <f>$J$55*B67</f>
        <v>2443.9140107643934</v>
      </c>
      <c r="C73" s="230">
        <f>$J$55*C67</f>
        <v>2328.7521485190059</v>
      </c>
      <c r="D73" s="230">
        <f>$J$55*D67</f>
        <v>2295.479335025952</v>
      </c>
      <c r="E73" s="230">
        <f>$J$55*E67</f>
        <v>2297.6343099931191</v>
      </c>
      <c r="F73" s="230">
        <f>$J$55*F67</f>
        <v>1599.5086196297998</v>
      </c>
      <c r="G73" s="8"/>
      <c r="H73" s="8"/>
    </row>
    <row r="74" spans="1:8">
      <c r="A74" s="229" t="s">
        <v>16</v>
      </c>
      <c r="B74" s="230">
        <f>$J$56*B67</f>
        <v>2327.8260453442226</v>
      </c>
      <c r="C74" s="230">
        <f>$J$56*C67</f>
        <v>2218.1344681510836</v>
      </c>
      <c r="D74" s="230">
        <f>$J$56*D67</f>
        <v>2186.4421412075567</v>
      </c>
      <c r="E74" s="230">
        <f>$J$56*E67</f>
        <v>2188.4947530562308</v>
      </c>
      <c r="F74" s="230">
        <f>$J$56*F67</f>
        <v>1523.5306185597981</v>
      </c>
      <c r="G74" s="8"/>
      <c r="H74" s="8"/>
    </row>
    <row r="75" spans="1:8">
      <c r="A75" s="8"/>
      <c r="B75" s="8"/>
      <c r="C75" s="8"/>
      <c r="D75" s="8"/>
      <c r="E75" s="8"/>
      <c r="F75" s="8"/>
      <c r="G75" s="8"/>
      <c r="H75" s="8"/>
    </row>
    <row r="76" spans="1:8">
      <c r="A76" s="8"/>
      <c r="B76" s="8"/>
      <c r="C76" s="8"/>
      <c r="D76" s="8"/>
      <c r="E76" s="8"/>
      <c r="F76" s="8"/>
      <c r="G76" s="8"/>
      <c r="H76" s="8"/>
    </row>
    <row r="77" spans="1:8">
      <c r="A77" s="8"/>
      <c r="B77" s="8"/>
      <c r="C77" s="8"/>
      <c r="D77" s="8"/>
      <c r="E77" s="8"/>
      <c r="F77" s="8"/>
      <c r="G77" s="8"/>
      <c r="H77" s="8"/>
    </row>
    <row r="78" spans="1:8">
      <c r="A78" s="8"/>
      <c r="B78" s="8"/>
      <c r="C78" s="8"/>
      <c r="D78" s="8"/>
      <c r="E78" s="8"/>
      <c r="F78" s="8"/>
      <c r="G78" s="8"/>
      <c r="H78" s="8"/>
    </row>
    <row r="79" spans="1:8">
      <c r="A79" s="8"/>
      <c r="B79" s="8"/>
      <c r="C79" s="8"/>
      <c r="D79" s="8"/>
      <c r="E79" s="8"/>
      <c r="F79" s="8"/>
      <c r="G79" s="8"/>
      <c r="H79" s="8"/>
    </row>
    <row r="80" spans="1:8">
      <c r="A80" s="8"/>
      <c r="B80" s="8"/>
      <c r="C80" s="8"/>
      <c r="D80" s="8"/>
      <c r="E80" s="8"/>
      <c r="F80" s="8"/>
      <c r="G80" s="8"/>
      <c r="H80" s="8"/>
    </row>
    <row r="81" spans="1:8">
      <c r="A81" s="8"/>
      <c r="B81" s="8"/>
      <c r="C81" s="8"/>
      <c r="D81" s="8"/>
      <c r="E81" s="8"/>
      <c r="F81" s="8"/>
      <c r="G81" s="8"/>
      <c r="H81" s="8"/>
    </row>
    <row r="82" spans="1:8">
      <c r="A82" s="8"/>
      <c r="B82" s="8"/>
      <c r="C82" s="8"/>
      <c r="D82" s="8"/>
      <c r="E82" s="8"/>
      <c r="F82" s="8"/>
      <c r="G82" s="8"/>
      <c r="H82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86"/>
  <sheetViews>
    <sheetView topLeftCell="A52" workbookViewId="0">
      <selection activeCell="J66" sqref="J66"/>
    </sheetView>
  </sheetViews>
  <sheetFormatPr baseColWidth="10" defaultColWidth="8.83203125" defaultRowHeight="15"/>
  <cols>
    <col min="1" max="1" width="13.83203125" customWidth="1"/>
    <col min="2" max="2" width="12" bestFit="1" customWidth="1"/>
    <col min="4" max="4" width="10.5" customWidth="1"/>
    <col min="7" max="7" width="14.1640625" customWidth="1"/>
    <col min="8" max="8" width="12.6640625" customWidth="1"/>
    <col min="10" max="10" width="12.5" customWidth="1"/>
    <col min="14" max="14" width="15.83203125" customWidth="1"/>
    <col min="257" max="257" width="13.83203125" customWidth="1"/>
    <col min="260" max="260" width="10.5" customWidth="1"/>
    <col min="264" max="264" width="12.6640625" customWidth="1"/>
    <col min="266" max="266" width="12.5" customWidth="1"/>
    <col min="513" max="513" width="13.83203125" customWidth="1"/>
    <col min="516" max="516" width="10.5" customWidth="1"/>
    <col min="520" max="520" width="12.6640625" customWidth="1"/>
    <col min="522" max="522" width="12.5" customWidth="1"/>
    <col min="769" max="769" width="13.83203125" customWidth="1"/>
    <col min="772" max="772" width="10.5" customWidth="1"/>
    <col min="776" max="776" width="12.6640625" customWidth="1"/>
    <col min="778" max="778" width="12.5" customWidth="1"/>
    <col min="1025" max="1025" width="13.83203125" customWidth="1"/>
    <col min="1028" max="1028" width="10.5" customWidth="1"/>
    <col min="1032" max="1032" width="12.6640625" customWidth="1"/>
    <col min="1034" max="1034" width="12.5" customWidth="1"/>
    <col min="1281" max="1281" width="13.83203125" customWidth="1"/>
    <col min="1284" max="1284" width="10.5" customWidth="1"/>
    <col min="1288" max="1288" width="12.6640625" customWidth="1"/>
    <col min="1290" max="1290" width="12.5" customWidth="1"/>
    <col min="1537" max="1537" width="13.83203125" customWidth="1"/>
    <col min="1540" max="1540" width="10.5" customWidth="1"/>
    <col min="1544" max="1544" width="12.6640625" customWidth="1"/>
    <col min="1546" max="1546" width="12.5" customWidth="1"/>
    <col min="1793" max="1793" width="13.83203125" customWidth="1"/>
    <col min="1796" max="1796" width="10.5" customWidth="1"/>
    <col min="1800" max="1800" width="12.6640625" customWidth="1"/>
    <col min="1802" max="1802" width="12.5" customWidth="1"/>
    <col min="2049" max="2049" width="13.83203125" customWidth="1"/>
    <col min="2052" max="2052" width="10.5" customWidth="1"/>
    <col min="2056" max="2056" width="12.6640625" customWidth="1"/>
    <col min="2058" max="2058" width="12.5" customWidth="1"/>
    <col min="2305" max="2305" width="13.83203125" customWidth="1"/>
    <col min="2308" max="2308" width="10.5" customWidth="1"/>
    <col min="2312" max="2312" width="12.6640625" customWidth="1"/>
    <col min="2314" max="2314" width="12.5" customWidth="1"/>
    <col min="2561" max="2561" width="13.83203125" customWidth="1"/>
    <col min="2564" max="2564" width="10.5" customWidth="1"/>
    <col min="2568" max="2568" width="12.6640625" customWidth="1"/>
    <col min="2570" max="2570" width="12.5" customWidth="1"/>
    <col min="2817" max="2817" width="13.83203125" customWidth="1"/>
    <col min="2820" max="2820" width="10.5" customWidth="1"/>
    <col min="2824" max="2824" width="12.6640625" customWidth="1"/>
    <col min="2826" max="2826" width="12.5" customWidth="1"/>
    <col min="3073" max="3073" width="13.83203125" customWidth="1"/>
    <col min="3076" max="3076" width="10.5" customWidth="1"/>
    <col min="3080" max="3080" width="12.6640625" customWidth="1"/>
    <col min="3082" max="3082" width="12.5" customWidth="1"/>
    <col min="3329" max="3329" width="13.83203125" customWidth="1"/>
    <col min="3332" max="3332" width="10.5" customWidth="1"/>
    <col min="3336" max="3336" width="12.6640625" customWidth="1"/>
    <col min="3338" max="3338" width="12.5" customWidth="1"/>
    <col min="3585" max="3585" width="13.83203125" customWidth="1"/>
    <col min="3588" max="3588" width="10.5" customWidth="1"/>
    <col min="3592" max="3592" width="12.6640625" customWidth="1"/>
    <col min="3594" max="3594" width="12.5" customWidth="1"/>
    <col min="3841" max="3841" width="13.83203125" customWidth="1"/>
    <col min="3844" max="3844" width="10.5" customWidth="1"/>
    <col min="3848" max="3848" width="12.6640625" customWidth="1"/>
    <col min="3850" max="3850" width="12.5" customWidth="1"/>
    <col min="4097" max="4097" width="13.83203125" customWidth="1"/>
    <col min="4100" max="4100" width="10.5" customWidth="1"/>
    <col min="4104" max="4104" width="12.6640625" customWidth="1"/>
    <col min="4106" max="4106" width="12.5" customWidth="1"/>
    <col min="4353" max="4353" width="13.83203125" customWidth="1"/>
    <col min="4356" max="4356" width="10.5" customWidth="1"/>
    <col min="4360" max="4360" width="12.6640625" customWidth="1"/>
    <col min="4362" max="4362" width="12.5" customWidth="1"/>
    <col min="4609" max="4609" width="13.83203125" customWidth="1"/>
    <col min="4612" max="4612" width="10.5" customWidth="1"/>
    <col min="4616" max="4616" width="12.6640625" customWidth="1"/>
    <col min="4618" max="4618" width="12.5" customWidth="1"/>
    <col min="4865" max="4865" width="13.83203125" customWidth="1"/>
    <col min="4868" max="4868" width="10.5" customWidth="1"/>
    <col min="4872" max="4872" width="12.6640625" customWidth="1"/>
    <col min="4874" max="4874" width="12.5" customWidth="1"/>
    <col min="5121" max="5121" width="13.83203125" customWidth="1"/>
    <col min="5124" max="5124" width="10.5" customWidth="1"/>
    <col min="5128" max="5128" width="12.6640625" customWidth="1"/>
    <col min="5130" max="5130" width="12.5" customWidth="1"/>
    <col min="5377" max="5377" width="13.83203125" customWidth="1"/>
    <col min="5380" max="5380" width="10.5" customWidth="1"/>
    <col min="5384" max="5384" width="12.6640625" customWidth="1"/>
    <col min="5386" max="5386" width="12.5" customWidth="1"/>
    <col min="5633" max="5633" width="13.83203125" customWidth="1"/>
    <col min="5636" max="5636" width="10.5" customWidth="1"/>
    <col min="5640" max="5640" width="12.6640625" customWidth="1"/>
    <col min="5642" max="5642" width="12.5" customWidth="1"/>
    <col min="5889" max="5889" width="13.83203125" customWidth="1"/>
    <col min="5892" max="5892" width="10.5" customWidth="1"/>
    <col min="5896" max="5896" width="12.6640625" customWidth="1"/>
    <col min="5898" max="5898" width="12.5" customWidth="1"/>
    <col min="6145" max="6145" width="13.83203125" customWidth="1"/>
    <col min="6148" max="6148" width="10.5" customWidth="1"/>
    <col min="6152" max="6152" width="12.6640625" customWidth="1"/>
    <col min="6154" max="6154" width="12.5" customWidth="1"/>
    <col min="6401" max="6401" width="13.83203125" customWidth="1"/>
    <col min="6404" max="6404" width="10.5" customWidth="1"/>
    <col min="6408" max="6408" width="12.6640625" customWidth="1"/>
    <col min="6410" max="6410" width="12.5" customWidth="1"/>
    <col min="6657" max="6657" width="13.83203125" customWidth="1"/>
    <col min="6660" max="6660" width="10.5" customWidth="1"/>
    <col min="6664" max="6664" width="12.6640625" customWidth="1"/>
    <col min="6666" max="6666" width="12.5" customWidth="1"/>
    <col min="6913" max="6913" width="13.83203125" customWidth="1"/>
    <col min="6916" max="6916" width="10.5" customWidth="1"/>
    <col min="6920" max="6920" width="12.6640625" customWidth="1"/>
    <col min="6922" max="6922" width="12.5" customWidth="1"/>
    <col min="7169" max="7169" width="13.83203125" customWidth="1"/>
    <col min="7172" max="7172" width="10.5" customWidth="1"/>
    <col min="7176" max="7176" width="12.6640625" customWidth="1"/>
    <col min="7178" max="7178" width="12.5" customWidth="1"/>
    <col min="7425" max="7425" width="13.83203125" customWidth="1"/>
    <col min="7428" max="7428" width="10.5" customWidth="1"/>
    <col min="7432" max="7432" width="12.6640625" customWidth="1"/>
    <col min="7434" max="7434" width="12.5" customWidth="1"/>
    <col min="7681" max="7681" width="13.83203125" customWidth="1"/>
    <col min="7684" max="7684" width="10.5" customWidth="1"/>
    <col min="7688" max="7688" width="12.6640625" customWidth="1"/>
    <col min="7690" max="7690" width="12.5" customWidth="1"/>
    <col min="7937" max="7937" width="13.83203125" customWidth="1"/>
    <col min="7940" max="7940" width="10.5" customWidth="1"/>
    <col min="7944" max="7944" width="12.6640625" customWidth="1"/>
    <col min="7946" max="7946" width="12.5" customWidth="1"/>
    <col min="8193" max="8193" width="13.83203125" customWidth="1"/>
    <col min="8196" max="8196" width="10.5" customWidth="1"/>
    <col min="8200" max="8200" width="12.6640625" customWidth="1"/>
    <col min="8202" max="8202" width="12.5" customWidth="1"/>
    <col min="8449" max="8449" width="13.83203125" customWidth="1"/>
    <col min="8452" max="8452" width="10.5" customWidth="1"/>
    <col min="8456" max="8456" width="12.6640625" customWidth="1"/>
    <col min="8458" max="8458" width="12.5" customWidth="1"/>
    <col min="8705" max="8705" width="13.83203125" customWidth="1"/>
    <col min="8708" max="8708" width="10.5" customWidth="1"/>
    <col min="8712" max="8712" width="12.6640625" customWidth="1"/>
    <col min="8714" max="8714" width="12.5" customWidth="1"/>
    <col min="8961" max="8961" width="13.83203125" customWidth="1"/>
    <col min="8964" max="8964" width="10.5" customWidth="1"/>
    <col min="8968" max="8968" width="12.6640625" customWidth="1"/>
    <col min="8970" max="8970" width="12.5" customWidth="1"/>
    <col min="9217" max="9217" width="13.83203125" customWidth="1"/>
    <col min="9220" max="9220" width="10.5" customWidth="1"/>
    <col min="9224" max="9224" width="12.6640625" customWidth="1"/>
    <col min="9226" max="9226" width="12.5" customWidth="1"/>
    <col min="9473" max="9473" width="13.83203125" customWidth="1"/>
    <col min="9476" max="9476" width="10.5" customWidth="1"/>
    <col min="9480" max="9480" width="12.6640625" customWidth="1"/>
    <col min="9482" max="9482" width="12.5" customWidth="1"/>
    <col min="9729" max="9729" width="13.83203125" customWidth="1"/>
    <col min="9732" max="9732" width="10.5" customWidth="1"/>
    <col min="9736" max="9736" width="12.6640625" customWidth="1"/>
    <col min="9738" max="9738" width="12.5" customWidth="1"/>
    <col min="9985" max="9985" width="13.83203125" customWidth="1"/>
    <col min="9988" max="9988" width="10.5" customWidth="1"/>
    <col min="9992" max="9992" width="12.6640625" customWidth="1"/>
    <col min="9994" max="9994" width="12.5" customWidth="1"/>
    <col min="10241" max="10241" width="13.83203125" customWidth="1"/>
    <col min="10244" max="10244" width="10.5" customWidth="1"/>
    <col min="10248" max="10248" width="12.6640625" customWidth="1"/>
    <col min="10250" max="10250" width="12.5" customWidth="1"/>
    <col min="10497" max="10497" width="13.83203125" customWidth="1"/>
    <col min="10500" max="10500" width="10.5" customWidth="1"/>
    <col min="10504" max="10504" width="12.6640625" customWidth="1"/>
    <col min="10506" max="10506" width="12.5" customWidth="1"/>
    <col min="10753" max="10753" width="13.83203125" customWidth="1"/>
    <col min="10756" max="10756" width="10.5" customWidth="1"/>
    <col min="10760" max="10760" width="12.6640625" customWidth="1"/>
    <col min="10762" max="10762" width="12.5" customWidth="1"/>
    <col min="11009" max="11009" width="13.83203125" customWidth="1"/>
    <col min="11012" max="11012" width="10.5" customWidth="1"/>
    <col min="11016" max="11016" width="12.6640625" customWidth="1"/>
    <col min="11018" max="11018" width="12.5" customWidth="1"/>
    <col min="11265" max="11265" width="13.83203125" customWidth="1"/>
    <col min="11268" max="11268" width="10.5" customWidth="1"/>
    <col min="11272" max="11272" width="12.6640625" customWidth="1"/>
    <col min="11274" max="11274" width="12.5" customWidth="1"/>
    <col min="11521" max="11521" width="13.83203125" customWidth="1"/>
    <col min="11524" max="11524" width="10.5" customWidth="1"/>
    <col min="11528" max="11528" width="12.6640625" customWidth="1"/>
    <col min="11530" max="11530" width="12.5" customWidth="1"/>
    <col min="11777" max="11777" width="13.83203125" customWidth="1"/>
    <col min="11780" max="11780" width="10.5" customWidth="1"/>
    <col min="11784" max="11784" width="12.6640625" customWidth="1"/>
    <col min="11786" max="11786" width="12.5" customWidth="1"/>
    <col min="12033" max="12033" width="13.83203125" customWidth="1"/>
    <col min="12036" max="12036" width="10.5" customWidth="1"/>
    <col min="12040" max="12040" width="12.6640625" customWidth="1"/>
    <col min="12042" max="12042" width="12.5" customWidth="1"/>
    <col min="12289" max="12289" width="13.83203125" customWidth="1"/>
    <col min="12292" max="12292" width="10.5" customWidth="1"/>
    <col min="12296" max="12296" width="12.6640625" customWidth="1"/>
    <col min="12298" max="12298" width="12.5" customWidth="1"/>
    <col min="12545" max="12545" width="13.83203125" customWidth="1"/>
    <col min="12548" max="12548" width="10.5" customWidth="1"/>
    <col min="12552" max="12552" width="12.6640625" customWidth="1"/>
    <col min="12554" max="12554" width="12.5" customWidth="1"/>
    <col min="12801" max="12801" width="13.83203125" customWidth="1"/>
    <col min="12804" max="12804" width="10.5" customWidth="1"/>
    <col min="12808" max="12808" width="12.6640625" customWidth="1"/>
    <col min="12810" max="12810" width="12.5" customWidth="1"/>
    <col min="13057" max="13057" width="13.83203125" customWidth="1"/>
    <col min="13060" max="13060" width="10.5" customWidth="1"/>
    <col min="13064" max="13064" width="12.6640625" customWidth="1"/>
    <col min="13066" max="13066" width="12.5" customWidth="1"/>
    <col min="13313" max="13313" width="13.83203125" customWidth="1"/>
    <col min="13316" max="13316" width="10.5" customWidth="1"/>
    <col min="13320" max="13320" width="12.6640625" customWidth="1"/>
    <col min="13322" max="13322" width="12.5" customWidth="1"/>
    <col min="13569" max="13569" width="13.83203125" customWidth="1"/>
    <col min="13572" max="13572" width="10.5" customWidth="1"/>
    <col min="13576" max="13576" width="12.6640625" customWidth="1"/>
    <col min="13578" max="13578" width="12.5" customWidth="1"/>
    <col min="13825" max="13825" width="13.83203125" customWidth="1"/>
    <col min="13828" max="13828" width="10.5" customWidth="1"/>
    <col min="13832" max="13832" width="12.6640625" customWidth="1"/>
    <col min="13834" max="13834" width="12.5" customWidth="1"/>
    <col min="14081" max="14081" width="13.83203125" customWidth="1"/>
    <col min="14084" max="14084" width="10.5" customWidth="1"/>
    <col min="14088" max="14088" width="12.6640625" customWidth="1"/>
    <col min="14090" max="14090" width="12.5" customWidth="1"/>
    <col min="14337" max="14337" width="13.83203125" customWidth="1"/>
    <col min="14340" max="14340" width="10.5" customWidth="1"/>
    <col min="14344" max="14344" width="12.6640625" customWidth="1"/>
    <col min="14346" max="14346" width="12.5" customWidth="1"/>
    <col min="14593" max="14593" width="13.83203125" customWidth="1"/>
    <col min="14596" max="14596" width="10.5" customWidth="1"/>
    <col min="14600" max="14600" width="12.6640625" customWidth="1"/>
    <col min="14602" max="14602" width="12.5" customWidth="1"/>
    <col min="14849" max="14849" width="13.83203125" customWidth="1"/>
    <col min="14852" max="14852" width="10.5" customWidth="1"/>
    <col min="14856" max="14856" width="12.6640625" customWidth="1"/>
    <col min="14858" max="14858" width="12.5" customWidth="1"/>
    <col min="15105" max="15105" width="13.83203125" customWidth="1"/>
    <col min="15108" max="15108" width="10.5" customWidth="1"/>
    <col min="15112" max="15112" width="12.6640625" customWidth="1"/>
    <col min="15114" max="15114" width="12.5" customWidth="1"/>
    <col min="15361" max="15361" width="13.83203125" customWidth="1"/>
    <col min="15364" max="15364" width="10.5" customWidth="1"/>
    <col min="15368" max="15368" width="12.6640625" customWidth="1"/>
    <col min="15370" max="15370" width="12.5" customWidth="1"/>
    <col min="15617" max="15617" width="13.83203125" customWidth="1"/>
    <col min="15620" max="15620" width="10.5" customWidth="1"/>
    <col min="15624" max="15624" width="12.6640625" customWidth="1"/>
    <col min="15626" max="15626" width="12.5" customWidth="1"/>
    <col min="15873" max="15873" width="13.83203125" customWidth="1"/>
    <col min="15876" max="15876" width="10.5" customWidth="1"/>
    <col min="15880" max="15880" width="12.6640625" customWidth="1"/>
    <col min="15882" max="15882" width="12.5" customWidth="1"/>
    <col min="16129" max="16129" width="13.83203125" customWidth="1"/>
    <col min="16132" max="16132" width="10.5" customWidth="1"/>
    <col min="16136" max="16136" width="12.6640625" customWidth="1"/>
    <col min="16138" max="16138" width="12.5" customWidth="1"/>
  </cols>
  <sheetData>
    <row r="1" spans="1:10">
      <c r="A1" s="1" t="s">
        <v>270</v>
      </c>
    </row>
    <row r="2" spans="1:10">
      <c r="A2" s="1"/>
    </row>
    <row r="3" spans="1:10">
      <c r="A3" s="530" t="s">
        <v>153</v>
      </c>
      <c r="B3" s="8"/>
      <c r="C3" s="8"/>
      <c r="D3" s="8"/>
      <c r="E3" s="8"/>
      <c r="F3" s="8"/>
      <c r="G3" s="8"/>
      <c r="H3" s="8"/>
      <c r="I3" s="8"/>
      <c r="J3" s="228"/>
    </row>
    <row r="4" spans="1:10">
      <c r="G4" s="30"/>
      <c r="H4" s="136"/>
      <c r="J4" s="136"/>
    </row>
    <row r="5" spans="1:10">
      <c r="B5" s="145" t="s">
        <v>101</v>
      </c>
      <c r="C5" s="145" t="s">
        <v>102</v>
      </c>
      <c r="D5" s="145" t="s">
        <v>103</v>
      </c>
      <c r="E5" s="145" t="s">
        <v>104</v>
      </c>
      <c r="F5" s="145" t="s">
        <v>105</v>
      </c>
      <c r="G5" s="559" t="s">
        <v>106</v>
      </c>
      <c r="H5" s="138"/>
      <c r="I5" s="82"/>
      <c r="J5" s="136"/>
    </row>
    <row r="6" spans="1:10">
      <c r="A6" s="145" t="s">
        <v>4</v>
      </c>
      <c r="B6" s="224">
        <v>309</v>
      </c>
      <c r="C6" s="224">
        <v>398</v>
      </c>
      <c r="D6" s="224">
        <v>320</v>
      </c>
      <c r="E6" s="224">
        <v>314</v>
      </c>
      <c r="F6" s="224">
        <v>316</v>
      </c>
      <c r="G6" s="560">
        <f>AVERAGE(B6:F6)</f>
        <v>331.4</v>
      </c>
      <c r="H6" s="140"/>
    </row>
    <row r="7" spans="1:10">
      <c r="A7" s="145" t="s">
        <v>5</v>
      </c>
      <c r="B7" s="224">
        <v>256</v>
      </c>
      <c r="C7" s="224">
        <v>330</v>
      </c>
      <c r="D7" s="224">
        <v>386</v>
      </c>
      <c r="E7" s="224">
        <v>311</v>
      </c>
      <c r="F7" s="224">
        <v>333</v>
      </c>
      <c r="G7" s="560">
        <f t="shared" ref="G7:G17" si="0">AVERAGE(B7:F7)</f>
        <v>323.2</v>
      </c>
      <c r="H7" s="140"/>
    </row>
    <row r="8" spans="1:10">
      <c r="A8" s="145" t="s">
        <v>6</v>
      </c>
      <c r="B8" s="224">
        <v>271</v>
      </c>
      <c r="C8" s="224">
        <v>397</v>
      </c>
      <c r="D8" s="224">
        <v>324</v>
      </c>
      <c r="E8" s="224">
        <v>411</v>
      </c>
      <c r="F8" s="224">
        <v>446</v>
      </c>
      <c r="G8" s="560">
        <f t="shared" si="0"/>
        <v>369.8</v>
      </c>
      <c r="H8" s="140"/>
    </row>
    <row r="9" spans="1:10">
      <c r="A9" s="145" t="s">
        <v>7</v>
      </c>
      <c r="B9" s="224">
        <v>348</v>
      </c>
      <c r="C9" s="224">
        <v>379</v>
      </c>
      <c r="D9" s="224">
        <v>318</v>
      </c>
      <c r="E9" s="224">
        <v>325</v>
      </c>
      <c r="F9" s="224">
        <v>328</v>
      </c>
      <c r="G9" s="560">
        <f t="shared" si="0"/>
        <v>339.6</v>
      </c>
    </row>
    <row r="10" spans="1:10">
      <c r="A10" s="145" t="s">
        <v>8</v>
      </c>
      <c r="B10" s="224">
        <v>267</v>
      </c>
      <c r="C10" s="224">
        <v>362</v>
      </c>
      <c r="D10" s="224">
        <v>413</v>
      </c>
      <c r="E10" s="224">
        <v>388</v>
      </c>
      <c r="F10" s="224">
        <v>278</v>
      </c>
      <c r="G10" s="560">
        <f t="shared" si="0"/>
        <v>341.6</v>
      </c>
    </row>
    <row r="11" spans="1:10">
      <c r="A11" s="145" t="s">
        <v>9</v>
      </c>
      <c r="B11" s="224">
        <v>216</v>
      </c>
      <c r="C11" s="224">
        <v>288</v>
      </c>
      <c r="D11" s="224">
        <v>307</v>
      </c>
      <c r="E11" s="224">
        <v>288</v>
      </c>
      <c r="F11" s="224">
        <v>356</v>
      </c>
      <c r="G11" s="560">
        <f t="shared" si="0"/>
        <v>291</v>
      </c>
    </row>
    <row r="12" spans="1:10">
      <c r="A12" s="145" t="s">
        <v>10</v>
      </c>
      <c r="B12" s="224">
        <v>361</v>
      </c>
      <c r="C12" s="224">
        <v>482</v>
      </c>
      <c r="D12" s="224">
        <v>329</v>
      </c>
      <c r="E12" s="224">
        <v>266</v>
      </c>
      <c r="F12" s="224">
        <v>326</v>
      </c>
      <c r="G12" s="560">
        <f t="shared" si="0"/>
        <v>352.8</v>
      </c>
    </row>
    <row r="13" spans="1:10">
      <c r="A13" s="145" t="s">
        <v>23</v>
      </c>
      <c r="B13" s="224">
        <v>330</v>
      </c>
      <c r="C13" s="224">
        <v>413</v>
      </c>
      <c r="D13" s="224">
        <v>486</v>
      </c>
      <c r="E13" s="224">
        <v>511</v>
      </c>
      <c r="F13" s="224">
        <v>491</v>
      </c>
      <c r="G13" s="560">
        <f t="shared" si="0"/>
        <v>446.2</v>
      </c>
    </row>
    <row r="14" spans="1:10">
      <c r="A14" s="145" t="s">
        <v>24</v>
      </c>
      <c r="B14" s="224">
        <v>400</v>
      </c>
      <c r="C14" s="224">
        <v>443</v>
      </c>
      <c r="D14" s="224">
        <v>423</v>
      </c>
      <c r="E14" s="224">
        <v>435</v>
      </c>
      <c r="F14" s="224">
        <v>465</v>
      </c>
      <c r="G14" s="560">
        <f t="shared" si="0"/>
        <v>433.2</v>
      </c>
    </row>
    <row r="15" spans="1:10">
      <c r="A15" s="145" t="s">
        <v>14</v>
      </c>
      <c r="B15" s="224">
        <v>457</v>
      </c>
      <c r="C15" s="224">
        <v>535</v>
      </c>
      <c r="D15" s="224">
        <v>548</v>
      </c>
      <c r="E15" s="224">
        <v>451</v>
      </c>
      <c r="F15" s="224">
        <v>424</v>
      </c>
      <c r="G15" s="560">
        <f t="shared" si="0"/>
        <v>483</v>
      </c>
    </row>
    <row r="16" spans="1:10">
      <c r="A16" s="145" t="s">
        <v>15</v>
      </c>
      <c r="B16" s="224">
        <v>235</v>
      </c>
      <c r="C16" s="224">
        <v>262</v>
      </c>
      <c r="D16" s="224">
        <v>252</v>
      </c>
      <c r="E16" s="224">
        <v>330</v>
      </c>
      <c r="F16" s="224">
        <v>305</v>
      </c>
      <c r="G16" s="560">
        <f t="shared" si="0"/>
        <v>276.8</v>
      </c>
    </row>
    <row r="17" spans="1:14">
      <c r="A17" s="145" t="s">
        <v>16</v>
      </c>
      <c r="B17" s="224">
        <v>275</v>
      </c>
      <c r="C17" s="224">
        <v>291</v>
      </c>
      <c r="D17" s="224">
        <v>286</v>
      </c>
      <c r="E17" s="224">
        <v>283</v>
      </c>
      <c r="F17" s="224">
        <v>281</v>
      </c>
      <c r="G17" s="561">
        <f t="shared" si="0"/>
        <v>283.2</v>
      </c>
    </row>
    <row r="18" spans="1:14">
      <c r="G18" s="6"/>
      <c r="J18" s="6" t="s">
        <v>154</v>
      </c>
    </row>
    <row r="19" spans="1:14" ht="16" thickBot="1">
      <c r="B19" s="8"/>
      <c r="C19" s="8"/>
    </row>
    <row r="20" spans="1:14" ht="16" thickBot="1">
      <c r="A20" s="326" t="s">
        <v>316</v>
      </c>
      <c r="B20" s="8"/>
      <c r="C20" s="8"/>
      <c r="J20" s="657" t="s">
        <v>144</v>
      </c>
      <c r="K20" s="658"/>
      <c r="L20" s="658"/>
      <c r="M20" s="658"/>
      <c r="N20" s="175"/>
    </row>
    <row r="21" spans="1:14" ht="16" thickBot="1">
      <c r="J21" s="688" t="s">
        <v>145</v>
      </c>
      <c r="K21" s="689"/>
      <c r="L21" s="690"/>
      <c r="M21" s="206">
        <v>2.4062937062937064</v>
      </c>
      <c r="N21" s="178"/>
    </row>
    <row r="22" spans="1:14" ht="16" thickBot="1">
      <c r="A22" s="24"/>
      <c r="B22" s="24"/>
      <c r="C22" t="s">
        <v>38</v>
      </c>
      <c r="D22" t="s">
        <v>318</v>
      </c>
      <c r="E22" t="s">
        <v>185</v>
      </c>
      <c r="J22" s="688" t="s">
        <v>146</v>
      </c>
      <c r="K22" s="689"/>
      <c r="L22" s="690"/>
      <c r="M22" s="206">
        <v>340.34242424242427</v>
      </c>
      <c r="N22" s="178"/>
    </row>
    <row r="23" spans="1:14" ht="16" thickBot="1">
      <c r="A23" t="s">
        <v>22</v>
      </c>
      <c r="B23" s="24" t="s">
        <v>39</v>
      </c>
      <c r="C23" t="s">
        <v>109</v>
      </c>
      <c r="D23" t="s">
        <v>110</v>
      </c>
      <c r="E23" t="s">
        <v>37</v>
      </c>
      <c r="J23" s="176"/>
      <c r="K23" s="177"/>
      <c r="L23" s="177"/>
      <c r="M23" s="177"/>
      <c r="N23" s="178"/>
    </row>
    <row r="24" spans="1:14" ht="16">
      <c r="A24" s="145" t="s">
        <v>4</v>
      </c>
      <c r="B24">
        <v>1</v>
      </c>
      <c r="C24" s="26">
        <f t="shared" ref="C24:C35" si="1">G6</f>
        <v>331.4</v>
      </c>
      <c r="D24">
        <f t="shared" ref="D24:D35" si="2">$C$40+$C$41*B24</f>
        <v>342.74871794871797</v>
      </c>
      <c r="E24" s="26">
        <f>C24-D24</f>
        <v>-11.34871794871799</v>
      </c>
      <c r="J24" s="179" t="s">
        <v>121</v>
      </c>
      <c r="K24" s="162">
        <v>49.773581973581969</v>
      </c>
      <c r="L24" s="217" t="s">
        <v>147</v>
      </c>
      <c r="M24" s="207">
        <v>1.7114501036867048E-2</v>
      </c>
      <c r="N24" s="178"/>
    </row>
    <row r="25" spans="1:14" ht="16" thickBot="1">
      <c r="A25" s="145" t="s">
        <v>5</v>
      </c>
      <c r="B25">
        <v>2</v>
      </c>
      <c r="C25" s="26">
        <f t="shared" si="1"/>
        <v>323.2</v>
      </c>
      <c r="D25">
        <f t="shared" si="2"/>
        <v>345.15501165501166</v>
      </c>
      <c r="E25" s="26">
        <f t="shared" ref="E25:E35" si="3">C25-D25</f>
        <v>-21.955011655011674</v>
      </c>
      <c r="J25" s="179" t="s">
        <v>122</v>
      </c>
      <c r="K25" s="163">
        <v>0.13981997838919977</v>
      </c>
      <c r="L25" s="217" t="s">
        <v>148</v>
      </c>
      <c r="M25" s="208">
        <v>7.9009258941005045E-8</v>
      </c>
      <c r="N25" s="178"/>
    </row>
    <row r="26" spans="1:14" ht="16" thickBot="1">
      <c r="A26" s="145" t="s">
        <v>6</v>
      </c>
      <c r="B26">
        <v>3</v>
      </c>
      <c r="C26" s="26">
        <f t="shared" si="1"/>
        <v>369.8</v>
      </c>
      <c r="D26">
        <f t="shared" si="2"/>
        <v>347.56130536130541</v>
      </c>
      <c r="E26" s="26">
        <f t="shared" si="3"/>
        <v>22.238694638694597</v>
      </c>
      <c r="J26" s="179"/>
      <c r="K26" s="209"/>
      <c r="L26" s="217"/>
      <c r="M26" s="210"/>
      <c r="N26" s="178"/>
    </row>
    <row r="27" spans="1:14" ht="16" thickBot="1">
      <c r="A27" s="145" t="s">
        <v>7</v>
      </c>
      <c r="B27">
        <v>4</v>
      </c>
      <c r="C27" s="26">
        <f t="shared" si="1"/>
        <v>339.6</v>
      </c>
      <c r="D27">
        <f t="shared" si="2"/>
        <v>349.96759906759911</v>
      </c>
      <c r="E27" s="26">
        <f t="shared" si="3"/>
        <v>-10.367599067599087</v>
      </c>
      <c r="J27" s="659" t="s">
        <v>149</v>
      </c>
      <c r="K27" s="660"/>
      <c r="L27" s="691"/>
      <c r="M27" s="211">
        <v>13</v>
      </c>
      <c r="N27" s="178"/>
    </row>
    <row r="28" spans="1:14" ht="16" thickBot="1">
      <c r="A28" s="145" t="s">
        <v>8</v>
      </c>
      <c r="B28">
        <v>5</v>
      </c>
      <c r="C28" s="26">
        <f t="shared" si="1"/>
        <v>341.6</v>
      </c>
      <c r="D28">
        <f t="shared" si="2"/>
        <v>352.37389277389281</v>
      </c>
      <c r="E28" s="26">
        <f t="shared" si="3"/>
        <v>-10.773892773892783</v>
      </c>
      <c r="J28" s="659" t="str">
        <f xml:space="preserve"> "Prediction of period " &amp; M27 &amp; " ="</f>
        <v>Prediction of period 13 =</v>
      </c>
      <c r="K28" s="660"/>
      <c r="L28" s="660"/>
      <c r="M28" s="212">
        <v>371.62424242424248</v>
      </c>
      <c r="N28" s="178"/>
    </row>
    <row r="29" spans="1:14" ht="16" thickBot="1">
      <c r="A29" s="145" t="s">
        <v>9</v>
      </c>
      <c r="B29">
        <v>6</v>
      </c>
      <c r="C29" s="26">
        <f t="shared" si="1"/>
        <v>291</v>
      </c>
      <c r="D29">
        <f t="shared" si="2"/>
        <v>354.7801864801865</v>
      </c>
      <c r="E29" s="26">
        <f t="shared" si="3"/>
        <v>-63.780186480186501</v>
      </c>
      <c r="J29" s="176"/>
      <c r="K29" s="177"/>
      <c r="L29" s="177"/>
      <c r="M29" s="177"/>
      <c r="N29" s="178"/>
    </row>
    <row r="30" spans="1:14" ht="15.75" customHeight="1" thickBot="1">
      <c r="A30" s="145" t="s">
        <v>10</v>
      </c>
      <c r="B30">
        <v>7</v>
      </c>
      <c r="C30" s="26">
        <f t="shared" si="1"/>
        <v>352.8</v>
      </c>
      <c r="D30">
        <f t="shared" si="2"/>
        <v>357.18648018648025</v>
      </c>
      <c r="E30" s="26">
        <f t="shared" si="3"/>
        <v>-4.3864801864802416</v>
      </c>
      <c r="J30" s="164" t="s">
        <v>39</v>
      </c>
      <c r="K30" s="164" t="s">
        <v>38</v>
      </c>
      <c r="L30" s="164" t="s">
        <v>185</v>
      </c>
      <c r="M30" s="164" t="s">
        <v>37</v>
      </c>
      <c r="N30" s="165" t="s">
        <v>123</v>
      </c>
    </row>
    <row r="31" spans="1:14">
      <c r="A31" s="145" t="s">
        <v>23</v>
      </c>
      <c r="B31">
        <v>8</v>
      </c>
      <c r="C31" s="26">
        <f t="shared" si="1"/>
        <v>446.2</v>
      </c>
      <c r="D31">
        <f t="shared" si="2"/>
        <v>359.59277389277395</v>
      </c>
      <c r="E31" s="26">
        <f t="shared" si="3"/>
        <v>86.60722610722604</v>
      </c>
      <c r="J31" s="166">
        <v>1</v>
      </c>
      <c r="K31" s="200">
        <v>331.4</v>
      </c>
      <c r="L31" s="168">
        <v>342.74871794871797</v>
      </c>
      <c r="M31" s="194">
        <v>-11.34871794871799</v>
      </c>
      <c r="N31" s="213">
        <v>-1</v>
      </c>
    </row>
    <row r="32" spans="1:14">
      <c r="A32" s="145" t="s">
        <v>24</v>
      </c>
      <c r="B32">
        <v>9</v>
      </c>
      <c r="C32" s="26">
        <f t="shared" si="1"/>
        <v>433.2</v>
      </c>
      <c r="D32">
        <f t="shared" si="2"/>
        <v>361.99906759906764</v>
      </c>
      <c r="E32" s="26">
        <f t="shared" si="3"/>
        <v>71.200932400932345</v>
      </c>
      <c r="J32" s="171">
        <v>2</v>
      </c>
      <c r="K32" s="167">
        <v>323.2</v>
      </c>
      <c r="L32" s="172">
        <v>345.15501165501166</v>
      </c>
      <c r="M32" s="195">
        <v>-21.955011655011674</v>
      </c>
      <c r="N32" s="214">
        <v>-2</v>
      </c>
    </row>
    <row r="33" spans="1:14">
      <c r="A33" s="145" t="s">
        <v>14</v>
      </c>
      <c r="B33">
        <v>10</v>
      </c>
      <c r="C33" s="26">
        <f t="shared" si="1"/>
        <v>483</v>
      </c>
      <c r="D33">
        <f t="shared" si="2"/>
        <v>364.40536130536134</v>
      </c>
      <c r="E33" s="26">
        <f t="shared" si="3"/>
        <v>118.59463869463866</v>
      </c>
      <c r="J33" s="171">
        <v>3</v>
      </c>
      <c r="K33" s="167">
        <v>369.8</v>
      </c>
      <c r="L33" s="172">
        <v>347.56130536130541</v>
      </c>
      <c r="M33" s="195">
        <v>22.238694638694597</v>
      </c>
      <c r="N33" s="214">
        <v>-0.59765315158408605</v>
      </c>
    </row>
    <row r="34" spans="1:14">
      <c r="A34" s="145" t="s">
        <v>15</v>
      </c>
      <c r="B34">
        <v>11</v>
      </c>
      <c r="C34" s="26">
        <f t="shared" si="1"/>
        <v>276.8</v>
      </c>
      <c r="D34">
        <f t="shared" si="2"/>
        <v>366.81165501165503</v>
      </c>
      <c r="E34" s="26">
        <f t="shared" si="3"/>
        <v>-90.011655011655023</v>
      </c>
      <c r="J34" s="171">
        <v>4</v>
      </c>
      <c r="K34" s="167">
        <v>339.6</v>
      </c>
      <c r="L34" s="172">
        <v>349.96759906759911</v>
      </c>
      <c r="M34" s="195">
        <v>-10.367599067599087</v>
      </c>
      <c r="N34" s="214">
        <v>-1.3007207678759696</v>
      </c>
    </row>
    <row r="35" spans="1:14">
      <c r="A35" s="145" t="s">
        <v>16</v>
      </c>
      <c r="B35">
        <v>12</v>
      </c>
      <c r="C35" s="26">
        <f t="shared" si="1"/>
        <v>283.2</v>
      </c>
      <c r="D35">
        <f t="shared" si="2"/>
        <v>369.21794871794879</v>
      </c>
      <c r="E35" s="26">
        <f t="shared" si="3"/>
        <v>-86.017948717948798</v>
      </c>
      <c r="F35" s="86"/>
      <c r="J35" s="171">
        <v>5</v>
      </c>
      <c r="K35" s="167">
        <v>341.6</v>
      </c>
      <c r="L35" s="172">
        <v>352.37389277389281</v>
      </c>
      <c r="M35" s="195">
        <v>-10.773892773892783</v>
      </c>
      <c r="N35" s="214">
        <v>-2.0999531877899238</v>
      </c>
    </row>
    <row r="36" spans="1:14">
      <c r="A36" s="537" t="s">
        <v>4</v>
      </c>
      <c r="B36" s="537">
        <v>13</v>
      </c>
      <c r="C36" s="515"/>
      <c r="D36" s="537">
        <f t="shared" ref="D36:D37" si="4">$C$40+$C$41*B36</f>
        <v>371.62424242424248</v>
      </c>
      <c r="J36" s="171">
        <v>6</v>
      </c>
      <c r="K36" s="167">
        <v>291</v>
      </c>
      <c r="L36" s="172">
        <v>354.7801864801865</v>
      </c>
      <c r="M36" s="195">
        <v>-63.780186480186501</v>
      </c>
      <c r="N36" s="214">
        <v>-4.1001242965792768</v>
      </c>
    </row>
    <row r="37" spans="1:14">
      <c r="A37" s="537" t="s">
        <v>5</v>
      </c>
      <c r="B37" s="537">
        <v>14</v>
      </c>
      <c r="C37" s="515"/>
      <c r="D37" s="537">
        <f t="shared" si="4"/>
        <v>374.03053613053618</v>
      </c>
      <c r="J37" s="171">
        <v>7</v>
      </c>
      <c r="K37" s="167">
        <v>352.8</v>
      </c>
      <c r="L37" s="172">
        <v>357.1864801864802</v>
      </c>
      <c r="M37" s="195">
        <v>-4.3864801864801848</v>
      </c>
      <c r="N37" s="214">
        <v>-4.8506008120255792</v>
      </c>
    </row>
    <row r="38" spans="1:14">
      <c r="D38" s="6"/>
      <c r="J38" s="171">
        <v>8</v>
      </c>
      <c r="K38" s="167">
        <v>446.2</v>
      </c>
      <c r="L38" s="172">
        <v>359.59277389277395</v>
      </c>
      <c r="M38" s="195">
        <v>86.60722610722604</v>
      </c>
      <c r="N38" s="214">
        <v>-0.47580049025433951</v>
      </c>
    </row>
    <row r="39" spans="1:14">
      <c r="B39" t="s">
        <v>108</v>
      </c>
      <c r="C39" s="86">
        <f>B47</f>
        <v>1.7114501036867076E-2</v>
      </c>
      <c r="J39" s="171">
        <v>9</v>
      </c>
      <c r="K39" s="167">
        <v>433.2</v>
      </c>
      <c r="L39" s="172">
        <v>361.99906759906764</v>
      </c>
      <c r="M39" s="195">
        <v>71.200932400932345</v>
      </c>
      <c r="N39" s="214">
        <v>1.7079126251727041</v>
      </c>
    </row>
    <row r="40" spans="1:14">
      <c r="B40" t="s">
        <v>63</v>
      </c>
      <c r="C40" s="537">
        <f>B59</f>
        <v>340.34242424242427</v>
      </c>
      <c r="J40" s="171">
        <v>10</v>
      </c>
      <c r="K40" s="167">
        <v>483</v>
      </c>
      <c r="L40" s="172">
        <v>364.40536130536134</v>
      </c>
      <c r="M40" s="195">
        <v>118.59463869463866</v>
      </c>
      <c r="N40" s="214">
        <v>4.1787107737648217</v>
      </c>
    </row>
    <row r="41" spans="1:14">
      <c r="B41" t="s">
        <v>151</v>
      </c>
      <c r="C41" s="537">
        <f>B60</f>
        <v>2.4062937062937078</v>
      </c>
      <c r="J41" s="171">
        <v>11</v>
      </c>
      <c r="K41" s="167">
        <v>276.8</v>
      </c>
      <c r="L41" s="172">
        <v>366.81165501165503</v>
      </c>
      <c r="M41" s="195">
        <v>-90.011655011655023</v>
      </c>
      <c r="N41" s="214">
        <v>1.850698505056467</v>
      </c>
    </row>
    <row r="42" spans="1:14">
      <c r="J42" s="171">
        <v>12</v>
      </c>
      <c r="K42" s="167">
        <v>283.2</v>
      </c>
      <c r="L42" s="172">
        <v>369.21794871794873</v>
      </c>
      <c r="M42" s="195">
        <v>-86.017948717948741</v>
      </c>
      <c r="N42" s="214">
        <v>-6.8522396749719713E-15</v>
      </c>
    </row>
    <row r="43" spans="1:14" ht="16" thickBot="1">
      <c r="A43" t="s">
        <v>40</v>
      </c>
      <c r="J43" s="182">
        <v>13</v>
      </c>
      <c r="K43" s="183"/>
      <c r="L43" s="184">
        <v>371.62424242424248</v>
      </c>
      <c r="M43" s="198" t="s">
        <v>124</v>
      </c>
      <c r="N43" s="218" t="s">
        <v>124</v>
      </c>
    </row>
    <row r="44" spans="1:14" ht="16" thickBot="1"/>
    <row r="45" spans="1:14">
      <c r="A45" s="105" t="s">
        <v>41</v>
      </c>
      <c r="B45" s="105"/>
    </row>
    <row r="46" spans="1:14">
      <c r="A46" s="87" t="s">
        <v>42</v>
      </c>
      <c r="B46" s="87">
        <v>0.13082240265668216</v>
      </c>
    </row>
    <row r="47" spans="1:14">
      <c r="A47" s="87" t="s">
        <v>43</v>
      </c>
      <c r="B47" s="87">
        <v>1.7114501036867076E-2</v>
      </c>
    </row>
    <row r="48" spans="1:14">
      <c r="A48" s="87" t="s">
        <v>44</v>
      </c>
      <c r="B48" s="87">
        <v>-8.1174048859446207E-2</v>
      </c>
    </row>
    <row r="49" spans="1:10">
      <c r="A49" s="87" t="s">
        <v>45</v>
      </c>
      <c r="B49" s="87">
        <v>68.958212710547386</v>
      </c>
    </row>
    <row r="50" spans="1:10" ht="16" thickBot="1">
      <c r="A50" s="88" t="s">
        <v>46</v>
      </c>
      <c r="B50" s="88">
        <v>12</v>
      </c>
    </row>
    <row r="52" spans="1:10" ht="16" thickBot="1">
      <c r="A52" t="s">
        <v>47</v>
      </c>
    </row>
    <row r="53" spans="1:10">
      <c r="A53" s="104"/>
      <c r="B53" s="104" t="s">
        <v>48</v>
      </c>
      <c r="C53" s="104" t="s">
        <v>49</v>
      </c>
      <c r="D53" s="104" t="s">
        <v>50</v>
      </c>
      <c r="E53" s="104" t="s">
        <v>51</v>
      </c>
      <c r="F53" s="104" t="s">
        <v>52</v>
      </c>
    </row>
    <row r="54" spans="1:10">
      <c r="A54" s="87" t="s">
        <v>53</v>
      </c>
      <c r="B54" s="87">
        <v>1</v>
      </c>
      <c r="C54" s="87">
        <v>828.00566433566564</v>
      </c>
      <c r="D54" s="87">
        <v>828.00566433566564</v>
      </c>
      <c r="E54" s="87">
        <v>0.17412507413042042</v>
      </c>
      <c r="F54" s="87">
        <v>0.68528859072906889</v>
      </c>
    </row>
    <row r="55" spans="1:10">
      <c r="A55" s="87" t="s">
        <v>54</v>
      </c>
      <c r="B55" s="87">
        <v>10</v>
      </c>
      <c r="C55" s="87">
        <v>47552.351002331001</v>
      </c>
      <c r="D55" s="87">
        <v>4755.2351002330997</v>
      </c>
      <c r="E55" s="87"/>
      <c r="F55" s="87"/>
    </row>
    <row r="56" spans="1:10" ht="16" thickBot="1">
      <c r="A56" s="88" t="s">
        <v>55</v>
      </c>
      <c r="B56" s="88">
        <v>11</v>
      </c>
      <c r="C56" s="88">
        <v>48380.356666666667</v>
      </c>
      <c r="D56" s="88"/>
      <c r="E56" s="88"/>
      <c r="F56" s="88"/>
    </row>
    <row r="57" spans="1:10" ht="16" thickBot="1"/>
    <row r="58" spans="1:10">
      <c r="A58" s="104"/>
      <c r="B58" s="104" t="s">
        <v>56</v>
      </c>
      <c r="C58" s="104" t="s">
        <v>45</v>
      </c>
      <c r="D58" s="104" t="s">
        <v>57</v>
      </c>
      <c r="E58" s="104" t="s">
        <v>58</v>
      </c>
      <c r="F58" s="104" t="s">
        <v>59</v>
      </c>
      <c r="G58" s="104" t="s">
        <v>60</v>
      </c>
      <c r="H58" s="104" t="s">
        <v>61</v>
      </c>
      <c r="I58" s="104" t="s">
        <v>62</v>
      </c>
    </row>
    <row r="59" spans="1:10">
      <c r="A59" s="87" t="s">
        <v>63</v>
      </c>
      <c r="B59" s="87">
        <v>340.34242424242427</v>
      </c>
      <c r="C59" s="87">
        <v>42.440846089056265</v>
      </c>
      <c r="D59" s="87">
        <v>8.019218644422466</v>
      </c>
      <c r="E59" s="87">
        <v>1.1529980971656473E-5</v>
      </c>
      <c r="F59" s="87">
        <v>245.77832616022829</v>
      </c>
      <c r="G59" s="87">
        <v>434.90652232462025</v>
      </c>
      <c r="H59" s="87">
        <v>245.77832616022829</v>
      </c>
      <c r="I59" s="87">
        <v>434.90652232462025</v>
      </c>
    </row>
    <row r="60" spans="1:10" ht="16" thickBot="1">
      <c r="A60" s="88" t="s">
        <v>64</v>
      </c>
      <c r="B60" s="88">
        <v>2.4062937062937078</v>
      </c>
      <c r="C60" s="88">
        <v>5.7665754403564673</v>
      </c>
      <c r="D60" s="88">
        <v>0.41728296649925734</v>
      </c>
      <c r="E60" s="88">
        <v>0.68528859072906889</v>
      </c>
      <c r="F60" s="88">
        <v>-10.442437075274396</v>
      </c>
      <c r="G60" s="88">
        <v>15.255024487861812</v>
      </c>
      <c r="H60" s="88">
        <v>-10.442437075274396</v>
      </c>
      <c r="I60" s="88">
        <v>15.255024487861812</v>
      </c>
    </row>
    <row r="63" spans="1:10">
      <c r="A63" s="326" t="s">
        <v>152</v>
      </c>
    </row>
    <row r="64" spans="1:10">
      <c r="A64" s="1"/>
      <c r="J64" s="136" t="s">
        <v>112</v>
      </c>
    </row>
    <row r="65" spans="1:10">
      <c r="G65" s="30" t="s">
        <v>100</v>
      </c>
      <c r="H65" s="136" t="s">
        <v>113</v>
      </c>
      <c r="J65" s="136" t="s">
        <v>113</v>
      </c>
    </row>
    <row r="66" spans="1:10">
      <c r="B66" s="30" t="s">
        <v>101</v>
      </c>
      <c r="C66" s="30" t="s">
        <v>102</v>
      </c>
      <c r="D66" s="30" t="s">
        <v>103</v>
      </c>
      <c r="E66" s="30" t="s">
        <v>104</v>
      </c>
      <c r="F66" s="30" t="s">
        <v>105</v>
      </c>
      <c r="G66" s="137" t="s">
        <v>106</v>
      </c>
      <c r="H66" s="138" t="s">
        <v>114</v>
      </c>
      <c r="I66" s="82" t="s">
        <v>185</v>
      </c>
      <c r="J66" s="136" t="s">
        <v>185</v>
      </c>
    </row>
    <row r="67" spans="1:10">
      <c r="A67" s="145" t="s">
        <v>4</v>
      </c>
      <c r="B67" s="562">
        <v>309</v>
      </c>
      <c r="C67" s="562">
        <v>398</v>
      </c>
      <c r="D67" s="562">
        <v>320</v>
      </c>
      <c r="E67" s="562">
        <v>314</v>
      </c>
      <c r="F67" s="562">
        <v>316</v>
      </c>
      <c r="G67" s="551">
        <f>AVERAGE(B67:F67)</f>
        <v>331.4</v>
      </c>
      <c r="H67" s="556">
        <f>G67/G79</f>
        <v>0.93094245985298907</v>
      </c>
      <c r="I67" s="6">
        <f>D36</f>
        <v>371.62424242424248</v>
      </c>
      <c r="J67" s="564">
        <f>H67*I67</f>
        <v>345.96078638342783</v>
      </c>
    </row>
    <row r="68" spans="1:10">
      <c r="A68" s="145" t="s">
        <v>5</v>
      </c>
      <c r="B68" s="562">
        <v>256</v>
      </c>
      <c r="C68" s="562">
        <v>330</v>
      </c>
      <c r="D68" s="562">
        <v>386</v>
      </c>
      <c r="E68" s="562">
        <v>311</v>
      </c>
      <c r="F68" s="562">
        <v>333</v>
      </c>
      <c r="G68" s="551">
        <f t="shared" ref="G68:G79" si="5">AVERAGE(B68:F68)</f>
        <v>323.2</v>
      </c>
      <c r="H68" s="556">
        <f>G68/G79</f>
        <v>0.90790767358022362</v>
      </c>
      <c r="I68" s="6">
        <f>D37</f>
        <v>374.03053613053618</v>
      </c>
      <c r="J68" s="564">
        <f>H68*I68</f>
        <v>339.58519390623889</v>
      </c>
    </row>
    <row r="69" spans="1:10">
      <c r="A69" s="145" t="s">
        <v>6</v>
      </c>
      <c r="B69" s="562">
        <v>271</v>
      </c>
      <c r="C69" s="562">
        <v>397</v>
      </c>
      <c r="D69" s="562">
        <v>324</v>
      </c>
      <c r="E69" s="562">
        <v>411</v>
      </c>
      <c r="F69" s="562">
        <v>446</v>
      </c>
      <c r="G69" s="551">
        <f t="shared" si="5"/>
        <v>369.8</v>
      </c>
      <c r="H69" s="556">
        <f>G69/G79</f>
        <v>1.0388126784961842</v>
      </c>
      <c r="I69" s="6"/>
      <c r="J69" s="144"/>
    </row>
    <row r="70" spans="1:10">
      <c r="A70" s="145" t="s">
        <v>7</v>
      </c>
      <c r="B70" s="562">
        <v>348</v>
      </c>
      <c r="C70" s="562">
        <v>379</v>
      </c>
      <c r="D70" s="562">
        <v>318</v>
      </c>
      <c r="E70" s="562">
        <v>325</v>
      </c>
      <c r="F70" s="562">
        <v>328</v>
      </c>
      <c r="G70" s="551">
        <f t="shared" si="5"/>
        <v>339.6</v>
      </c>
      <c r="H70" s="563"/>
    </row>
    <row r="71" spans="1:10">
      <c r="A71" s="145" t="s">
        <v>8</v>
      </c>
      <c r="B71" s="562">
        <v>267</v>
      </c>
      <c r="C71" s="562">
        <v>362</v>
      </c>
      <c r="D71" s="562">
        <v>413</v>
      </c>
      <c r="E71" s="562">
        <v>388</v>
      </c>
      <c r="F71" s="562">
        <v>278</v>
      </c>
      <c r="G71" s="551">
        <f t="shared" si="5"/>
        <v>341.6</v>
      </c>
      <c r="H71" s="563"/>
    </row>
    <row r="72" spans="1:10">
      <c r="A72" s="145" t="s">
        <v>9</v>
      </c>
      <c r="B72" s="562">
        <v>216</v>
      </c>
      <c r="C72" s="562">
        <v>288</v>
      </c>
      <c r="D72" s="562">
        <v>307</v>
      </c>
      <c r="E72" s="562">
        <v>288</v>
      </c>
      <c r="F72" s="562">
        <v>356</v>
      </c>
      <c r="G72" s="551">
        <f t="shared" si="5"/>
        <v>291</v>
      </c>
      <c r="H72" s="563"/>
    </row>
    <row r="73" spans="1:10">
      <c r="A73" s="145" t="s">
        <v>10</v>
      </c>
      <c r="B73" s="562">
        <v>361</v>
      </c>
      <c r="C73" s="562">
        <v>482</v>
      </c>
      <c r="D73" s="562">
        <v>329</v>
      </c>
      <c r="E73" s="562">
        <v>266</v>
      </c>
      <c r="F73" s="562">
        <v>326</v>
      </c>
      <c r="G73" s="551">
        <f t="shared" si="5"/>
        <v>352.8</v>
      </c>
      <c r="H73" s="563"/>
    </row>
    <row r="74" spans="1:10">
      <c r="A74" s="145" t="s">
        <v>23</v>
      </c>
      <c r="B74" s="562">
        <v>330</v>
      </c>
      <c r="C74" s="562">
        <v>413</v>
      </c>
      <c r="D74" s="562">
        <v>486</v>
      </c>
      <c r="E74" s="562">
        <v>511</v>
      </c>
      <c r="F74" s="562">
        <v>491</v>
      </c>
      <c r="G74" s="551">
        <f t="shared" si="5"/>
        <v>446.2</v>
      </c>
      <c r="H74" s="563"/>
    </row>
    <row r="75" spans="1:10">
      <c r="A75" s="145" t="s">
        <v>24</v>
      </c>
      <c r="B75" s="562">
        <v>400</v>
      </c>
      <c r="C75" s="562">
        <v>443</v>
      </c>
      <c r="D75" s="562">
        <v>423</v>
      </c>
      <c r="E75" s="562">
        <v>435</v>
      </c>
      <c r="F75" s="562">
        <v>465</v>
      </c>
      <c r="G75" s="551">
        <f t="shared" si="5"/>
        <v>433.2</v>
      </c>
      <c r="H75" s="563"/>
    </row>
    <row r="76" spans="1:10">
      <c r="A76" s="145" t="s">
        <v>14</v>
      </c>
      <c r="B76" s="562">
        <v>457</v>
      </c>
      <c r="C76" s="562">
        <v>535</v>
      </c>
      <c r="D76" s="562">
        <v>548</v>
      </c>
      <c r="E76" s="562">
        <v>451</v>
      </c>
      <c r="F76" s="562">
        <v>424</v>
      </c>
      <c r="G76" s="551">
        <f t="shared" si="5"/>
        <v>483</v>
      </c>
      <c r="H76" s="563"/>
    </row>
    <row r="77" spans="1:10">
      <c r="A77" s="145" t="s">
        <v>15</v>
      </c>
      <c r="B77" s="562">
        <v>235</v>
      </c>
      <c r="C77" s="562">
        <v>262</v>
      </c>
      <c r="D77" s="562">
        <v>252</v>
      </c>
      <c r="E77" s="562">
        <v>330</v>
      </c>
      <c r="F77" s="562">
        <v>305</v>
      </c>
      <c r="G77" s="551">
        <f t="shared" si="5"/>
        <v>276.8</v>
      </c>
      <c r="H77" s="563"/>
    </row>
    <row r="78" spans="1:10">
      <c r="A78" s="145" t="s">
        <v>16</v>
      </c>
      <c r="B78" s="562">
        <v>275</v>
      </c>
      <c r="C78" s="562">
        <v>291</v>
      </c>
      <c r="D78" s="562">
        <v>286</v>
      </c>
      <c r="E78" s="562">
        <v>283</v>
      </c>
      <c r="F78" s="562">
        <v>281</v>
      </c>
      <c r="G78" s="551">
        <f t="shared" si="5"/>
        <v>283.2</v>
      </c>
      <c r="H78" s="563"/>
    </row>
    <row r="79" spans="1:10">
      <c r="A79" t="s">
        <v>115</v>
      </c>
      <c r="B79" s="1">
        <f>SUM(B67:B78)/12</f>
        <v>310.41666666666669</v>
      </c>
      <c r="C79" s="1">
        <f>SUM(C67:C78)/12</f>
        <v>381.66666666666669</v>
      </c>
      <c r="D79" s="1">
        <f>SUM(D67:D78)/12</f>
        <v>366</v>
      </c>
      <c r="E79" s="1">
        <f>SUM(E67:E78)/12</f>
        <v>359.41666666666669</v>
      </c>
      <c r="F79" s="1">
        <f>SUM(F67:F78)/12</f>
        <v>362.41666666666669</v>
      </c>
      <c r="G79" s="551">
        <f t="shared" si="5"/>
        <v>355.98333333333341</v>
      </c>
      <c r="H79" s="563"/>
    </row>
    <row r="80" spans="1:10">
      <c r="A80" s="142" t="s">
        <v>116</v>
      </c>
      <c r="B80" s="142">
        <f>B79/G79</f>
        <v>0.87199775270377811</v>
      </c>
      <c r="C80" s="142">
        <f>C79/G79</f>
        <v>1.0721475724518936</v>
      </c>
      <c r="D80" s="142">
        <f>D79/G79</f>
        <v>1.0281380214429512</v>
      </c>
      <c r="E80" s="142">
        <f>E79/G79</f>
        <v>1.0096446462849382</v>
      </c>
      <c r="F80" s="142">
        <f>F79/G79</f>
        <v>1.018072007116438</v>
      </c>
    </row>
    <row r="82" spans="1:6">
      <c r="A82" s="326" t="s">
        <v>319</v>
      </c>
      <c r="B82" s="8"/>
      <c r="C82" s="8"/>
      <c r="D82" s="8"/>
    </row>
    <row r="84" spans="1:6">
      <c r="A84" s="8"/>
      <c r="B84" s="79" t="s">
        <v>101</v>
      </c>
      <c r="C84" s="79" t="s">
        <v>102</v>
      </c>
      <c r="D84" s="79" t="s">
        <v>103</v>
      </c>
      <c r="E84" s="79" t="s">
        <v>104</v>
      </c>
      <c r="F84" s="79" t="s">
        <v>105</v>
      </c>
    </row>
    <row r="85" spans="1:6">
      <c r="A85" s="229" t="s">
        <v>4</v>
      </c>
      <c r="B85" s="230">
        <f>$J$67*B80</f>
        <v>301.67702824998088</v>
      </c>
      <c r="C85" s="230">
        <f>$J$67*C80</f>
        <v>370.92101728454031</v>
      </c>
      <c r="D85" s="230">
        <f>$J$67*D80</f>
        <v>355.69543840910495</v>
      </c>
      <c r="E85" s="230">
        <f>$J$67*E80</f>
        <v>349.29745579655508</v>
      </c>
      <c r="F85" s="230">
        <f>$J$67*F80</f>
        <v>352.21299217695764</v>
      </c>
    </row>
    <row r="86" spans="1:6">
      <c r="A86" s="229" t="s">
        <v>5</v>
      </c>
      <c r="B86" s="230">
        <f>$J$68*B80</f>
        <v>296.11752593771701</v>
      </c>
      <c r="C86" s="230">
        <f>$J$68*C80</f>
        <v>364.08544128717961</v>
      </c>
      <c r="D86" s="230">
        <f>$J$68*D80</f>
        <v>349.14044937408136</v>
      </c>
      <c r="E86" s="230">
        <f>$J$68*E80</f>
        <v>342.8603729850667</v>
      </c>
      <c r="F86" s="230">
        <f>$J$68*F80</f>
        <v>345.72217994714941</v>
      </c>
    </row>
  </sheetData>
  <mergeCells count="5">
    <mergeCell ref="J20:M20"/>
    <mergeCell ref="J21:L21"/>
    <mergeCell ref="J22:L22"/>
    <mergeCell ref="J27:L27"/>
    <mergeCell ref="J28:L28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topLeftCell="A10" workbookViewId="0"/>
  </sheetViews>
  <sheetFormatPr baseColWidth="10" defaultColWidth="8.83203125" defaultRowHeight="15"/>
  <sheetData>
    <row r="1" spans="1:5">
      <c r="A1" s="296" t="s">
        <v>209</v>
      </c>
      <c r="B1" s="295"/>
      <c r="C1" s="295"/>
      <c r="D1" s="295"/>
      <c r="E1" s="295"/>
    </row>
    <row r="3" spans="1:5">
      <c r="A3" s="296" t="s">
        <v>0</v>
      </c>
      <c r="B3" s="296" t="s">
        <v>1</v>
      </c>
      <c r="C3" s="297" t="s">
        <v>2</v>
      </c>
      <c r="D3" s="297" t="s">
        <v>125</v>
      </c>
      <c r="E3" s="297" t="s">
        <v>3</v>
      </c>
    </row>
    <row r="4" spans="1:5">
      <c r="A4" s="295" t="s">
        <v>4</v>
      </c>
      <c r="B4" s="295">
        <v>2160</v>
      </c>
      <c r="C4" s="295"/>
      <c r="D4" s="295"/>
      <c r="E4" s="295"/>
    </row>
    <row r="5" spans="1:5">
      <c r="A5" s="295" t="s">
        <v>5</v>
      </c>
      <c r="B5" s="295">
        <v>2186</v>
      </c>
      <c r="C5" s="295">
        <f>B4</f>
        <v>2160</v>
      </c>
      <c r="D5" s="295"/>
      <c r="E5" s="295"/>
    </row>
    <row r="6" spans="1:5">
      <c r="A6" s="295" t="s">
        <v>6</v>
      </c>
      <c r="B6" s="295">
        <v>2246</v>
      </c>
      <c r="C6" s="295">
        <f t="shared" ref="C6:C10" si="0">B5</f>
        <v>2186</v>
      </c>
      <c r="D6" s="295"/>
      <c r="E6" s="295"/>
    </row>
    <row r="7" spans="1:5">
      <c r="A7" s="295" t="s">
        <v>7</v>
      </c>
      <c r="B7" s="295">
        <v>2251</v>
      </c>
      <c r="C7" s="295">
        <f t="shared" si="0"/>
        <v>2246</v>
      </c>
      <c r="D7" s="298">
        <f>AVERAGE(B4:B6)</f>
        <v>2197.3333333333335</v>
      </c>
      <c r="E7" s="295"/>
    </row>
    <row r="8" spans="1:5">
      <c r="A8" s="295" t="s">
        <v>8</v>
      </c>
      <c r="B8" s="295">
        <v>2243</v>
      </c>
      <c r="C8" s="295">
        <f t="shared" si="0"/>
        <v>2251</v>
      </c>
      <c r="D8" s="298">
        <f>AVERAGE(B5:B7)</f>
        <v>2227.6666666666665</v>
      </c>
      <c r="E8" s="298">
        <f>AVERAGE(B4:B7)</f>
        <v>2210.75</v>
      </c>
    </row>
    <row r="9" spans="1:5">
      <c r="A9" s="295" t="s">
        <v>9</v>
      </c>
      <c r="B9" s="295">
        <v>2162</v>
      </c>
      <c r="C9" s="295">
        <f t="shared" si="0"/>
        <v>2243</v>
      </c>
      <c r="D9" s="298">
        <f>AVERAGE(B6:B8)</f>
        <v>2246.6666666666665</v>
      </c>
      <c r="E9" s="298">
        <f>AVERAGE(B5:B8)</f>
        <v>2231.5</v>
      </c>
    </row>
    <row r="10" spans="1:5">
      <c r="A10" s="296" t="s">
        <v>10</v>
      </c>
      <c r="B10" s="295"/>
      <c r="C10" s="296">
        <f t="shared" si="0"/>
        <v>2162</v>
      </c>
      <c r="D10" s="298">
        <f>AVERAGE(B7:B9)</f>
        <v>2218.6666666666665</v>
      </c>
      <c r="E10" s="298">
        <f>AVERAGE(B6:B9)</f>
        <v>2225.5</v>
      </c>
    </row>
    <row r="11" spans="1:5">
      <c r="A11" s="295"/>
      <c r="B11" s="295"/>
      <c r="C11" s="295"/>
      <c r="D11" s="299"/>
      <c r="E11" s="299"/>
    </row>
    <row r="13" spans="1:5">
      <c r="A13" s="294" t="s">
        <v>11</v>
      </c>
      <c r="B13" s="300">
        <v>2162</v>
      </c>
      <c r="C13" s="300"/>
      <c r="D13" s="296" t="s">
        <v>328</v>
      </c>
      <c r="E13" s="295"/>
    </row>
    <row r="14" spans="1:5">
      <c r="A14" s="295"/>
      <c r="B14" s="297"/>
      <c r="C14" s="297"/>
      <c r="D14" s="296"/>
      <c r="E14" s="295"/>
    </row>
    <row r="15" spans="1:5">
      <c r="A15" s="294" t="s">
        <v>12</v>
      </c>
      <c r="B15" s="300">
        <v>2218.6666666666665</v>
      </c>
      <c r="C15" s="297"/>
      <c r="D15" s="296" t="s">
        <v>329</v>
      </c>
      <c r="E15" s="295"/>
    </row>
    <row r="16" spans="1:5">
      <c r="A16" s="295"/>
      <c r="B16" s="297"/>
      <c r="C16" s="297"/>
      <c r="D16" s="296"/>
      <c r="E16" s="295"/>
    </row>
    <row r="17" spans="1:11">
      <c r="A17" s="294" t="s">
        <v>13</v>
      </c>
      <c r="B17" s="300">
        <v>2225.5</v>
      </c>
      <c r="C17" s="300"/>
      <c r="D17" s="296" t="s">
        <v>330</v>
      </c>
      <c r="E17" s="295"/>
      <c r="F17" s="295"/>
      <c r="G17" s="295"/>
      <c r="H17" s="295"/>
      <c r="I17" s="295"/>
      <c r="J17" s="295"/>
      <c r="K17" s="295"/>
    </row>
    <row r="18" spans="1:11">
      <c r="D18" s="6"/>
    </row>
    <row r="19" spans="1:11">
      <c r="A19" s="301" t="s">
        <v>208</v>
      </c>
      <c r="B19" s="295"/>
      <c r="C19" s="295"/>
      <c r="D19" s="295"/>
      <c r="E19" s="295"/>
      <c r="F19" s="295"/>
      <c r="G19" s="295"/>
      <c r="H19" s="295"/>
      <c r="I19" s="295"/>
      <c r="J19" s="295"/>
      <c r="K19" s="295"/>
    </row>
    <row r="20" spans="1:11">
      <c r="A20" s="652" t="s">
        <v>119</v>
      </c>
      <c r="B20" s="652"/>
      <c r="C20" s="652"/>
      <c r="D20" s="652"/>
      <c r="E20" s="302"/>
      <c r="F20" s="295"/>
      <c r="G20" s="652" t="s">
        <v>119</v>
      </c>
      <c r="H20" s="652"/>
      <c r="I20" s="652"/>
      <c r="J20" s="652"/>
      <c r="K20" s="302"/>
    </row>
    <row r="21" spans="1:11" ht="16" thickBot="1">
      <c r="A21" s="302"/>
      <c r="B21" s="302"/>
      <c r="C21" s="302"/>
      <c r="D21" s="302"/>
      <c r="E21" s="302"/>
      <c r="F21" s="295"/>
      <c r="G21" s="302"/>
      <c r="H21" s="302"/>
      <c r="I21" s="302"/>
      <c r="J21" s="302"/>
      <c r="K21" s="302"/>
    </row>
    <row r="22" spans="1:11" ht="16" thickBot="1">
      <c r="A22" s="653" t="s">
        <v>120</v>
      </c>
      <c r="B22" s="653"/>
      <c r="C22" s="653"/>
      <c r="D22" s="303">
        <v>3</v>
      </c>
      <c r="E22" s="302"/>
      <c r="F22" s="295"/>
      <c r="G22" s="653" t="s">
        <v>120</v>
      </c>
      <c r="H22" s="653"/>
      <c r="I22" s="653"/>
      <c r="J22" s="303">
        <v>4</v>
      </c>
      <c r="K22" s="302"/>
    </row>
    <row r="23" spans="1:11" ht="16" thickBot="1">
      <c r="A23" s="302"/>
      <c r="B23" s="302"/>
      <c r="C23" s="302"/>
      <c r="D23" s="302"/>
      <c r="E23" s="302"/>
      <c r="F23" s="295"/>
      <c r="G23" s="302"/>
      <c r="H23" s="302"/>
      <c r="I23" s="302"/>
      <c r="J23" s="302"/>
      <c r="K23" s="302"/>
    </row>
    <row r="24" spans="1:11">
      <c r="A24" s="304" t="s">
        <v>121</v>
      </c>
      <c r="B24" s="305">
        <v>51.222222222222172</v>
      </c>
      <c r="C24" s="306"/>
      <c r="D24" s="307"/>
      <c r="E24" s="302"/>
      <c r="F24" s="295"/>
      <c r="G24" s="304" t="s">
        <v>121</v>
      </c>
      <c r="H24" s="305">
        <v>50.875</v>
      </c>
      <c r="I24" s="306"/>
      <c r="J24" s="307"/>
      <c r="K24" s="302"/>
    </row>
    <row r="25" spans="1:11" ht="16" thickBot="1">
      <c r="A25" s="304" t="s">
        <v>122</v>
      </c>
      <c r="B25" s="308">
        <v>2.308693910256408E-2</v>
      </c>
      <c r="C25" s="306"/>
      <c r="D25" s="307"/>
      <c r="E25" s="302"/>
      <c r="F25" s="295"/>
      <c r="G25" s="304" t="s">
        <v>122</v>
      </c>
      <c r="H25" s="308">
        <v>2.3098751418842225E-2</v>
      </c>
      <c r="I25" s="306"/>
      <c r="J25" s="307"/>
      <c r="K25" s="302"/>
    </row>
    <row r="26" spans="1:11" ht="16" thickBot="1">
      <c r="A26" s="302"/>
      <c r="B26" s="302"/>
      <c r="C26" s="302"/>
      <c r="D26" s="302"/>
      <c r="E26" s="302"/>
      <c r="F26" s="295"/>
      <c r="G26" s="302"/>
      <c r="H26" s="302"/>
      <c r="I26" s="302"/>
      <c r="J26" s="302"/>
      <c r="K26" s="302"/>
    </row>
    <row r="27" spans="1:11" ht="30" thickBot="1">
      <c r="A27" s="309" t="s">
        <v>39</v>
      </c>
      <c r="B27" s="309" t="s">
        <v>38</v>
      </c>
      <c r="C27" s="309" t="s">
        <v>185</v>
      </c>
      <c r="D27" s="309" t="s">
        <v>37</v>
      </c>
      <c r="E27" s="310" t="s">
        <v>123</v>
      </c>
      <c r="F27" s="295"/>
      <c r="G27" s="309" t="s">
        <v>39</v>
      </c>
      <c r="H27" s="309" t="s">
        <v>38</v>
      </c>
      <c r="I27" s="309" t="s">
        <v>185</v>
      </c>
      <c r="J27" s="309" t="s">
        <v>37</v>
      </c>
      <c r="K27" s="310" t="s">
        <v>123</v>
      </c>
    </row>
    <row r="28" spans="1:11">
      <c r="A28" s="311">
        <v>1</v>
      </c>
      <c r="B28" s="312">
        <v>2160</v>
      </c>
      <c r="C28" s="313" t="s">
        <v>124</v>
      </c>
      <c r="D28" s="314" t="s">
        <v>124</v>
      </c>
      <c r="E28" s="315" t="s">
        <v>124</v>
      </c>
      <c r="F28" s="295"/>
      <c r="G28" s="311">
        <v>1</v>
      </c>
      <c r="H28" s="312">
        <v>2160</v>
      </c>
      <c r="I28" s="313" t="s">
        <v>124</v>
      </c>
      <c r="J28" s="314" t="s">
        <v>124</v>
      </c>
      <c r="K28" s="315" t="s">
        <v>124</v>
      </c>
    </row>
    <row r="29" spans="1:11">
      <c r="A29" s="316">
        <v>2</v>
      </c>
      <c r="B29" s="312">
        <v>2186</v>
      </c>
      <c r="C29" s="317" t="s">
        <v>124</v>
      </c>
      <c r="D29" s="318" t="s">
        <v>124</v>
      </c>
      <c r="E29" s="319" t="s">
        <v>124</v>
      </c>
      <c r="F29" s="295"/>
      <c r="G29" s="316">
        <v>2</v>
      </c>
      <c r="H29" s="312">
        <v>2186</v>
      </c>
      <c r="I29" s="317" t="s">
        <v>124</v>
      </c>
      <c r="J29" s="318" t="s">
        <v>124</v>
      </c>
      <c r="K29" s="319" t="s">
        <v>124</v>
      </c>
    </row>
    <row r="30" spans="1:11">
      <c r="A30" s="316">
        <v>3</v>
      </c>
      <c r="B30" s="312">
        <v>2246</v>
      </c>
      <c r="C30" s="317" t="s">
        <v>124</v>
      </c>
      <c r="D30" s="318" t="s">
        <v>124</v>
      </c>
      <c r="E30" s="319" t="s">
        <v>124</v>
      </c>
      <c r="F30" s="295"/>
      <c r="G30" s="316">
        <v>3</v>
      </c>
      <c r="H30" s="312">
        <v>2246</v>
      </c>
      <c r="I30" s="317" t="s">
        <v>124</v>
      </c>
      <c r="J30" s="318" t="s">
        <v>124</v>
      </c>
      <c r="K30" s="319" t="s">
        <v>124</v>
      </c>
    </row>
    <row r="31" spans="1:11">
      <c r="A31" s="316">
        <v>4</v>
      </c>
      <c r="B31" s="312">
        <v>2251</v>
      </c>
      <c r="C31" s="317">
        <v>2197.3333333333335</v>
      </c>
      <c r="D31" s="318">
        <v>53.666666666666515</v>
      </c>
      <c r="E31" s="319">
        <v>1</v>
      </c>
      <c r="F31" s="295"/>
      <c r="G31" s="316">
        <v>4</v>
      </c>
      <c r="H31" s="312">
        <v>2251</v>
      </c>
      <c r="I31" s="317" t="s">
        <v>124</v>
      </c>
      <c r="J31" s="318" t="s">
        <v>124</v>
      </c>
      <c r="K31" s="319" t="s">
        <v>124</v>
      </c>
    </row>
    <row r="32" spans="1:11">
      <c r="A32" s="316">
        <v>5</v>
      </c>
      <c r="B32" s="312">
        <v>2243</v>
      </c>
      <c r="C32" s="317">
        <v>2227.6666666666665</v>
      </c>
      <c r="D32" s="318">
        <v>15.333333333333485</v>
      </c>
      <c r="E32" s="319">
        <v>2</v>
      </c>
      <c r="F32" s="295"/>
      <c r="G32" s="316">
        <v>5</v>
      </c>
      <c r="H32" s="312">
        <v>2243</v>
      </c>
      <c r="I32" s="317">
        <v>2210.75</v>
      </c>
      <c r="J32" s="318">
        <v>32.25</v>
      </c>
      <c r="K32" s="319">
        <v>1</v>
      </c>
    </row>
    <row r="33" spans="1:11">
      <c r="A33" s="316">
        <v>6</v>
      </c>
      <c r="B33" s="312">
        <v>2162</v>
      </c>
      <c r="C33" s="317">
        <v>2246.6666666666665</v>
      </c>
      <c r="D33" s="318">
        <v>-84.666666666666515</v>
      </c>
      <c r="E33" s="319">
        <v>-0.30585683297179778</v>
      </c>
      <c r="F33" s="295"/>
      <c r="G33" s="316">
        <v>6</v>
      </c>
      <c r="H33" s="312">
        <v>2162</v>
      </c>
      <c r="I33" s="317">
        <v>2231.5</v>
      </c>
      <c r="J33" s="318">
        <v>-69.5</v>
      </c>
      <c r="K33" s="319">
        <v>-0.73218673218673214</v>
      </c>
    </row>
    <row r="34" spans="1:11">
      <c r="A34" s="316">
        <v>7</v>
      </c>
      <c r="B34" s="320"/>
      <c r="C34" s="317">
        <v>2218.6666666666665</v>
      </c>
      <c r="D34" s="318" t="s">
        <v>124</v>
      </c>
      <c r="E34" s="319" t="s">
        <v>124</v>
      </c>
      <c r="F34" s="295"/>
      <c r="G34" s="316">
        <v>7</v>
      </c>
      <c r="H34" s="320"/>
      <c r="I34" s="317">
        <v>2225.5</v>
      </c>
      <c r="J34" s="318" t="s">
        <v>124</v>
      </c>
      <c r="K34" s="319" t="s">
        <v>124</v>
      </c>
    </row>
  </sheetData>
  <mergeCells count="4">
    <mergeCell ref="A20:D20"/>
    <mergeCell ref="A22:C22"/>
    <mergeCell ref="G20:J20"/>
    <mergeCell ref="G22:I22"/>
  </mergeCells>
  <pageMargins left="0.7" right="0.7" top="0.75" bottom="0.75" header="0.3" footer="0.3"/>
  <pageSetup orientation="portrait" horizontalDpi="4294967293" verticalDpi="0" r:id="rId1"/>
  <ignoredErrors>
    <ignoredError sqref="D7 D8:D10 E8:E10" formulaRange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85"/>
  <sheetViews>
    <sheetView topLeftCell="A51" workbookViewId="0">
      <selection activeCell="J65" sqref="J65"/>
    </sheetView>
  </sheetViews>
  <sheetFormatPr baseColWidth="10" defaultColWidth="8.83203125" defaultRowHeight="15"/>
  <cols>
    <col min="1" max="1" width="13.83203125" customWidth="1"/>
    <col min="2" max="2" width="12" bestFit="1" customWidth="1"/>
    <col min="4" max="4" width="12.5" customWidth="1"/>
    <col min="7" max="7" width="14.1640625" customWidth="1"/>
    <col min="8" max="8" width="12.6640625" customWidth="1"/>
    <col min="10" max="10" width="12.5" customWidth="1"/>
    <col min="14" max="14" width="15.83203125" customWidth="1"/>
    <col min="257" max="257" width="13.83203125" customWidth="1"/>
    <col min="260" max="260" width="10.5" customWidth="1"/>
    <col min="264" max="264" width="12.6640625" customWidth="1"/>
    <col min="266" max="266" width="12.5" customWidth="1"/>
    <col min="513" max="513" width="13.83203125" customWidth="1"/>
    <col min="516" max="516" width="10.5" customWidth="1"/>
    <col min="520" max="520" width="12.6640625" customWidth="1"/>
    <col min="522" max="522" width="12.5" customWidth="1"/>
    <col min="769" max="769" width="13.83203125" customWidth="1"/>
    <col min="772" max="772" width="10.5" customWidth="1"/>
    <col min="776" max="776" width="12.6640625" customWidth="1"/>
    <col min="778" max="778" width="12.5" customWidth="1"/>
    <col min="1025" max="1025" width="13.83203125" customWidth="1"/>
    <col min="1028" max="1028" width="10.5" customWidth="1"/>
    <col min="1032" max="1032" width="12.6640625" customWidth="1"/>
    <col min="1034" max="1034" width="12.5" customWidth="1"/>
    <col min="1281" max="1281" width="13.83203125" customWidth="1"/>
    <col min="1284" max="1284" width="10.5" customWidth="1"/>
    <col min="1288" max="1288" width="12.6640625" customWidth="1"/>
    <col min="1290" max="1290" width="12.5" customWidth="1"/>
    <col min="1537" max="1537" width="13.83203125" customWidth="1"/>
    <col min="1540" max="1540" width="10.5" customWidth="1"/>
    <col min="1544" max="1544" width="12.6640625" customWidth="1"/>
    <col min="1546" max="1546" width="12.5" customWidth="1"/>
    <col min="1793" max="1793" width="13.83203125" customWidth="1"/>
    <col min="1796" max="1796" width="10.5" customWidth="1"/>
    <col min="1800" max="1800" width="12.6640625" customWidth="1"/>
    <col min="1802" max="1802" width="12.5" customWidth="1"/>
    <col min="2049" max="2049" width="13.83203125" customWidth="1"/>
    <col min="2052" max="2052" width="10.5" customWidth="1"/>
    <col min="2056" max="2056" width="12.6640625" customWidth="1"/>
    <col min="2058" max="2058" width="12.5" customWidth="1"/>
    <col min="2305" max="2305" width="13.83203125" customWidth="1"/>
    <col min="2308" max="2308" width="10.5" customWidth="1"/>
    <col min="2312" max="2312" width="12.6640625" customWidth="1"/>
    <col min="2314" max="2314" width="12.5" customWidth="1"/>
    <col min="2561" max="2561" width="13.83203125" customWidth="1"/>
    <col min="2564" max="2564" width="10.5" customWidth="1"/>
    <col min="2568" max="2568" width="12.6640625" customWidth="1"/>
    <col min="2570" max="2570" width="12.5" customWidth="1"/>
    <col min="2817" max="2817" width="13.83203125" customWidth="1"/>
    <col min="2820" max="2820" width="10.5" customWidth="1"/>
    <col min="2824" max="2824" width="12.6640625" customWidth="1"/>
    <col min="2826" max="2826" width="12.5" customWidth="1"/>
    <col min="3073" max="3073" width="13.83203125" customWidth="1"/>
    <col min="3076" max="3076" width="10.5" customWidth="1"/>
    <col min="3080" max="3080" width="12.6640625" customWidth="1"/>
    <col min="3082" max="3082" width="12.5" customWidth="1"/>
    <col min="3329" max="3329" width="13.83203125" customWidth="1"/>
    <col min="3332" max="3332" width="10.5" customWidth="1"/>
    <col min="3336" max="3336" width="12.6640625" customWidth="1"/>
    <col min="3338" max="3338" width="12.5" customWidth="1"/>
    <col min="3585" max="3585" width="13.83203125" customWidth="1"/>
    <col min="3588" max="3588" width="10.5" customWidth="1"/>
    <col min="3592" max="3592" width="12.6640625" customWidth="1"/>
    <col min="3594" max="3594" width="12.5" customWidth="1"/>
    <col min="3841" max="3841" width="13.83203125" customWidth="1"/>
    <col min="3844" max="3844" width="10.5" customWidth="1"/>
    <col min="3848" max="3848" width="12.6640625" customWidth="1"/>
    <col min="3850" max="3850" width="12.5" customWidth="1"/>
    <col min="4097" max="4097" width="13.83203125" customWidth="1"/>
    <col min="4100" max="4100" width="10.5" customWidth="1"/>
    <col min="4104" max="4104" width="12.6640625" customWidth="1"/>
    <col min="4106" max="4106" width="12.5" customWidth="1"/>
    <col min="4353" max="4353" width="13.83203125" customWidth="1"/>
    <col min="4356" max="4356" width="10.5" customWidth="1"/>
    <col min="4360" max="4360" width="12.6640625" customWidth="1"/>
    <col min="4362" max="4362" width="12.5" customWidth="1"/>
    <col min="4609" max="4609" width="13.83203125" customWidth="1"/>
    <col min="4612" max="4612" width="10.5" customWidth="1"/>
    <col min="4616" max="4616" width="12.6640625" customWidth="1"/>
    <col min="4618" max="4618" width="12.5" customWidth="1"/>
    <col min="4865" max="4865" width="13.83203125" customWidth="1"/>
    <col min="4868" max="4868" width="10.5" customWidth="1"/>
    <col min="4872" max="4872" width="12.6640625" customWidth="1"/>
    <col min="4874" max="4874" width="12.5" customWidth="1"/>
    <col min="5121" max="5121" width="13.83203125" customWidth="1"/>
    <col min="5124" max="5124" width="10.5" customWidth="1"/>
    <col min="5128" max="5128" width="12.6640625" customWidth="1"/>
    <col min="5130" max="5130" width="12.5" customWidth="1"/>
    <col min="5377" max="5377" width="13.83203125" customWidth="1"/>
    <col min="5380" max="5380" width="10.5" customWidth="1"/>
    <col min="5384" max="5384" width="12.6640625" customWidth="1"/>
    <col min="5386" max="5386" width="12.5" customWidth="1"/>
    <col min="5633" max="5633" width="13.83203125" customWidth="1"/>
    <col min="5636" max="5636" width="10.5" customWidth="1"/>
    <col min="5640" max="5640" width="12.6640625" customWidth="1"/>
    <col min="5642" max="5642" width="12.5" customWidth="1"/>
    <col min="5889" max="5889" width="13.83203125" customWidth="1"/>
    <col min="5892" max="5892" width="10.5" customWidth="1"/>
    <col min="5896" max="5896" width="12.6640625" customWidth="1"/>
    <col min="5898" max="5898" width="12.5" customWidth="1"/>
    <col min="6145" max="6145" width="13.83203125" customWidth="1"/>
    <col min="6148" max="6148" width="10.5" customWidth="1"/>
    <col min="6152" max="6152" width="12.6640625" customWidth="1"/>
    <col min="6154" max="6154" width="12.5" customWidth="1"/>
    <col min="6401" max="6401" width="13.83203125" customWidth="1"/>
    <col min="6404" max="6404" width="10.5" customWidth="1"/>
    <col min="6408" max="6408" width="12.6640625" customWidth="1"/>
    <col min="6410" max="6410" width="12.5" customWidth="1"/>
    <col min="6657" max="6657" width="13.83203125" customWidth="1"/>
    <col min="6660" max="6660" width="10.5" customWidth="1"/>
    <col min="6664" max="6664" width="12.6640625" customWidth="1"/>
    <col min="6666" max="6666" width="12.5" customWidth="1"/>
    <col min="6913" max="6913" width="13.83203125" customWidth="1"/>
    <col min="6916" max="6916" width="10.5" customWidth="1"/>
    <col min="6920" max="6920" width="12.6640625" customWidth="1"/>
    <col min="6922" max="6922" width="12.5" customWidth="1"/>
    <col min="7169" max="7169" width="13.83203125" customWidth="1"/>
    <col min="7172" max="7172" width="10.5" customWidth="1"/>
    <col min="7176" max="7176" width="12.6640625" customWidth="1"/>
    <col min="7178" max="7178" width="12.5" customWidth="1"/>
    <col min="7425" max="7425" width="13.83203125" customWidth="1"/>
    <col min="7428" max="7428" width="10.5" customWidth="1"/>
    <col min="7432" max="7432" width="12.6640625" customWidth="1"/>
    <col min="7434" max="7434" width="12.5" customWidth="1"/>
    <col min="7681" max="7681" width="13.83203125" customWidth="1"/>
    <col min="7684" max="7684" width="10.5" customWidth="1"/>
    <col min="7688" max="7688" width="12.6640625" customWidth="1"/>
    <col min="7690" max="7690" width="12.5" customWidth="1"/>
    <col min="7937" max="7937" width="13.83203125" customWidth="1"/>
    <col min="7940" max="7940" width="10.5" customWidth="1"/>
    <col min="7944" max="7944" width="12.6640625" customWidth="1"/>
    <col min="7946" max="7946" width="12.5" customWidth="1"/>
    <col min="8193" max="8193" width="13.83203125" customWidth="1"/>
    <col min="8196" max="8196" width="10.5" customWidth="1"/>
    <col min="8200" max="8200" width="12.6640625" customWidth="1"/>
    <col min="8202" max="8202" width="12.5" customWidth="1"/>
    <col min="8449" max="8449" width="13.83203125" customWidth="1"/>
    <col min="8452" max="8452" width="10.5" customWidth="1"/>
    <col min="8456" max="8456" width="12.6640625" customWidth="1"/>
    <col min="8458" max="8458" width="12.5" customWidth="1"/>
    <col min="8705" max="8705" width="13.83203125" customWidth="1"/>
    <col min="8708" max="8708" width="10.5" customWidth="1"/>
    <col min="8712" max="8712" width="12.6640625" customWidth="1"/>
    <col min="8714" max="8714" width="12.5" customWidth="1"/>
    <col min="8961" max="8961" width="13.83203125" customWidth="1"/>
    <col min="8964" max="8964" width="10.5" customWidth="1"/>
    <col min="8968" max="8968" width="12.6640625" customWidth="1"/>
    <col min="8970" max="8970" width="12.5" customWidth="1"/>
    <col min="9217" max="9217" width="13.83203125" customWidth="1"/>
    <col min="9220" max="9220" width="10.5" customWidth="1"/>
    <col min="9224" max="9224" width="12.6640625" customWidth="1"/>
    <col min="9226" max="9226" width="12.5" customWidth="1"/>
    <col min="9473" max="9473" width="13.83203125" customWidth="1"/>
    <col min="9476" max="9476" width="10.5" customWidth="1"/>
    <col min="9480" max="9480" width="12.6640625" customWidth="1"/>
    <col min="9482" max="9482" width="12.5" customWidth="1"/>
    <col min="9729" max="9729" width="13.83203125" customWidth="1"/>
    <col min="9732" max="9732" width="10.5" customWidth="1"/>
    <col min="9736" max="9736" width="12.6640625" customWidth="1"/>
    <col min="9738" max="9738" width="12.5" customWidth="1"/>
    <col min="9985" max="9985" width="13.83203125" customWidth="1"/>
    <col min="9988" max="9988" width="10.5" customWidth="1"/>
    <col min="9992" max="9992" width="12.6640625" customWidth="1"/>
    <col min="9994" max="9994" width="12.5" customWidth="1"/>
    <col min="10241" max="10241" width="13.83203125" customWidth="1"/>
    <col min="10244" max="10244" width="10.5" customWidth="1"/>
    <col min="10248" max="10248" width="12.6640625" customWidth="1"/>
    <col min="10250" max="10250" width="12.5" customWidth="1"/>
    <col min="10497" max="10497" width="13.83203125" customWidth="1"/>
    <col min="10500" max="10500" width="10.5" customWidth="1"/>
    <col min="10504" max="10504" width="12.6640625" customWidth="1"/>
    <col min="10506" max="10506" width="12.5" customWidth="1"/>
    <col min="10753" max="10753" width="13.83203125" customWidth="1"/>
    <col min="10756" max="10756" width="10.5" customWidth="1"/>
    <col min="10760" max="10760" width="12.6640625" customWidth="1"/>
    <col min="10762" max="10762" width="12.5" customWidth="1"/>
    <col min="11009" max="11009" width="13.83203125" customWidth="1"/>
    <col min="11012" max="11012" width="10.5" customWidth="1"/>
    <col min="11016" max="11016" width="12.6640625" customWidth="1"/>
    <col min="11018" max="11018" width="12.5" customWidth="1"/>
    <col min="11265" max="11265" width="13.83203125" customWidth="1"/>
    <col min="11268" max="11268" width="10.5" customWidth="1"/>
    <col min="11272" max="11272" width="12.6640625" customWidth="1"/>
    <col min="11274" max="11274" width="12.5" customWidth="1"/>
    <col min="11521" max="11521" width="13.83203125" customWidth="1"/>
    <col min="11524" max="11524" width="10.5" customWidth="1"/>
    <col min="11528" max="11528" width="12.6640625" customWidth="1"/>
    <col min="11530" max="11530" width="12.5" customWidth="1"/>
    <col min="11777" max="11777" width="13.83203125" customWidth="1"/>
    <col min="11780" max="11780" width="10.5" customWidth="1"/>
    <col min="11784" max="11784" width="12.6640625" customWidth="1"/>
    <col min="11786" max="11786" width="12.5" customWidth="1"/>
    <col min="12033" max="12033" width="13.83203125" customWidth="1"/>
    <col min="12036" max="12036" width="10.5" customWidth="1"/>
    <col min="12040" max="12040" width="12.6640625" customWidth="1"/>
    <col min="12042" max="12042" width="12.5" customWidth="1"/>
    <col min="12289" max="12289" width="13.83203125" customWidth="1"/>
    <col min="12292" max="12292" width="10.5" customWidth="1"/>
    <col min="12296" max="12296" width="12.6640625" customWidth="1"/>
    <col min="12298" max="12298" width="12.5" customWidth="1"/>
    <col min="12545" max="12545" width="13.83203125" customWidth="1"/>
    <col min="12548" max="12548" width="10.5" customWidth="1"/>
    <col min="12552" max="12552" width="12.6640625" customWidth="1"/>
    <col min="12554" max="12554" width="12.5" customWidth="1"/>
    <col min="12801" max="12801" width="13.83203125" customWidth="1"/>
    <col min="12804" max="12804" width="10.5" customWidth="1"/>
    <col min="12808" max="12808" width="12.6640625" customWidth="1"/>
    <col min="12810" max="12810" width="12.5" customWidth="1"/>
    <col min="13057" max="13057" width="13.83203125" customWidth="1"/>
    <col min="13060" max="13060" width="10.5" customWidth="1"/>
    <col min="13064" max="13064" width="12.6640625" customWidth="1"/>
    <col min="13066" max="13066" width="12.5" customWidth="1"/>
    <col min="13313" max="13313" width="13.83203125" customWidth="1"/>
    <col min="13316" max="13316" width="10.5" customWidth="1"/>
    <col min="13320" max="13320" width="12.6640625" customWidth="1"/>
    <col min="13322" max="13322" width="12.5" customWidth="1"/>
    <col min="13569" max="13569" width="13.83203125" customWidth="1"/>
    <col min="13572" max="13572" width="10.5" customWidth="1"/>
    <col min="13576" max="13576" width="12.6640625" customWidth="1"/>
    <col min="13578" max="13578" width="12.5" customWidth="1"/>
    <col min="13825" max="13825" width="13.83203125" customWidth="1"/>
    <col min="13828" max="13828" width="10.5" customWidth="1"/>
    <col min="13832" max="13832" width="12.6640625" customWidth="1"/>
    <col min="13834" max="13834" width="12.5" customWidth="1"/>
    <col min="14081" max="14081" width="13.83203125" customWidth="1"/>
    <col min="14084" max="14084" width="10.5" customWidth="1"/>
    <col min="14088" max="14088" width="12.6640625" customWidth="1"/>
    <col min="14090" max="14090" width="12.5" customWidth="1"/>
    <col min="14337" max="14337" width="13.83203125" customWidth="1"/>
    <col min="14340" max="14340" width="10.5" customWidth="1"/>
    <col min="14344" max="14344" width="12.6640625" customWidth="1"/>
    <col min="14346" max="14346" width="12.5" customWidth="1"/>
    <col min="14593" max="14593" width="13.83203125" customWidth="1"/>
    <col min="14596" max="14596" width="10.5" customWidth="1"/>
    <col min="14600" max="14600" width="12.6640625" customWidth="1"/>
    <col min="14602" max="14602" width="12.5" customWidth="1"/>
    <col min="14849" max="14849" width="13.83203125" customWidth="1"/>
    <col min="14852" max="14852" width="10.5" customWidth="1"/>
    <col min="14856" max="14856" width="12.6640625" customWidth="1"/>
    <col min="14858" max="14858" width="12.5" customWidth="1"/>
    <col min="15105" max="15105" width="13.83203125" customWidth="1"/>
    <col min="15108" max="15108" width="10.5" customWidth="1"/>
    <col min="15112" max="15112" width="12.6640625" customWidth="1"/>
    <col min="15114" max="15114" width="12.5" customWidth="1"/>
    <col min="15361" max="15361" width="13.83203125" customWidth="1"/>
    <col min="15364" max="15364" width="10.5" customWidth="1"/>
    <col min="15368" max="15368" width="12.6640625" customWidth="1"/>
    <col min="15370" max="15370" width="12.5" customWidth="1"/>
    <col min="15617" max="15617" width="13.83203125" customWidth="1"/>
    <col min="15620" max="15620" width="10.5" customWidth="1"/>
    <col min="15624" max="15624" width="12.6640625" customWidth="1"/>
    <col min="15626" max="15626" width="12.5" customWidth="1"/>
    <col min="15873" max="15873" width="13.83203125" customWidth="1"/>
    <col min="15876" max="15876" width="10.5" customWidth="1"/>
    <col min="15880" max="15880" width="12.6640625" customWidth="1"/>
    <col min="15882" max="15882" width="12.5" customWidth="1"/>
    <col min="16129" max="16129" width="13.83203125" customWidth="1"/>
    <col min="16132" max="16132" width="10.5" customWidth="1"/>
    <col min="16136" max="16136" width="12.6640625" customWidth="1"/>
    <col min="16138" max="16138" width="12.5" customWidth="1"/>
  </cols>
  <sheetData>
    <row r="1" spans="1:10">
      <c r="A1" s="1" t="s">
        <v>271</v>
      </c>
    </row>
    <row r="2" spans="1:10">
      <c r="A2" s="1"/>
    </row>
    <row r="3" spans="1:10">
      <c r="A3" s="530" t="s">
        <v>153</v>
      </c>
      <c r="B3" s="8"/>
      <c r="C3" s="8"/>
      <c r="D3" s="8"/>
      <c r="E3" s="8"/>
      <c r="F3" s="8"/>
      <c r="G3" s="8"/>
      <c r="H3" s="8"/>
      <c r="I3" s="8"/>
      <c r="J3" s="228"/>
    </row>
    <row r="4" spans="1:10">
      <c r="G4" s="199"/>
      <c r="H4" s="136"/>
      <c r="J4" s="136"/>
    </row>
    <row r="5" spans="1:10">
      <c r="B5" s="231" t="s">
        <v>101</v>
      </c>
      <c r="C5" s="231" t="s">
        <v>102</v>
      </c>
      <c r="D5" s="231" t="s">
        <v>103</v>
      </c>
      <c r="E5" s="231" t="s">
        <v>104</v>
      </c>
      <c r="F5" s="231" t="s">
        <v>105</v>
      </c>
      <c r="G5" s="559" t="s">
        <v>106</v>
      </c>
      <c r="H5" s="138"/>
      <c r="I5" s="82"/>
      <c r="J5" s="136"/>
    </row>
    <row r="6" spans="1:10">
      <c r="A6" s="231" t="s">
        <v>10</v>
      </c>
      <c r="B6" s="224">
        <v>77</v>
      </c>
      <c r="C6" s="224">
        <v>99</v>
      </c>
      <c r="D6" s="224">
        <v>78</v>
      </c>
      <c r="E6" s="224">
        <v>88</v>
      </c>
      <c r="F6" s="224">
        <v>98</v>
      </c>
      <c r="G6" s="560">
        <f>AVERAGE(B6:F6)</f>
        <v>88</v>
      </c>
      <c r="H6" s="140"/>
    </row>
    <row r="7" spans="1:10">
      <c r="A7" s="231" t="s">
        <v>23</v>
      </c>
      <c r="B7" s="224">
        <v>85</v>
      </c>
      <c r="C7" s="224">
        <v>92</v>
      </c>
      <c r="D7" s="224">
        <v>113</v>
      </c>
      <c r="E7" s="224">
        <v>102</v>
      </c>
      <c r="F7" s="224">
        <v>93</v>
      </c>
      <c r="G7" s="560">
        <f t="shared" ref="G7:G17" si="0">AVERAGE(B7:F7)</f>
        <v>97</v>
      </c>
      <c r="H7" s="140"/>
    </row>
    <row r="8" spans="1:10">
      <c r="A8" s="231" t="s">
        <v>24</v>
      </c>
      <c r="B8" s="224">
        <v>72</v>
      </c>
      <c r="C8" s="224">
        <v>76</v>
      </c>
      <c r="D8" s="224">
        <v>91</v>
      </c>
      <c r="E8" s="224">
        <v>113</v>
      </c>
      <c r="F8" s="224">
        <v>100</v>
      </c>
      <c r="G8" s="560">
        <f t="shared" si="0"/>
        <v>90.4</v>
      </c>
      <c r="H8" s="140"/>
    </row>
    <row r="9" spans="1:10">
      <c r="A9" s="231" t="s">
        <v>14</v>
      </c>
      <c r="B9" s="224">
        <v>115</v>
      </c>
      <c r="C9" s="224">
        <v>115</v>
      </c>
      <c r="D9" s="224">
        <v>88</v>
      </c>
      <c r="E9" s="224">
        <v>99</v>
      </c>
      <c r="F9" s="224">
        <v>107</v>
      </c>
      <c r="G9" s="560">
        <f t="shared" si="0"/>
        <v>104.8</v>
      </c>
    </row>
    <row r="10" spans="1:10">
      <c r="A10" s="231" t="s">
        <v>15</v>
      </c>
      <c r="B10" s="224">
        <v>89</v>
      </c>
      <c r="C10" s="224">
        <v>109</v>
      </c>
      <c r="D10" s="224">
        <v>114</v>
      </c>
      <c r="E10" s="224">
        <v>112</v>
      </c>
      <c r="F10" s="224">
        <v>98</v>
      </c>
      <c r="G10" s="560">
        <f t="shared" si="0"/>
        <v>104.4</v>
      </c>
    </row>
    <row r="11" spans="1:10">
      <c r="A11" s="231" t="s">
        <v>16</v>
      </c>
      <c r="B11" s="224">
        <v>79</v>
      </c>
      <c r="C11" s="224">
        <v>85</v>
      </c>
      <c r="D11" s="224">
        <v>110</v>
      </c>
      <c r="E11" s="224">
        <v>118</v>
      </c>
      <c r="F11" s="224">
        <v>113</v>
      </c>
      <c r="G11" s="560">
        <f t="shared" si="0"/>
        <v>101</v>
      </c>
    </row>
    <row r="12" spans="1:10">
      <c r="A12" s="231" t="s">
        <v>4</v>
      </c>
      <c r="B12" s="224">
        <v>92</v>
      </c>
      <c r="C12" s="224">
        <v>111</v>
      </c>
      <c r="D12" s="224">
        <v>99</v>
      </c>
      <c r="E12" s="224">
        <v>108</v>
      </c>
      <c r="F12" s="224">
        <v>114</v>
      </c>
      <c r="G12" s="560">
        <f t="shared" si="0"/>
        <v>104.8</v>
      </c>
    </row>
    <row r="13" spans="1:10">
      <c r="A13" s="231" t="s">
        <v>5</v>
      </c>
      <c r="B13" s="224">
        <v>105</v>
      </c>
      <c r="C13" s="224">
        <v>122</v>
      </c>
      <c r="D13" s="224">
        <v>152</v>
      </c>
      <c r="E13" s="224">
        <v>140</v>
      </c>
      <c r="F13" s="224">
        <v>135</v>
      </c>
      <c r="G13" s="560">
        <f t="shared" si="0"/>
        <v>130.80000000000001</v>
      </c>
    </row>
    <row r="14" spans="1:10">
      <c r="A14" s="231" t="s">
        <v>6</v>
      </c>
      <c r="B14" s="224">
        <v>98</v>
      </c>
      <c r="C14" s="224">
        <v>105</v>
      </c>
      <c r="D14" s="224">
        <v>119</v>
      </c>
      <c r="E14" s="224">
        <v>136</v>
      </c>
      <c r="F14" s="224">
        <v>138</v>
      </c>
      <c r="G14" s="560">
        <f t="shared" si="0"/>
        <v>119.2</v>
      </c>
    </row>
    <row r="15" spans="1:10">
      <c r="A15" s="231" t="s">
        <v>7</v>
      </c>
      <c r="B15" s="224">
        <v>123</v>
      </c>
      <c r="C15" s="224">
        <v>120</v>
      </c>
      <c r="D15" s="224">
        <v>138</v>
      </c>
      <c r="E15" s="224">
        <v>111</v>
      </c>
      <c r="F15" s="224">
        <v>116</v>
      </c>
      <c r="G15" s="560">
        <f t="shared" si="0"/>
        <v>121.6</v>
      </c>
    </row>
    <row r="16" spans="1:10">
      <c r="A16" s="231" t="s">
        <v>8</v>
      </c>
      <c r="B16" s="224">
        <v>91</v>
      </c>
      <c r="C16" s="224">
        <v>137</v>
      </c>
      <c r="D16" s="224">
        <v>140</v>
      </c>
      <c r="E16" s="224">
        <v>139</v>
      </c>
      <c r="F16" s="224">
        <v>128</v>
      </c>
      <c r="G16" s="560">
        <f t="shared" si="0"/>
        <v>127</v>
      </c>
    </row>
    <row r="17" spans="1:14">
      <c r="A17" s="231" t="s">
        <v>9</v>
      </c>
      <c r="B17" s="224">
        <v>115</v>
      </c>
      <c r="C17" s="224">
        <v>109</v>
      </c>
      <c r="D17" s="224">
        <v>110</v>
      </c>
      <c r="E17" s="224">
        <v>144</v>
      </c>
      <c r="F17" s="224">
        <v>134</v>
      </c>
      <c r="G17" s="561">
        <f t="shared" si="0"/>
        <v>122.4</v>
      </c>
    </row>
    <row r="18" spans="1:14">
      <c r="J18" s="6" t="s">
        <v>154</v>
      </c>
    </row>
    <row r="20" spans="1:14" ht="16" thickBot="1">
      <c r="A20" s="326" t="s">
        <v>316</v>
      </c>
      <c r="B20" s="8"/>
      <c r="C20" s="8"/>
      <c r="J20" s="706" t="s">
        <v>144</v>
      </c>
      <c r="K20" s="706"/>
      <c r="L20" s="706"/>
      <c r="M20" s="706"/>
      <c r="N20" s="225"/>
    </row>
    <row r="21" spans="1:14" ht="16" thickBot="1">
      <c r="J21" s="707" t="s">
        <v>145</v>
      </c>
      <c r="K21" s="707"/>
      <c r="L21" s="690"/>
      <c r="M21" s="206">
        <v>3.5727272727272728</v>
      </c>
      <c r="N21" s="225"/>
    </row>
    <row r="22" spans="1:14" ht="16" thickBot="1">
      <c r="A22" s="24"/>
      <c r="B22" s="24"/>
      <c r="C22" t="s">
        <v>38</v>
      </c>
      <c r="D22" t="s">
        <v>318</v>
      </c>
      <c r="E22" t="s">
        <v>185</v>
      </c>
      <c r="J22" s="707" t="s">
        <v>146</v>
      </c>
      <c r="K22" s="707"/>
      <c r="L22" s="690"/>
      <c r="M22" s="206">
        <v>86.060606060606077</v>
      </c>
      <c r="N22" s="225"/>
    </row>
    <row r="23" spans="1:14" ht="16" thickBot="1">
      <c r="A23" t="s">
        <v>22</v>
      </c>
      <c r="B23" s="24" t="s">
        <v>39</v>
      </c>
      <c r="C23" t="s">
        <v>109</v>
      </c>
      <c r="D23" t="s">
        <v>110</v>
      </c>
      <c r="E23" t="s">
        <v>37</v>
      </c>
      <c r="J23" s="225"/>
      <c r="K23" s="225"/>
      <c r="L23" s="225"/>
      <c r="M23" s="225"/>
      <c r="N23" s="225"/>
    </row>
    <row r="24" spans="1:14" ht="16">
      <c r="A24" s="231" t="s">
        <v>10</v>
      </c>
      <c r="B24">
        <v>1</v>
      </c>
      <c r="C24" s="26">
        <f t="shared" ref="C24:C35" si="1">G6</f>
        <v>88</v>
      </c>
      <c r="D24">
        <f t="shared" ref="D24:D35" si="2">$C$40+$C$41*B24</f>
        <v>89.633333333333354</v>
      </c>
      <c r="E24" s="26">
        <f>C24-D24</f>
        <v>-1.6333333333333542</v>
      </c>
      <c r="J24" s="226" t="s">
        <v>121</v>
      </c>
      <c r="K24" s="162">
        <v>4.5833333333333357</v>
      </c>
      <c r="L24" s="227" t="s">
        <v>147</v>
      </c>
      <c r="M24" s="207">
        <v>0.79636874496031751</v>
      </c>
      <c r="N24" s="225"/>
    </row>
    <row r="25" spans="1:14" ht="16" thickBot="1">
      <c r="A25" s="231" t="s">
        <v>23</v>
      </c>
      <c r="B25">
        <v>2</v>
      </c>
      <c r="C25" s="26">
        <f t="shared" si="1"/>
        <v>97</v>
      </c>
      <c r="D25">
        <f t="shared" si="2"/>
        <v>93.206060606060618</v>
      </c>
      <c r="E25" s="26">
        <f t="shared" ref="E25:E35" si="3">C25-D25</f>
        <v>3.7939393939393824</v>
      </c>
      <c r="J25" s="226" t="s">
        <v>122</v>
      </c>
      <c r="K25" s="163">
        <v>4.1939911544913853E-2</v>
      </c>
      <c r="L25" s="227" t="s">
        <v>148</v>
      </c>
      <c r="M25" s="208">
        <v>0.71233295898990057</v>
      </c>
      <c r="N25" s="225"/>
    </row>
    <row r="26" spans="1:14" ht="16" thickBot="1">
      <c r="A26" s="231" t="s">
        <v>24</v>
      </c>
      <c r="B26">
        <v>3</v>
      </c>
      <c r="C26" s="26">
        <f t="shared" si="1"/>
        <v>90.4</v>
      </c>
      <c r="D26">
        <f t="shared" si="2"/>
        <v>96.778787878787895</v>
      </c>
      <c r="E26" s="26">
        <f t="shared" si="3"/>
        <v>-6.3787878787878896</v>
      </c>
      <c r="J26" s="226"/>
      <c r="K26" s="209"/>
      <c r="L26" s="227"/>
      <c r="M26" s="210"/>
      <c r="N26" s="225"/>
    </row>
    <row r="27" spans="1:14" ht="16" thickBot="1">
      <c r="A27" s="231" t="s">
        <v>14</v>
      </c>
      <c r="B27">
        <v>4</v>
      </c>
      <c r="C27" s="26">
        <f t="shared" si="1"/>
        <v>104.8</v>
      </c>
      <c r="D27">
        <f t="shared" si="2"/>
        <v>100.35151515151517</v>
      </c>
      <c r="E27" s="26">
        <f t="shared" si="3"/>
        <v>4.4484848484848243</v>
      </c>
      <c r="J27" s="708" t="s">
        <v>149</v>
      </c>
      <c r="K27" s="708"/>
      <c r="L27" s="691"/>
      <c r="M27" s="211">
        <v>13</v>
      </c>
      <c r="N27" s="225"/>
    </row>
    <row r="28" spans="1:14" ht="16" thickBot="1">
      <c r="A28" s="231" t="s">
        <v>15</v>
      </c>
      <c r="B28">
        <v>5</v>
      </c>
      <c r="C28" s="26">
        <f t="shared" si="1"/>
        <v>104.4</v>
      </c>
      <c r="D28">
        <f t="shared" si="2"/>
        <v>103.92424242424244</v>
      </c>
      <c r="E28" s="26">
        <f t="shared" si="3"/>
        <v>0.47575757575756938</v>
      </c>
      <c r="J28" s="708" t="str">
        <f xml:space="preserve"> "Prediction of period " &amp; M27 &amp; " ="</f>
        <v>Prediction of period 13 =</v>
      </c>
      <c r="K28" s="708"/>
      <c r="L28" s="708"/>
      <c r="M28" s="212">
        <v>132.50606060606063</v>
      </c>
      <c r="N28" s="225"/>
    </row>
    <row r="29" spans="1:14" ht="16" thickBot="1">
      <c r="A29" s="231" t="s">
        <v>16</v>
      </c>
      <c r="B29">
        <v>6</v>
      </c>
      <c r="C29" s="26">
        <f t="shared" si="1"/>
        <v>101</v>
      </c>
      <c r="D29">
        <f t="shared" si="2"/>
        <v>107.49696969696971</v>
      </c>
      <c r="E29" s="26">
        <f t="shared" si="3"/>
        <v>-6.4969696969697139</v>
      </c>
      <c r="J29" s="225"/>
      <c r="K29" s="225"/>
      <c r="L29" s="225"/>
      <c r="M29" s="225"/>
      <c r="N29" s="225"/>
    </row>
    <row r="30" spans="1:14" ht="15.75" customHeight="1" thickBot="1">
      <c r="A30" s="231" t="s">
        <v>4</v>
      </c>
      <c r="B30">
        <v>7</v>
      </c>
      <c r="C30" s="26">
        <f t="shared" si="1"/>
        <v>104.8</v>
      </c>
      <c r="D30">
        <f t="shared" si="2"/>
        <v>111.06969696969699</v>
      </c>
      <c r="E30" s="26">
        <f t="shared" si="3"/>
        <v>-6.2696969696969944</v>
      </c>
      <c r="J30" s="164" t="s">
        <v>39</v>
      </c>
      <c r="K30" s="164" t="s">
        <v>38</v>
      </c>
      <c r="L30" s="164" t="s">
        <v>185</v>
      </c>
      <c r="M30" s="164" t="s">
        <v>37</v>
      </c>
      <c r="N30" s="165" t="s">
        <v>123</v>
      </c>
    </row>
    <row r="31" spans="1:14">
      <c r="A31" s="231" t="s">
        <v>5</v>
      </c>
      <c r="B31">
        <v>8</v>
      </c>
      <c r="C31" s="26">
        <f t="shared" si="1"/>
        <v>130.80000000000001</v>
      </c>
      <c r="D31">
        <f t="shared" si="2"/>
        <v>114.64242424242425</v>
      </c>
      <c r="E31" s="26">
        <f t="shared" si="3"/>
        <v>16.157575757575756</v>
      </c>
      <c r="J31" s="166">
        <v>1</v>
      </c>
      <c r="K31" s="200">
        <v>88</v>
      </c>
      <c r="L31" s="168">
        <v>89.633333333333354</v>
      </c>
      <c r="M31" s="194">
        <v>-1.6333333333333542</v>
      </c>
      <c r="N31" s="213">
        <v>-1</v>
      </c>
    </row>
    <row r="32" spans="1:14">
      <c r="A32" s="231" t="s">
        <v>6</v>
      </c>
      <c r="B32">
        <v>9</v>
      </c>
      <c r="C32" s="26">
        <f t="shared" si="1"/>
        <v>119.2</v>
      </c>
      <c r="D32">
        <f t="shared" si="2"/>
        <v>118.21515151515152</v>
      </c>
      <c r="E32" s="26">
        <f t="shared" si="3"/>
        <v>0.98484848484848442</v>
      </c>
      <c r="J32" s="171">
        <v>2</v>
      </c>
      <c r="K32" s="167">
        <v>97</v>
      </c>
      <c r="L32" s="172">
        <v>93.206060606060618</v>
      </c>
      <c r="M32" s="195">
        <v>3.7939393939393824</v>
      </c>
      <c r="N32" s="214">
        <v>0.79620323841428042</v>
      </c>
    </row>
    <row r="33" spans="1:14">
      <c r="A33" s="231" t="s">
        <v>7</v>
      </c>
      <c r="B33">
        <v>10</v>
      </c>
      <c r="C33" s="26">
        <f t="shared" si="1"/>
        <v>121.6</v>
      </c>
      <c r="D33">
        <f t="shared" si="2"/>
        <v>121.7878787878788</v>
      </c>
      <c r="E33" s="26">
        <f t="shared" si="3"/>
        <v>-0.18787878787880175</v>
      </c>
      <c r="J33" s="171">
        <v>3</v>
      </c>
      <c r="K33" s="167">
        <v>90.4</v>
      </c>
      <c r="L33" s="172">
        <v>96.778787878787895</v>
      </c>
      <c r="M33" s="195">
        <v>-6.3787878787878896</v>
      </c>
      <c r="N33" s="214">
        <v>-1.0718685831622268</v>
      </c>
    </row>
    <row r="34" spans="1:14">
      <c r="A34" s="231" t="s">
        <v>8</v>
      </c>
      <c r="B34">
        <v>11</v>
      </c>
      <c r="C34" s="26">
        <f t="shared" si="1"/>
        <v>127</v>
      </c>
      <c r="D34">
        <f t="shared" si="2"/>
        <v>125.36060606060607</v>
      </c>
      <c r="E34" s="26">
        <f t="shared" si="3"/>
        <v>1.6393939393939263</v>
      </c>
      <c r="J34" s="171">
        <v>4</v>
      </c>
      <c r="K34" s="167">
        <v>104.8</v>
      </c>
      <c r="L34" s="172">
        <v>100.35151515151517</v>
      </c>
      <c r="M34" s="195">
        <v>4.4484848484848243</v>
      </c>
      <c r="N34" s="214">
        <v>5.6674123788201192E-2</v>
      </c>
    </row>
    <row r="35" spans="1:14">
      <c r="A35" s="231" t="s">
        <v>9</v>
      </c>
      <c r="B35">
        <v>12</v>
      </c>
      <c r="C35" s="26">
        <f t="shared" si="1"/>
        <v>122.4</v>
      </c>
      <c r="D35">
        <f t="shared" si="2"/>
        <v>128.93333333333334</v>
      </c>
      <c r="E35" s="26">
        <f t="shared" si="3"/>
        <v>-6.5333333333333314</v>
      </c>
      <c r="F35" s="86"/>
      <c r="J35" s="171">
        <v>5</v>
      </c>
      <c r="K35" s="167">
        <v>104.4</v>
      </c>
      <c r="L35" s="172">
        <v>103.92424242424244</v>
      </c>
      <c r="M35" s="195">
        <v>0.47575757575756938</v>
      </c>
      <c r="N35" s="214">
        <v>0.2110124977358955</v>
      </c>
    </row>
    <row r="36" spans="1:14">
      <c r="A36" s="537" t="s">
        <v>10</v>
      </c>
      <c r="B36" s="537">
        <v>13</v>
      </c>
      <c r="C36" s="514"/>
      <c r="D36" s="537">
        <f t="shared" ref="D36:D38" si="4">$C$40+$C$41*B36</f>
        <v>132.5060606060606</v>
      </c>
      <c r="J36" s="171">
        <v>6</v>
      </c>
      <c r="K36" s="167">
        <v>101</v>
      </c>
      <c r="L36" s="172">
        <v>107.49696969696971</v>
      </c>
      <c r="M36" s="195">
        <v>-6.4969696969697139</v>
      </c>
      <c r="N36" s="214">
        <v>-1.4958904109589271</v>
      </c>
    </row>
    <row r="37" spans="1:14">
      <c r="A37" s="537" t="s">
        <v>23</v>
      </c>
      <c r="B37" s="537">
        <v>14</v>
      </c>
      <c r="C37" s="514"/>
      <c r="D37" s="537">
        <f t="shared" si="4"/>
        <v>136.07878787878789</v>
      </c>
      <c r="J37" s="171">
        <v>7</v>
      </c>
      <c r="K37" s="167">
        <v>104.8</v>
      </c>
      <c r="L37" s="172">
        <v>111.06969696969699</v>
      </c>
      <c r="M37" s="195">
        <v>-6.2696969696969944</v>
      </c>
      <c r="N37" s="214">
        <v>-2.8621327306349125</v>
      </c>
    </row>
    <row r="38" spans="1:14">
      <c r="A38" s="565" t="s">
        <v>24</v>
      </c>
      <c r="B38" s="537">
        <v>15</v>
      </c>
      <c r="C38" s="523"/>
      <c r="D38" s="537">
        <f t="shared" si="4"/>
        <v>139.65151515151516</v>
      </c>
      <c r="J38" s="171">
        <v>8</v>
      </c>
      <c r="K38" s="167">
        <v>130.80000000000001</v>
      </c>
      <c r="L38" s="172">
        <v>114.64242424242425</v>
      </c>
      <c r="M38" s="195">
        <v>16.157575757575756</v>
      </c>
      <c r="N38" s="214">
        <v>0.71790787202971496</v>
      </c>
    </row>
    <row r="39" spans="1:14">
      <c r="A39" s="8"/>
      <c r="B39" s="8" t="s">
        <v>108</v>
      </c>
      <c r="C39" s="83">
        <f>B47</f>
        <v>0.79636874496031773</v>
      </c>
      <c r="D39" s="8"/>
      <c r="J39" s="171">
        <v>9</v>
      </c>
      <c r="K39" s="167">
        <v>119.2</v>
      </c>
      <c r="L39" s="172">
        <v>118.21515151515153</v>
      </c>
      <c r="M39" s="195">
        <v>0.98484848484847021</v>
      </c>
      <c r="N39" s="214">
        <v>0.98063803521535997</v>
      </c>
    </row>
    <row r="40" spans="1:14">
      <c r="A40" s="8"/>
      <c r="B40" s="8" t="s">
        <v>63</v>
      </c>
      <c r="C40" s="8">
        <f>B59</f>
        <v>86.060606060606077</v>
      </c>
      <c r="D40" s="8"/>
      <c r="J40" s="171">
        <v>10</v>
      </c>
      <c r="K40" s="167">
        <v>121.6</v>
      </c>
      <c r="L40" s="172">
        <v>121.78787878787881</v>
      </c>
      <c r="M40" s="195">
        <v>-0.18787878787881596</v>
      </c>
      <c r="N40" s="214">
        <v>1.0451045104510102</v>
      </c>
    </row>
    <row r="41" spans="1:14">
      <c r="A41" s="8"/>
      <c r="B41" s="8" t="s">
        <v>151</v>
      </c>
      <c r="C41" s="8">
        <f>B60</f>
        <v>3.5727272727272723</v>
      </c>
      <c r="D41" s="8"/>
      <c r="J41" s="171">
        <v>11</v>
      </c>
      <c r="K41" s="167">
        <v>127</v>
      </c>
      <c r="L41" s="172">
        <v>125.36060606060607</v>
      </c>
      <c r="M41" s="195">
        <v>1.6393939393939263</v>
      </c>
      <c r="N41" s="214">
        <v>1.482806052269561</v>
      </c>
    </row>
    <row r="42" spans="1:14">
      <c r="J42" s="171">
        <v>12</v>
      </c>
      <c r="K42" s="167">
        <v>122.4</v>
      </c>
      <c r="L42" s="172">
        <v>128.93333333333334</v>
      </c>
      <c r="M42" s="195">
        <v>-6.5333333333333314</v>
      </c>
      <c r="N42" s="214">
        <v>-3.7206601436165227E-14</v>
      </c>
    </row>
    <row r="43" spans="1:14">
      <c r="A43" t="s">
        <v>40</v>
      </c>
      <c r="J43" s="171">
        <v>13</v>
      </c>
      <c r="K43" s="167"/>
      <c r="L43" s="172">
        <v>132.50606060606063</v>
      </c>
      <c r="M43" s="195" t="s">
        <v>124</v>
      </c>
      <c r="N43" s="214"/>
    </row>
    <row r="44" spans="1:14" ht="16" thickBot="1"/>
    <row r="45" spans="1:14">
      <c r="A45" s="105" t="s">
        <v>41</v>
      </c>
      <c r="B45" s="105"/>
    </row>
    <row r="46" spans="1:14">
      <c r="A46" s="87" t="s">
        <v>42</v>
      </c>
      <c r="B46" s="87">
        <v>0.89239494897736715</v>
      </c>
    </row>
    <row r="47" spans="1:14">
      <c r="A47" s="87" t="s">
        <v>43</v>
      </c>
      <c r="B47" s="87">
        <v>0.79636874496031773</v>
      </c>
    </row>
    <row r="48" spans="1:14">
      <c r="A48" s="87" t="s">
        <v>44</v>
      </c>
      <c r="B48" s="87">
        <v>0.77600561945634949</v>
      </c>
    </row>
    <row r="49" spans="1:10">
      <c r="A49" s="87" t="s">
        <v>45</v>
      </c>
      <c r="B49" s="87">
        <v>6.8317662652516384</v>
      </c>
    </row>
    <row r="50" spans="1:10" ht="16" thickBot="1">
      <c r="A50" s="88" t="s">
        <v>46</v>
      </c>
      <c r="B50" s="88">
        <v>12</v>
      </c>
    </row>
    <row r="52" spans="1:10" ht="16" thickBot="1">
      <c r="A52" t="s">
        <v>47</v>
      </c>
    </row>
    <row r="53" spans="1:10">
      <c r="A53" s="104"/>
      <c r="B53" s="104" t="s">
        <v>48</v>
      </c>
      <c r="C53" s="104" t="s">
        <v>49</v>
      </c>
      <c r="D53" s="104" t="s">
        <v>50</v>
      </c>
      <c r="E53" s="104" t="s">
        <v>51</v>
      </c>
      <c r="F53" s="104" t="s">
        <v>52</v>
      </c>
    </row>
    <row r="54" spans="1:10">
      <c r="A54" s="87" t="s">
        <v>53</v>
      </c>
      <c r="B54" s="87">
        <v>1</v>
      </c>
      <c r="C54" s="87">
        <v>1825.3063636363636</v>
      </c>
      <c r="D54" s="87">
        <v>1825.3063636363636</v>
      </c>
      <c r="E54" s="87">
        <v>39.108374832003413</v>
      </c>
      <c r="F54" s="87">
        <v>9.4600122769920216E-5</v>
      </c>
    </row>
    <row r="55" spans="1:10">
      <c r="A55" s="87" t="s">
        <v>54</v>
      </c>
      <c r="B55" s="87">
        <v>10</v>
      </c>
      <c r="C55" s="87">
        <v>466.73030303030316</v>
      </c>
      <c r="D55" s="87">
        <v>46.673030303030316</v>
      </c>
      <c r="E55" s="87"/>
      <c r="F55" s="87"/>
    </row>
    <row r="56" spans="1:10" ht="16" thickBot="1">
      <c r="A56" s="88" t="s">
        <v>55</v>
      </c>
      <c r="B56" s="88">
        <v>11</v>
      </c>
      <c r="C56" s="88">
        <v>2292.0366666666669</v>
      </c>
      <c r="D56" s="88"/>
      <c r="E56" s="88"/>
      <c r="F56" s="88"/>
    </row>
    <row r="57" spans="1:10" ht="16" thickBot="1"/>
    <row r="58" spans="1:10">
      <c r="A58" s="104"/>
      <c r="B58" s="104" t="s">
        <v>56</v>
      </c>
      <c r="C58" s="104" t="s">
        <v>45</v>
      </c>
      <c r="D58" s="104" t="s">
        <v>57</v>
      </c>
      <c r="E58" s="104" t="s">
        <v>58</v>
      </c>
      <c r="F58" s="104" t="s">
        <v>59</v>
      </c>
      <c r="G58" s="104" t="s">
        <v>60</v>
      </c>
      <c r="H58" s="104" t="s">
        <v>61</v>
      </c>
      <c r="I58" s="104" t="s">
        <v>62</v>
      </c>
    </row>
    <row r="59" spans="1:10">
      <c r="A59" s="87" t="s">
        <v>63</v>
      </c>
      <c r="B59" s="87">
        <v>86.060606060606077</v>
      </c>
      <c r="C59" s="87">
        <v>4.2046614780606593</v>
      </c>
      <c r="D59" s="87">
        <v>20.467903661129057</v>
      </c>
      <c r="E59" s="87">
        <v>1.7116100205448626E-9</v>
      </c>
      <c r="F59" s="87">
        <v>76.692036461889089</v>
      </c>
      <c r="G59" s="87">
        <v>95.429175659323064</v>
      </c>
      <c r="H59" s="87">
        <v>76.692036461889089</v>
      </c>
      <c r="I59" s="87">
        <v>95.429175659323064</v>
      </c>
    </row>
    <row r="60" spans="1:10" ht="16" thickBot="1">
      <c r="A60" s="88" t="s">
        <v>64</v>
      </c>
      <c r="B60" s="88">
        <v>3.5727272727272723</v>
      </c>
      <c r="C60" s="88">
        <v>0.57130099535526657</v>
      </c>
      <c r="D60" s="88">
        <v>6.2536689096884084</v>
      </c>
      <c r="E60" s="88">
        <v>9.4600122769920216E-5</v>
      </c>
      <c r="F60" s="88">
        <v>2.2997893287977726</v>
      </c>
      <c r="G60" s="88">
        <v>4.845665216656772</v>
      </c>
      <c r="H60" s="88">
        <v>2.2997893287977726</v>
      </c>
      <c r="I60" s="88">
        <v>4.845665216656772</v>
      </c>
    </row>
    <row r="63" spans="1:10">
      <c r="A63" s="1"/>
      <c r="J63" s="136" t="s">
        <v>112</v>
      </c>
    </row>
    <row r="64" spans="1:10">
      <c r="G64" s="705" t="s">
        <v>156</v>
      </c>
      <c r="H64" s="709" t="s">
        <v>155</v>
      </c>
      <c r="J64" s="136" t="s">
        <v>113</v>
      </c>
    </row>
    <row r="65" spans="1:10">
      <c r="B65" s="231" t="s">
        <v>101</v>
      </c>
      <c r="C65" s="231" t="s">
        <v>102</v>
      </c>
      <c r="D65" s="231" t="s">
        <v>103</v>
      </c>
      <c r="E65" s="231" t="s">
        <v>104</v>
      </c>
      <c r="F65" s="231" t="s">
        <v>105</v>
      </c>
      <c r="G65" s="705"/>
      <c r="H65" s="710"/>
      <c r="I65" s="82" t="s">
        <v>185</v>
      </c>
      <c r="J65" s="136" t="s">
        <v>185</v>
      </c>
    </row>
    <row r="66" spans="1:10">
      <c r="A66" s="231" t="s">
        <v>10</v>
      </c>
      <c r="B66" s="224">
        <v>309</v>
      </c>
      <c r="C66" s="224">
        <v>398</v>
      </c>
      <c r="D66" s="224">
        <v>320</v>
      </c>
      <c r="E66" s="224">
        <v>314</v>
      </c>
      <c r="F66" s="224">
        <v>316</v>
      </c>
      <c r="G66" s="551">
        <f>AVERAGE(B66:F66)</f>
        <v>331.4</v>
      </c>
      <c r="H66" s="566">
        <f>G66/G78</f>
        <v>0.93094245985298907</v>
      </c>
      <c r="I66" s="8">
        <f>D36</f>
        <v>132.5060606060606</v>
      </c>
      <c r="J66" s="564">
        <f>H66*I66</f>
        <v>123.35551800603531</v>
      </c>
    </row>
    <row r="67" spans="1:10">
      <c r="A67" s="231" t="s">
        <v>23</v>
      </c>
      <c r="B67" s="224">
        <v>256</v>
      </c>
      <c r="C67" s="224">
        <v>330</v>
      </c>
      <c r="D67" s="224">
        <v>386</v>
      </c>
      <c r="E67" s="224">
        <v>311</v>
      </c>
      <c r="F67" s="224">
        <v>333</v>
      </c>
      <c r="G67" s="551">
        <f t="shared" ref="G67:G78" si="5">AVERAGE(B67:F67)</f>
        <v>323.2</v>
      </c>
      <c r="H67" s="566">
        <f>G67/G78</f>
        <v>0.90790767358022362</v>
      </c>
      <c r="I67" s="8">
        <f>D37</f>
        <v>136.07878787878789</v>
      </c>
      <c r="J67" s="564">
        <f>H67*I67</f>
        <v>123.54697572664705</v>
      </c>
    </row>
    <row r="68" spans="1:10">
      <c r="A68" s="231" t="s">
        <v>24</v>
      </c>
      <c r="B68" s="224">
        <v>271</v>
      </c>
      <c r="C68" s="224">
        <v>397</v>
      </c>
      <c r="D68" s="224">
        <v>324</v>
      </c>
      <c r="E68" s="224">
        <v>411</v>
      </c>
      <c r="F68" s="224">
        <v>446</v>
      </c>
      <c r="G68" s="551">
        <f t="shared" si="5"/>
        <v>369.8</v>
      </c>
      <c r="H68" s="566">
        <f>G68/G78</f>
        <v>1.0388126784961842</v>
      </c>
      <c r="I68" s="8">
        <f>D38</f>
        <v>139.65151515151516</v>
      </c>
      <c r="J68" s="564">
        <f>H68*I68</f>
        <v>145.0717645105959</v>
      </c>
    </row>
    <row r="69" spans="1:10">
      <c r="A69" s="231" t="s">
        <v>14</v>
      </c>
      <c r="B69" s="224">
        <v>348</v>
      </c>
      <c r="C69" s="224">
        <v>379</v>
      </c>
      <c r="D69" s="224">
        <v>318</v>
      </c>
      <c r="E69" s="224">
        <v>325</v>
      </c>
      <c r="F69" s="224">
        <v>328</v>
      </c>
      <c r="G69" s="551">
        <f t="shared" si="5"/>
        <v>339.6</v>
      </c>
    </row>
    <row r="70" spans="1:10">
      <c r="A70" s="231" t="s">
        <v>15</v>
      </c>
      <c r="B70" s="224">
        <v>267</v>
      </c>
      <c r="C70" s="224">
        <v>362</v>
      </c>
      <c r="D70" s="224">
        <v>413</v>
      </c>
      <c r="E70" s="224">
        <v>388</v>
      </c>
      <c r="F70" s="224">
        <v>278</v>
      </c>
      <c r="G70" s="551">
        <f t="shared" si="5"/>
        <v>341.6</v>
      </c>
    </row>
    <row r="71" spans="1:10">
      <c r="A71" s="231" t="s">
        <v>16</v>
      </c>
      <c r="B71" s="224">
        <v>216</v>
      </c>
      <c r="C71" s="224">
        <v>288</v>
      </c>
      <c r="D71" s="224">
        <v>307</v>
      </c>
      <c r="E71" s="224">
        <v>288</v>
      </c>
      <c r="F71" s="224">
        <v>356</v>
      </c>
      <c r="G71" s="551">
        <f t="shared" si="5"/>
        <v>291</v>
      </c>
    </row>
    <row r="72" spans="1:10">
      <c r="A72" s="231" t="s">
        <v>4</v>
      </c>
      <c r="B72" s="224">
        <v>361</v>
      </c>
      <c r="C72" s="224">
        <v>482</v>
      </c>
      <c r="D72" s="224">
        <v>329</v>
      </c>
      <c r="E72" s="224">
        <v>266</v>
      </c>
      <c r="F72" s="224">
        <v>326</v>
      </c>
      <c r="G72" s="551">
        <f t="shared" si="5"/>
        <v>352.8</v>
      </c>
    </row>
    <row r="73" spans="1:10">
      <c r="A73" s="231" t="s">
        <v>5</v>
      </c>
      <c r="B73" s="224">
        <v>330</v>
      </c>
      <c r="C73" s="224">
        <v>413</v>
      </c>
      <c r="D73" s="224">
        <v>486</v>
      </c>
      <c r="E73" s="224">
        <v>511</v>
      </c>
      <c r="F73" s="224">
        <v>491</v>
      </c>
      <c r="G73" s="551">
        <f t="shared" si="5"/>
        <v>446.2</v>
      </c>
    </row>
    <row r="74" spans="1:10">
      <c r="A74" s="231" t="s">
        <v>6</v>
      </c>
      <c r="B74" s="224">
        <v>400</v>
      </c>
      <c r="C74" s="224">
        <v>443</v>
      </c>
      <c r="D74" s="224">
        <v>423</v>
      </c>
      <c r="E74" s="224">
        <v>435</v>
      </c>
      <c r="F74" s="224">
        <v>465</v>
      </c>
      <c r="G74" s="551">
        <f t="shared" si="5"/>
        <v>433.2</v>
      </c>
    </row>
    <row r="75" spans="1:10">
      <c r="A75" s="231" t="s">
        <v>7</v>
      </c>
      <c r="B75" s="224">
        <v>457</v>
      </c>
      <c r="C75" s="224">
        <v>535</v>
      </c>
      <c r="D75" s="224">
        <v>548</v>
      </c>
      <c r="E75" s="224">
        <v>451</v>
      </c>
      <c r="F75" s="224">
        <v>424</v>
      </c>
      <c r="G75" s="551">
        <f t="shared" si="5"/>
        <v>483</v>
      </c>
    </row>
    <row r="76" spans="1:10">
      <c r="A76" s="231" t="s">
        <v>8</v>
      </c>
      <c r="B76" s="224">
        <v>235</v>
      </c>
      <c r="C76" s="224">
        <v>262</v>
      </c>
      <c r="D76" s="224">
        <v>252</v>
      </c>
      <c r="E76" s="224">
        <v>330</v>
      </c>
      <c r="F76" s="224">
        <v>305</v>
      </c>
      <c r="G76" s="551">
        <f t="shared" si="5"/>
        <v>276.8</v>
      </c>
    </row>
    <row r="77" spans="1:10">
      <c r="A77" s="231" t="s">
        <v>9</v>
      </c>
      <c r="B77" s="224">
        <v>275</v>
      </c>
      <c r="C77" s="224">
        <v>291</v>
      </c>
      <c r="D77" s="224">
        <v>286</v>
      </c>
      <c r="E77" s="224">
        <v>283</v>
      </c>
      <c r="F77" s="224">
        <v>281</v>
      </c>
      <c r="G77" s="551">
        <f t="shared" si="5"/>
        <v>283.2</v>
      </c>
    </row>
    <row r="78" spans="1:10">
      <c r="A78" t="s">
        <v>115</v>
      </c>
      <c r="B78" s="1">
        <f>SUM(B66:B77)/12</f>
        <v>310.41666666666669</v>
      </c>
      <c r="C78" s="1">
        <f>SUM(C66:C77)/12</f>
        <v>381.66666666666669</v>
      </c>
      <c r="D78" s="1">
        <f>SUM(D66:D77)/12</f>
        <v>366</v>
      </c>
      <c r="E78" s="1">
        <f>SUM(E66:E77)/12</f>
        <v>359.41666666666669</v>
      </c>
      <c r="F78" s="1">
        <f>SUM(F66:F77)/12</f>
        <v>362.41666666666669</v>
      </c>
      <c r="G78" s="551">
        <f t="shared" si="5"/>
        <v>355.98333333333341</v>
      </c>
    </row>
    <row r="79" spans="1:10">
      <c r="A79" s="142" t="s">
        <v>116</v>
      </c>
      <c r="B79" s="567">
        <f>B78/G78</f>
        <v>0.87199775270377811</v>
      </c>
      <c r="C79" s="567">
        <f>C78/G78</f>
        <v>1.0721475724518936</v>
      </c>
      <c r="D79" s="567">
        <f>D78/G78</f>
        <v>1.0281380214429512</v>
      </c>
      <c r="E79" s="567">
        <f>E78/G78</f>
        <v>1.0096446462849382</v>
      </c>
      <c r="F79" s="567">
        <f>F78/G78</f>
        <v>1.018072007116438</v>
      </c>
    </row>
    <row r="81" spans="1:6">
      <c r="A81" s="8"/>
      <c r="B81" s="8"/>
      <c r="C81" s="8"/>
      <c r="D81" s="8"/>
      <c r="E81" s="8"/>
      <c r="F81" s="8"/>
    </row>
    <row r="82" spans="1:6">
      <c r="A82" s="8"/>
      <c r="B82" s="8"/>
      <c r="C82" s="8"/>
      <c r="D82" s="8"/>
      <c r="E82" s="8"/>
      <c r="F82" s="8"/>
    </row>
    <row r="83" spans="1:6">
      <c r="A83" s="8"/>
      <c r="B83" s="79"/>
      <c r="C83" s="79"/>
      <c r="D83" s="79"/>
      <c r="E83" s="79"/>
      <c r="F83" s="79"/>
    </row>
    <row r="84" spans="1:6">
      <c r="A84" s="229"/>
      <c r="B84" s="230"/>
      <c r="C84" s="230"/>
      <c r="D84" s="230"/>
      <c r="E84" s="230"/>
      <c r="F84" s="230"/>
    </row>
    <row r="85" spans="1:6">
      <c r="A85" s="229"/>
      <c r="B85" s="230"/>
      <c r="C85" s="230"/>
      <c r="D85" s="230"/>
      <c r="E85" s="230"/>
      <c r="F85" s="230"/>
    </row>
  </sheetData>
  <mergeCells count="7">
    <mergeCell ref="G64:G65"/>
    <mergeCell ref="J20:M20"/>
    <mergeCell ref="J21:L21"/>
    <mergeCell ref="J22:L22"/>
    <mergeCell ref="J27:L27"/>
    <mergeCell ref="J28:L28"/>
    <mergeCell ref="H64:H6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7"/>
  <sheetViews>
    <sheetView workbookViewId="0">
      <selection activeCell="I10" sqref="I10"/>
    </sheetView>
  </sheetViews>
  <sheetFormatPr baseColWidth="10" defaultColWidth="8.83203125" defaultRowHeight="15"/>
  <sheetData>
    <row r="1" spans="1:11">
      <c r="A1" s="1" t="s">
        <v>272</v>
      </c>
    </row>
    <row r="2" spans="1:11">
      <c r="A2" s="82" t="s">
        <v>213</v>
      </c>
    </row>
    <row r="3" spans="1:11">
      <c r="A3" s="652" t="s">
        <v>119</v>
      </c>
      <c r="B3" s="652"/>
      <c r="C3" s="652"/>
      <c r="D3" s="652"/>
      <c r="E3" s="336"/>
      <c r="G3" s="652" t="s">
        <v>119</v>
      </c>
      <c r="H3" s="652"/>
      <c r="I3" s="652"/>
      <c r="J3" s="652"/>
      <c r="K3" s="336"/>
    </row>
    <row r="4" spans="1:11" ht="16" thickBot="1">
      <c r="A4" s="336"/>
      <c r="B4" s="336"/>
      <c r="C4" s="336"/>
      <c r="D4" s="336"/>
      <c r="E4" s="336"/>
      <c r="G4" s="336"/>
      <c r="H4" s="336"/>
      <c r="I4" s="336"/>
      <c r="J4" s="336"/>
      <c r="K4" s="336"/>
    </row>
    <row r="5" spans="1:11" ht="16" thickBot="1">
      <c r="A5" s="653" t="s">
        <v>120</v>
      </c>
      <c r="B5" s="653"/>
      <c r="C5" s="653"/>
      <c r="D5" s="337">
        <v>3</v>
      </c>
      <c r="E5" s="336"/>
      <c r="G5" s="653" t="s">
        <v>120</v>
      </c>
      <c r="H5" s="653"/>
      <c r="I5" s="653"/>
      <c r="J5" s="337">
        <v>4</v>
      </c>
      <c r="K5" s="336"/>
    </row>
    <row r="6" spans="1:11" ht="16" thickBot="1">
      <c r="A6" s="336"/>
      <c r="B6" s="336"/>
      <c r="C6" s="336"/>
      <c r="D6" s="336"/>
      <c r="E6" s="336"/>
      <c r="G6" s="336"/>
      <c r="H6" s="336"/>
      <c r="I6" s="336"/>
      <c r="J6" s="336"/>
      <c r="K6" s="336"/>
    </row>
    <row r="7" spans="1:11">
      <c r="A7" s="338" t="s">
        <v>121</v>
      </c>
      <c r="B7" s="339">
        <v>51.222222222222172</v>
      </c>
      <c r="C7" s="340"/>
      <c r="D7" s="341"/>
      <c r="E7" s="336"/>
      <c r="G7" s="338" t="s">
        <v>121</v>
      </c>
      <c r="H7" s="339">
        <v>50.875</v>
      </c>
      <c r="I7" s="340"/>
      <c r="J7" s="341"/>
      <c r="K7" s="336"/>
    </row>
    <row r="8" spans="1:11" ht="16" thickBot="1">
      <c r="A8" s="338" t="s">
        <v>122</v>
      </c>
      <c r="B8" s="342">
        <v>2.308693910256408E-2</v>
      </c>
      <c r="C8" s="340"/>
      <c r="D8" s="341"/>
      <c r="E8" s="336"/>
      <c r="G8" s="338" t="s">
        <v>122</v>
      </c>
      <c r="H8" s="342">
        <v>2.3098751418842225E-2</v>
      </c>
      <c r="I8" s="340"/>
      <c r="J8" s="341"/>
      <c r="K8" s="336"/>
    </row>
    <row r="9" spans="1:11" ht="16" thickBot="1">
      <c r="A9" s="336"/>
      <c r="B9" s="336"/>
      <c r="C9" s="336"/>
      <c r="D9" s="336"/>
      <c r="E9" s="336"/>
      <c r="G9" s="336"/>
      <c r="H9" s="336"/>
      <c r="I9" s="336"/>
      <c r="J9" s="336"/>
      <c r="K9" s="336"/>
    </row>
    <row r="10" spans="1:11" ht="30" thickBot="1">
      <c r="A10" s="343" t="s">
        <v>39</v>
      </c>
      <c r="B10" s="343" t="s">
        <v>38</v>
      </c>
      <c r="C10" s="343" t="s">
        <v>185</v>
      </c>
      <c r="D10" s="343" t="s">
        <v>37</v>
      </c>
      <c r="E10" s="344" t="s">
        <v>123</v>
      </c>
      <c r="G10" s="343" t="s">
        <v>39</v>
      </c>
      <c r="H10" s="343" t="s">
        <v>38</v>
      </c>
      <c r="I10" s="343" t="s">
        <v>185</v>
      </c>
      <c r="J10" s="343" t="s">
        <v>37</v>
      </c>
      <c r="K10" s="344" t="s">
        <v>123</v>
      </c>
    </row>
    <row r="11" spans="1:11">
      <c r="A11" s="345">
        <v>1</v>
      </c>
      <c r="B11" s="346">
        <v>2160</v>
      </c>
      <c r="C11" s="347" t="s">
        <v>124</v>
      </c>
      <c r="D11" s="348" t="s">
        <v>124</v>
      </c>
      <c r="E11" s="349" t="s">
        <v>124</v>
      </c>
      <c r="G11" s="345">
        <v>1</v>
      </c>
      <c r="H11" s="346">
        <v>2160</v>
      </c>
      <c r="I11" s="347" t="s">
        <v>124</v>
      </c>
      <c r="J11" s="348" t="s">
        <v>124</v>
      </c>
      <c r="K11" s="349" t="s">
        <v>124</v>
      </c>
    </row>
    <row r="12" spans="1:11">
      <c r="A12" s="350">
        <v>2</v>
      </c>
      <c r="B12" s="346">
        <v>2186</v>
      </c>
      <c r="C12" s="351" t="s">
        <v>124</v>
      </c>
      <c r="D12" s="352" t="s">
        <v>124</v>
      </c>
      <c r="E12" s="353" t="s">
        <v>124</v>
      </c>
      <c r="G12" s="350">
        <v>2</v>
      </c>
      <c r="H12" s="346">
        <v>2186</v>
      </c>
      <c r="I12" s="351" t="s">
        <v>124</v>
      </c>
      <c r="J12" s="352" t="s">
        <v>124</v>
      </c>
      <c r="K12" s="353" t="s">
        <v>124</v>
      </c>
    </row>
    <row r="13" spans="1:11">
      <c r="A13" s="350">
        <v>3</v>
      </c>
      <c r="B13" s="346">
        <v>2246</v>
      </c>
      <c r="C13" s="351" t="s">
        <v>124</v>
      </c>
      <c r="D13" s="352" t="s">
        <v>124</v>
      </c>
      <c r="E13" s="353" t="s">
        <v>124</v>
      </c>
      <c r="G13" s="350">
        <v>3</v>
      </c>
      <c r="H13" s="346">
        <v>2246</v>
      </c>
      <c r="I13" s="351" t="s">
        <v>124</v>
      </c>
      <c r="J13" s="352" t="s">
        <v>124</v>
      </c>
      <c r="K13" s="353" t="s">
        <v>124</v>
      </c>
    </row>
    <row r="14" spans="1:11">
      <c r="A14" s="350">
        <v>4</v>
      </c>
      <c r="B14" s="346">
        <v>2251</v>
      </c>
      <c r="C14" s="351">
        <v>2197.3333333333335</v>
      </c>
      <c r="D14" s="352">
        <v>53.666666666666515</v>
      </c>
      <c r="E14" s="353">
        <v>1</v>
      </c>
      <c r="G14" s="350">
        <v>4</v>
      </c>
      <c r="H14" s="346">
        <v>2251</v>
      </c>
      <c r="I14" s="351" t="s">
        <v>124</v>
      </c>
      <c r="J14" s="352" t="s">
        <v>124</v>
      </c>
      <c r="K14" s="353" t="s">
        <v>124</v>
      </c>
    </row>
    <row r="15" spans="1:11">
      <c r="A15" s="350">
        <v>5</v>
      </c>
      <c r="B15" s="346">
        <v>2243</v>
      </c>
      <c r="C15" s="351">
        <v>2227.6666666666665</v>
      </c>
      <c r="D15" s="352">
        <v>15.333333333333485</v>
      </c>
      <c r="E15" s="353">
        <v>2</v>
      </c>
      <c r="G15" s="350">
        <v>5</v>
      </c>
      <c r="H15" s="346">
        <v>2243</v>
      </c>
      <c r="I15" s="351">
        <v>2210.75</v>
      </c>
      <c r="J15" s="352">
        <v>32.25</v>
      </c>
      <c r="K15" s="353">
        <v>1</v>
      </c>
    </row>
    <row r="16" spans="1:11">
      <c r="A16" s="350">
        <v>6</v>
      </c>
      <c r="B16" s="346">
        <v>2162</v>
      </c>
      <c r="C16" s="351">
        <v>2246.6666666666665</v>
      </c>
      <c r="D16" s="352">
        <v>-84.666666666666515</v>
      </c>
      <c r="E16" s="353">
        <v>-0.30585683297179778</v>
      </c>
      <c r="G16" s="350">
        <v>6</v>
      </c>
      <c r="H16" s="346">
        <v>2162</v>
      </c>
      <c r="I16" s="351">
        <v>2231.5</v>
      </c>
      <c r="J16" s="352">
        <v>-69.5</v>
      </c>
      <c r="K16" s="353">
        <v>-0.73218673218673214</v>
      </c>
    </row>
    <row r="17" spans="1:11">
      <c r="A17" s="350">
        <v>7</v>
      </c>
      <c r="B17" s="354"/>
      <c r="C17" s="351">
        <v>2218.6666666666665</v>
      </c>
      <c r="D17" s="352" t="s">
        <v>124</v>
      </c>
      <c r="E17" s="353" t="s">
        <v>124</v>
      </c>
      <c r="G17" s="350">
        <v>7</v>
      </c>
      <c r="H17" s="354"/>
      <c r="I17" s="351">
        <v>2225.5</v>
      </c>
      <c r="J17" s="352" t="s">
        <v>124</v>
      </c>
      <c r="K17" s="353" t="s">
        <v>124</v>
      </c>
    </row>
  </sheetData>
  <mergeCells count="4">
    <mergeCell ref="A3:D3"/>
    <mergeCell ref="G3:J3"/>
    <mergeCell ref="A5:C5"/>
    <mergeCell ref="G5:I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50"/>
  <sheetViews>
    <sheetView workbookViewId="0">
      <selection activeCell="G3" sqref="G3"/>
    </sheetView>
  </sheetViews>
  <sheetFormatPr baseColWidth="10" defaultColWidth="8.83203125" defaultRowHeight="15"/>
  <cols>
    <col min="1" max="1" width="11.6640625" customWidth="1"/>
    <col min="4" max="4" width="14.33203125" customWidth="1"/>
    <col min="5" max="5" width="11.83203125" customWidth="1"/>
    <col min="6" max="6" width="15.33203125" customWidth="1"/>
    <col min="7" max="7" width="13.5" customWidth="1"/>
    <col min="8" max="8" width="14.5" customWidth="1"/>
    <col min="257" max="257" width="11.6640625" customWidth="1"/>
    <col min="260" max="260" width="14.33203125" customWidth="1"/>
    <col min="261" max="261" width="11.83203125" customWidth="1"/>
    <col min="262" max="262" width="15.33203125" customWidth="1"/>
    <col min="263" max="263" width="13.5" customWidth="1"/>
    <col min="264" max="264" width="14.5" customWidth="1"/>
    <col min="513" max="513" width="11.6640625" customWidth="1"/>
    <col min="516" max="516" width="14.33203125" customWidth="1"/>
    <col min="517" max="517" width="11.83203125" customWidth="1"/>
    <col min="518" max="518" width="15.33203125" customWidth="1"/>
    <col min="519" max="519" width="13.5" customWidth="1"/>
    <col min="520" max="520" width="14.5" customWidth="1"/>
    <col min="769" max="769" width="11.6640625" customWidth="1"/>
    <col min="772" max="772" width="14.33203125" customWidth="1"/>
    <col min="773" max="773" width="11.83203125" customWidth="1"/>
    <col min="774" max="774" width="15.33203125" customWidth="1"/>
    <col min="775" max="775" width="13.5" customWidth="1"/>
    <col min="776" max="776" width="14.5" customWidth="1"/>
    <col min="1025" max="1025" width="11.6640625" customWidth="1"/>
    <col min="1028" max="1028" width="14.33203125" customWidth="1"/>
    <col min="1029" max="1029" width="11.83203125" customWidth="1"/>
    <col min="1030" max="1030" width="15.33203125" customWidth="1"/>
    <col min="1031" max="1031" width="13.5" customWidth="1"/>
    <col min="1032" max="1032" width="14.5" customWidth="1"/>
    <col min="1281" max="1281" width="11.6640625" customWidth="1"/>
    <col min="1284" max="1284" width="14.33203125" customWidth="1"/>
    <col min="1285" max="1285" width="11.83203125" customWidth="1"/>
    <col min="1286" max="1286" width="15.33203125" customWidth="1"/>
    <col min="1287" max="1287" width="13.5" customWidth="1"/>
    <col min="1288" max="1288" width="14.5" customWidth="1"/>
    <col min="1537" max="1537" width="11.6640625" customWidth="1"/>
    <col min="1540" max="1540" width="14.33203125" customWidth="1"/>
    <col min="1541" max="1541" width="11.83203125" customWidth="1"/>
    <col min="1542" max="1542" width="15.33203125" customWidth="1"/>
    <col min="1543" max="1543" width="13.5" customWidth="1"/>
    <col min="1544" max="1544" width="14.5" customWidth="1"/>
    <col min="1793" max="1793" width="11.6640625" customWidth="1"/>
    <col min="1796" max="1796" width="14.33203125" customWidth="1"/>
    <col min="1797" max="1797" width="11.83203125" customWidth="1"/>
    <col min="1798" max="1798" width="15.33203125" customWidth="1"/>
    <col min="1799" max="1799" width="13.5" customWidth="1"/>
    <col min="1800" max="1800" width="14.5" customWidth="1"/>
    <col min="2049" max="2049" width="11.6640625" customWidth="1"/>
    <col min="2052" max="2052" width="14.33203125" customWidth="1"/>
    <col min="2053" max="2053" width="11.83203125" customWidth="1"/>
    <col min="2054" max="2054" width="15.33203125" customWidth="1"/>
    <col min="2055" max="2055" width="13.5" customWidth="1"/>
    <col min="2056" max="2056" width="14.5" customWidth="1"/>
    <col min="2305" max="2305" width="11.6640625" customWidth="1"/>
    <col min="2308" max="2308" width="14.33203125" customWidth="1"/>
    <col min="2309" max="2309" width="11.83203125" customWidth="1"/>
    <col min="2310" max="2310" width="15.33203125" customWidth="1"/>
    <col min="2311" max="2311" width="13.5" customWidth="1"/>
    <col min="2312" max="2312" width="14.5" customWidth="1"/>
    <col min="2561" max="2561" width="11.6640625" customWidth="1"/>
    <col min="2564" max="2564" width="14.33203125" customWidth="1"/>
    <col min="2565" max="2565" width="11.83203125" customWidth="1"/>
    <col min="2566" max="2566" width="15.33203125" customWidth="1"/>
    <col min="2567" max="2567" width="13.5" customWidth="1"/>
    <col min="2568" max="2568" width="14.5" customWidth="1"/>
    <col min="2817" max="2817" width="11.6640625" customWidth="1"/>
    <col min="2820" max="2820" width="14.33203125" customWidth="1"/>
    <col min="2821" max="2821" width="11.83203125" customWidth="1"/>
    <col min="2822" max="2822" width="15.33203125" customWidth="1"/>
    <col min="2823" max="2823" width="13.5" customWidth="1"/>
    <col min="2824" max="2824" width="14.5" customWidth="1"/>
    <col min="3073" max="3073" width="11.6640625" customWidth="1"/>
    <col min="3076" max="3076" width="14.33203125" customWidth="1"/>
    <col min="3077" max="3077" width="11.83203125" customWidth="1"/>
    <col min="3078" max="3078" width="15.33203125" customWidth="1"/>
    <col min="3079" max="3079" width="13.5" customWidth="1"/>
    <col min="3080" max="3080" width="14.5" customWidth="1"/>
    <col min="3329" max="3329" width="11.6640625" customWidth="1"/>
    <col min="3332" max="3332" width="14.33203125" customWidth="1"/>
    <col min="3333" max="3333" width="11.83203125" customWidth="1"/>
    <col min="3334" max="3334" width="15.33203125" customWidth="1"/>
    <col min="3335" max="3335" width="13.5" customWidth="1"/>
    <col min="3336" max="3336" width="14.5" customWidth="1"/>
    <col min="3585" max="3585" width="11.6640625" customWidth="1"/>
    <col min="3588" max="3588" width="14.33203125" customWidth="1"/>
    <col min="3589" max="3589" width="11.83203125" customWidth="1"/>
    <col min="3590" max="3590" width="15.33203125" customWidth="1"/>
    <col min="3591" max="3591" width="13.5" customWidth="1"/>
    <col min="3592" max="3592" width="14.5" customWidth="1"/>
    <col min="3841" max="3841" width="11.6640625" customWidth="1"/>
    <col min="3844" max="3844" width="14.33203125" customWidth="1"/>
    <col min="3845" max="3845" width="11.83203125" customWidth="1"/>
    <col min="3846" max="3846" width="15.33203125" customWidth="1"/>
    <col min="3847" max="3847" width="13.5" customWidth="1"/>
    <col min="3848" max="3848" width="14.5" customWidth="1"/>
    <col min="4097" max="4097" width="11.6640625" customWidth="1"/>
    <col min="4100" max="4100" width="14.33203125" customWidth="1"/>
    <col min="4101" max="4101" width="11.83203125" customWidth="1"/>
    <col min="4102" max="4102" width="15.33203125" customWidth="1"/>
    <col min="4103" max="4103" width="13.5" customWidth="1"/>
    <col min="4104" max="4104" width="14.5" customWidth="1"/>
    <col min="4353" max="4353" width="11.6640625" customWidth="1"/>
    <col min="4356" max="4356" width="14.33203125" customWidth="1"/>
    <col min="4357" max="4357" width="11.83203125" customWidth="1"/>
    <col min="4358" max="4358" width="15.33203125" customWidth="1"/>
    <col min="4359" max="4359" width="13.5" customWidth="1"/>
    <col min="4360" max="4360" width="14.5" customWidth="1"/>
    <col min="4609" max="4609" width="11.6640625" customWidth="1"/>
    <col min="4612" max="4612" width="14.33203125" customWidth="1"/>
    <col min="4613" max="4613" width="11.83203125" customWidth="1"/>
    <col min="4614" max="4614" width="15.33203125" customWidth="1"/>
    <col min="4615" max="4615" width="13.5" customWidth="1"/>
    <col min="4616" max="4616" width="14.5" customWidth="1"/>
    <col min="4865" max="4865" width="11.6640625" customWidth="1"/>
    <col min="4868" max="4868" width="14.33203125" customWidth="1"/>
    <col min="4869" max="4869" width="11.83203125" customWidth="1"/>
    <col min="4870" max="4870" width="15.33203125" customWidth="1"/>
    <col min="4871" max="4871" width="13.5" customWidth="1"/>
    <col min="4872" max="4872" width="14.5" customWidth="1"/>
    <col min="5121" max="5121" width="11.6640625" customWidth="1"/>
    <col min="5124" max="5124" width="14.33203125" customWidth="1"/>
    <col min="5125" max="5125" width="11.83203125" customWidth="1"/>
    <col min="5126" max="5126" width="15.33203125" customWidth="1"/>
    <col min="5127" max="5127" width="13.5" customWidth="1"/>
    <col min="5128" max="5128" width="14.5" customWidth="1"/>
    <col min="5377" max="5377" width="11.6640625" customWidth="1"/>
    <col min="5380" max="5380" width="14.33203125" customWidth="1"/>
    <col min="5381" max="5381" width="11.83203125" customWidth="1"/>
    <col min="5382" max="5382" width="15.33203125" customWidth="1"/>
    <col min="5383" max="5383" width="13.5" customWidth="1"/>
    <col min="5384" max="5384" width="14.5" customWidth="1"/>
    <col min="5633" max="5633" width="11.6640625" customWidth="1"/>
    <col min="5636" max="5636" width="14.33203125" customWidth="1"/>
    <col min="5637" max="5637" width="11.83203125" customWidth="1"/>
    <col min="5638" max="5638" width="15.33203125" customWidth="1"/>
    <col min="5639" max="5639" width="13.5" customWidth="1"/>
    <col min="5640" max="5640" width="14.5" customWidth="1"/>
    <col min="5889" max="5889" width="11.6640625" customWidth="1"/>
    <col min="5892" max="5892" width="14.33203125" customWidth="1"/>
    <col min="5893" max="5893" width="11.83203125" customWidth="1"/>
    <col min="5894" max="5894" width="15.33203125" customWidth="1"/>
    <col min="5895" max="5895" width="13.5" customWidth="1"/>
    <col min="5896" max="5896" width="14.5" customWidth="1"/>
    <col min="6145" max="6145" width="11.6640625" customWidth="1"/>
    <col min="6148" max="6148" width="14.33203125" customWidth="1"/>
    <col min="6149" max="6149" width="11.83203125" customWidth="1"/>
    <col min="6150" max="6150" width="15.33203125" customWidth="1"/>
    <col min="6151" max="6151" width="13.5" customWidth="1"/>
    <col min="6152" max="6152" width="14.5" customWidth="1"/>
    <col min="6401" max="6401" width="11.6640625" customWidth="1"/>
    <col min="6404" max="6404" width="14.33203125" customWidth="1"/>
    <col min="6405" max="6405" width="11.83203125" customWidth="1"/>
    <col min="6406" max="6406" width="15.33203125" customWidth="1"/>
    <col min="6407" max="6407" width="13.5" customWidth="1"/>
    <col min="6408" max="6408" width="14.5" customWidth="1"/>
    <col min="6657" max="6657" width="11.6640625" customWidth="1"/>
    <col min="6660" max="6660" width="14.33203125" customWidth="1"/>
    <col min="6661" max="6661" width="11.83203125" customWidth="1"/>
    <col min="6662" max="6662" width="15.33203125" customWidth="1"/>
    <col min="6663" max="6663" width="13.5" customWidth="1"/>
    <col min="6664" max="6664" width="14.5" customWidth="1"/>
    <col min="6913" max="6913" width="11.6640625" customWidth="1"/>
    <col min="6916" max="6916" width="14.33203125" customWidth="1"/>
    <col min="6917" max="6917" width="11.83203125" customWidth="1"/>
    <col min="6918" max="6918" width="15.33203125" customWidth="1"/>
    <col min="6919" max="6919" width="13.5" customWidth="1"/>
    <col min="6920" max="6920" width="14.5" customWidth="1"/>
    <col min="7169" max="7169" width="11.6640625" customWidth="1"/>
    <col min="7172" max="7172" width="14.33203125" customWidth="1"/>
    <col min="7173" max="7173" width="11.83203125" customWidth="1"/>
    <col min="7174" max="7174" width="15.33203125" customWidth="1"/>
    <col min="7175" max="7175" width="13.5" customWidth="1"/>
    <col min="7176" max="7176" width="14.5" customWidth="1"/>
    <col min="7425" max="7425" width="11.6640625" customWidth="1"/>
    <col min="7428" max="7428" width="14.33203125" customWidth="1"/>
    <col min="7429" max="7429" width="11.83203125" customWidth="1"/>
    <col min="7430" max="7430" width="15.33203125" customWidth="1"/>
    <col min="7431" max="7431" width="13.5" customWidth="1"/>
    <col min="7432" max="7432" width="14.5" customWidth="1"/>
    <col min="7681" max="7681" width="11.6640625" customWidth="1"/>
    <col min="7684" max="7684" width="14.33203125" customWidth="1"/>
    <col min="7685" max="7685" width="11.83203125" customWidth="1"/>
    <col min="7686" max="7686" width="15.33203125" customWidth="1"/>
    <col min="7687" max="7687" width="13.5" customWidth="1"/>
    <col min="7688" max="7688" width="14.5" customWidth="1"/>
    <col min="7937" max="7937" width="11.6640625" customWidth="1"/>
    <col min="7940" max="7940" width="14.33203125" customWidth="1"/>
    <col min="7941" max="7941" width="11.83203125" customWidth="1"/>
    <col min="7942" max="7942" width="15.33203125" customWidth="1"/>
    <col min="7943" max="7943" width="13.5" customWidth="1"/>
    <col min="7944" max="7944" width="14.5" customWidth="1"/>
    <col min="8193" max="8193" width="11.6640625" customWidth="1"/>
    <col min="8196" max="8196" width="14.33203125" customWidth="1"/>
    <col min="8197" max="8197" width="11.83203125" customWidth="1"/>
    <col min="8198" max="8198" width="15.33203125" customWidth="1"/>
    <col min="8199" max="8199" width="13.5" customWidth="1"/>
    <col min="8200" max="8200" width="14.5" customWidth="1"/>
    <col min="8449" max="8449" width="11.6640625" customWidth="1"/>
    <col min="8452" max="8452" width="14.33203125" customWidth="1"/>
    <col min="8453" max="8453" width="11.83203125" customWidth="1"/>
    <col min="8454" max="8454" width="15.33203125" customWidth="1"/>
    <col min="8455" max="8455" width="13.5" customWidth="1"/>
    <col min="8456" max="8456" width="14.5" customWidth="1"/>
    <col min="8705" max="8705" width="11.6640625" customWidth="1"/>
    <col min="8708" max="8708" width="14.33203125" customWidth="1"/>
    <col min="8709" max="8709" width="11.83203125" customWidth="1"/>
    <col min="8710" max="8710" width="15.33203125" customWidth="1"/>
    <col min="8711" max="8711" width="13.5" customWidth="1"/>
    <col min="8712" max="8712" width="14.5" customWidth="1"/>
    <col min="8961" max="8961" width="11.6640625" customWidth="1"/>
    <col min="8964" max="8964" width="14.33203125" customWidth="1"/>
    <col min="8965" max="8965" width="11.83203125" customWidth="1"/>
    <col min="8966" max="8966" width="15.33203125" customWidth="1"/>
    <col min="8967" max="8967" width="13.5" customWidth="1"/>
    <col min="8968" max="8968" width="14.5" customWidth="1"/>
    <col min="9217" max="9217" width="11.6640625" customWidth="1"/>
    <col min="9220" max="9220" width="14.33203125" customWidth="1"/>
    <col min="9221" max="9221" width="11.83203125" customWidth="1"/>
    <col min="9222" max="9222" width="15.33203125" customWidth="1"/>
    <col min="9223" max="9223" width="13.5" customWidth="1"/>
    <col min="9224" max="9224" width="14.5" customWidth="1"/>
    <col min="9473" max="9473" width="11.6640625" customWidth="1"/>
    <col min="9476" max="9476" width="14.33203125" customWidth="1"/>
    <col min="9477" max="9477" width="11.83203125" customWidth="1"/>
    <col min="9478" max="9478" width="15.33203125" customWidth="1"/>
    <col min="9479" max="9479" width="13.5" customWidth="1"/>
    <col min="9480" max="9480" width="14.5" customWidth="1"/>
    <col min="9729" max="9729" width="11.6640625" customWidth="1"/>
    <col min="9732" max="9732" width="14.33203125" customWidth="1"/>
    <col min="9733" max="9733" width="11.83203125" customWidth="1"/>
    <col min="9734" max="9734" width="15.33203125" customWidth="1"/>
    <col min="9735" max="9735" width="13.5" customWidth="1"/>
    <col min="9736" max="9736" width="14.5" customWidth="1"/>
    <col min="9985" max="9985" width="11.6640625" customWidth="1"/>
    <col min="9988" max="9988" width="14.33203125" customWidth="1"/>
    <col min="9989" max="9989" width="11.83203125" customWidth="1"/>
    <col min="9990" max="9990" width="15.33203125" customWidth="1"/>
    <col min="9991" max="9991" width="13.5" customWidth="1"/>
    <col min="9992" max="9992" width="14.5" customWidth="1"/>
    <col min="10241" max="10241" width="11.6640625" customWidth="1"/>
    <col min="10244" max="10244" width="14.33203125" customWidth="1"/>
    <col min="10245" max="10245" width="11.83203125" customWidth="1"/>
    <col min="10246" max="10246" width="15.33203125" customWidth="1"/>
    <col min="10247" max="10247" width="13.5" customWidth="1"/>
    <col min="10248" max="10248" width="14.5" customWidth="1"/>
    <col min="10497" max="10497" width="11.6640625" customWidth="1"/>
    <col min="10500" max="10500" width="14.33203125" customWidth="1"/>
    <col min="10501" max="10501" width="11.83203125" customWidth="1"/>
    <col min="10502" max="10502" width="15.33203125" customWidth="1"/>
    <col min="10503" max="10503" width="13.5" customWidth="1"/>
    <col min="10504" max="10504" width="14.5" customWidth="1"/>
    <col min="10753" max="10753" width="11.6640625" customWidth="1"/>
    <col min="10756" max="10756" width="14.33203125" customWidth="1"/>
    <col min="10757" max="10757" width="11.83203125" customWidth="1"/>
    <col min="10758" max="10758" width="15.33203125" customWidth="1"/>
    <col min="10759" max="10759" width="13.5" customWidth="1"/>
    <col min="10760" max="10760" width="14.5" customWidth="1"/>
    <col min="11009" max="11009" width="11.6640625" customWidth="1"/>
    <col min="11012" max="11012" width="14.33203125" customWidth="1"/>
    <col min="11013" max="11013" width="11.83203125" customWidth="1"/>
    <col min="11014" max="11014" width="15.33203125" customWidth="1"/>
    <col min="11015" max="11015" width="13.5" customWidth="1"/>
    <col min="11016" max="11016" width="14.5" customWidth="1"/>
    <col min="11265" max="11265" width="11.6640625" customWidth="1"/>
    <col min="11268" max="11268" width="14.33203125" customWidth="1"/>
    <col min="11269" max="11269" width="11.83203125" customWidth="1"/>
    <col min="11270" max="11270" width="15.33203125" customWidth="1"/>
    <col min="11271" max="11271" width="13.5" customWidth="1"/>
    <col min="11272" max="11272" width="14.5" customWidth="1"/>
    <col min="11521" max="11521" width="11.6640625" customWidth="1"/>
    <col min="11524" max="11524" width="14.33203125" customWidth="1"/>
    <col min="11525" max="11525" width="11.83203125" customWidth="1"/>
    <col min="11526" max="11526" width="15.33203125" customWidth="1"/>
    <col min="11527" max="11527" width="13.5" customWidth="1"/>
    <col min="11528" max="11528" width="14.5" customWidth="1"/>
    <col min="11777" max="11777" width="11.6640625" customWidth="1"/>
    <col min="11780" max="11780" width="14.33203125" customWidth="1"/>
    <col min="11781" max="11781" width="11.83203125" customWidth="1"/>
    <col min="11782" max="11782" width="15.33203125" customWidth="1"/>
    <col min="11783" max="11783" width="13.5" customWidth="1"/>
    <col min="11784" max="11784" width="14.5" customWidth="1"/>
    <col min="12033" max="12033" width="11.6640625" customWidth="1"/>
    <col min="12036" max="12036" width="14.33203125" customWidth="1"/>
    <col min="12037" max="12037" width="11.83203125" customWidth="1"/>
    <col min="12038" max="12038" width="15.33203125" customWidth="1"/>
    <col min="12039" max="12039" width="13.5" customWidth="1"/>
    <col min="12040" max="12040" width="14.5" customWidth="1"/>
    <col min="12289" max="12289" width="11.6640625" customWidth="1"/>
    <col min="12292" max="12292" width="14.33203125" customWidth="1"/>
    <col min="12293" max="12293" width="11.83203125" customWidth="1"/>
    <col min="12294" max="12294" width="15.33203125" customWidth="1"/>
    <col min="12295" max="12295" width="13.5" customWidth="1"/>
    <col min="12296" max="12296" width="14.5" customWidth="1"/>
    <col min="12545" max="12545" width="11.6640625" customWidth="1"/>
    <col min="12548" max="12548" width="14.33203125" customWidth="1"/>
    <col min="12549" max="12549" width="11.83203125" customWidth="1"/>
    <col min="12550" max="12550" width="15.33203125" customWidth="1"/>
    <col min="12551" max="12551" width="13.5" customWidth="1"/>
    <col min="12552" max="12552" width="14.5" customWidth="1"/>
    <col min="12801" max="12801" width="11.6640625" customWidth="1"/>
    <col min="12804" max="12804" width="14.33203125" customWidth="1"/>
    <col min="12805" max="12805" width="11.83203125" customWidth="1"/>
    <col min="12806" max="12806" width="15.33203125" customWidth="1"/>
    <col min="12807" max="12807" width="13.5" customWidth="1"/>
    <col min="12808" max="12808" width="14.5" customWidth="1"/>
    <col min="13057" max="13057" width="11.6640625" customWidth="1"/>
    <col min="13060" max="13060" width="14.33203125" customWidth="1"/>
    <col min="13061" max="13061" width="11.83203125" customWidth="1"/>
    <col min="13062" max="13062" width="15.33203125" customWidth="1"/>
    <col min="13063" max="13063" width="13.5" customWidth="1"/>
    <col min="13064" max="13064" width="14.5" customWidth="1"/>
    <col min="13313" max="13313" width="11.6640625" customWidth="1"/>
    <col min="13316" max="13316" width="14.33203125" customWidth="1"/>
    <col min="13317" max="13317" width="11.83203125" customWidth="1"/>
    <col min="13318" max="13318" width="15.33203125" customWidth="1"/>
    <col min="13319" max="13319" width="13.5" customWidth="1"/>
    <col min="13320" max="13320" width="14.5" customWidth="1"/>
    <col min="13569" max="13569" width="11.6640625" customWidth="1"/>
    <col min="13572" max="13572" width="14.33203125" customWidth="1"/>
    <col min="13573" max="13573" width="11.83203125" customWidth="1"/>
    <col min="13574" max="13574" width="15.33203125" customWidth="1"/>
    <col min="13575" max="13575" width="13.5" customWidth="1"/>
    <col min="13576" max="13576" width="14.5" customWidth="1"/>
    <col min="13825" max="13825" width="11.6640625" customWidth="1"/>
    <col min="13828" max="13828" width="14.33203125" customWidth="1"/>
    <col min="13829" max="13829" width="11.83203125" customWidth="1"/>
    <col min="13830" max="13830" width="15.33203125" customWidth="1"/>
    <col min="13831" max="13831" width="13.5" customWidth="1"/>
    <col min="13832" max="13832" width="14.5" customWidth="1"/>
    <col min="14081" max="14081" width="11.6640625" customWidth="1"/>
    <col min="14084" max="14084" width="14.33203125" customWidth="1"/>
    <col min="14085" max="14085" width="11.83203125" customWidth="1"/>
    <col min="14086" max="14086" width="15.33203125" customWidth="1"/>
    <col min="14087" max="14087" width="13.5" customWidth="1"/>
    <col min="14088" max="14088" width="14.5" customWidth="1"/>
    <col min="14337" max="14337" width="11.6640625" customWidth="1"/>
    <col min="14340" max="14340" width="14.33203125" customWidth="1"/>
    <col min="14341" max="14341" width="11.83203125" customWidth="1"/>
    <col min="14342" max="14342" width="15.33203125" customWidth="1"/>
    <col min="14343" max="14343" width="13.5" customWidth="1"/>
    <col min="14344" max="14344" width="14.5" customWidth="1"/>
    <col min="14593" max="14593" width="11.6640625" customWidth="1"/>
    <col min="14596" max="14596" width="14.33203125" customWidth="1"/>
    <col min="14597" max="14597" width="11.83203125" customWidth="1"/>
    <col min="14598" max="14598" width="15.33203125" customWidth="1"/>
    <col min="14599" max="14599" width="13.5" customWidth="1"/>
    <col min="14600" max="14600" width="14.5" customWidth="1"/>
    <col min="14849" max="14849" width="11.6640625" customWidth="1"/>
    <col min="14852" max="14852" width="14.33203125" customWidth="1"/>
    <col min="14853" max="14853" width="11.83203125" customWidth="1"/>
    <col min="14854" max="14854" width="15.33203125" customWidth="1"/>
    <col min="14855" max="14855" width="13.5" customWidth="1"/>
    <col min="14856" max="14856" width="14.5" customWidth="1"/>
    <col min="15105" max="15105" width="11.6640625" customWidth="1"/>
    <col min="15108" max="15108" width="14.33203125" customWidth="1"/>
    <col min="15109" max="15109" width="11.83203125" customWidth="1"/>
    <col min="15110" max="15110" width="15.33203125" customWidth="1"/>
    <col min="15111" max="15111" width="13.5" customWidth="1"/>
    <col min="15112" max="15112" width="14.5" customWidth="1"/>
    <col min="15361" max="15361" width="11.6640625" customWidth="1"/>
    <col min="15364" max="15364" width="14.33203125" customWidth="1"/>
    <col min="15365" max="15365" width="11.83203125" customWidth="1"/>
    <col min="15366" max="15366" width="15.33203125" customWidth="1"/>
    <col min="15367" max="15367" width="13.5" customWidth="1"/>
    <col min="15368" max="15368" width="14.5" customWidth="1"/>
    <col min="15617" max="15617" width="11.6640625" customWidth="1"/>
    <col min="15620" max="15620" width="14.33203125" customWidth="1"/>
    <col min="15621" max="15621" width="11.83203125" customWidth="1"/>
    <col min="15622" max="15622" width="15.33203125" customWidth="1"/>
    <col min="15623" max="15623" width="13.5" customWidth="1"/>
    <col min="15624" max="15624" width="14.5" customWidth="1"/>
    <col min="15873" max="15873" width="11.6640625" customWidth="1"/>
    <col min="15876" max="15876" width="14.33203125" customWidth="1"/>
    <col min="15877" max="15877" width="11.83203125" customWidth="1"/>
    <col min="15878" max="15878" width="15.33203125" customWidth="1"/>
    <col min="15879" max="15879" width="13.5" customWidth="1"/>
    <col min="15880" max="15880" width="14.5" customWidth="1"/>
    <col min="16129" max="16129" width="11.6640625" customWidth="1"/>
    <col min="16132" max="16132" width="14.33203125" customWidth="1"/>
    <col min="16133" max="16133" width="11.83203125" customWidth="1"/>
    <col min="16134" max="16134" width="15.33203125" customWidth="1"/>
    <col min="16135" max="16135" width="13.5" customWidth="1"/>
    <col min="16136" max="16136" width="14.5" customWidth="1"/>
  </cols>
  <sheetData>
    <row r="1" spans="1:8">
      <c r="A1" s="1" t="s">
        <v>274</v>
      </c>
    </row>
    <row r="3" spans="1:8">
      <c r="A3" s="327"/>
      <c r="B3" s="79" t="s">
        <v>38</v>
      </c>
      <c r="C3" s="39" t="s">
        <v>2</v>
      </c>
      <c r="D3" s="79" t="s">
        <v>2</v>
      </c>
      <c r="E3" s="79" t="s">
        <v>318</v>
      </c>
      <c r="F3" s="79" t="s">
        <v>3</v>
      </c>
      <c r="G3" s="79" t="s">
        <v>318</v>
      </c>
      <c r="H3" s="79" t="s">
        <v>211</v>
      </c>
    </row>
    <row r="4" spans="1:8">
      <c r="A4" s="79" t="s">
        <v>22</v>
      </c>
      <c r="B4" s="79" t="s">
        <v>109</v>
      </c>
      <c r="C4" s="39" t="s">
        <v>185</v>
      </c>
      <c r="D4" s="79" t="s">
        <v>157</v>
      </c>
      <c r="E4" s="79" t="s">
        <v>3</v>
      </c>
      <c r="F4" s="79" t="s">
        <v>157</v>
      </c>
      <c r="G4" s="79" t="s">
        <v>211</v>
      </c>
      <c r="H4" s="79" t="s">
        <v>157</v>
      </c>
    </row>
    <row r="5" spans="1:8">
      <c r="A5" s="28" t="s">
        <v>10</v>
      </c>
      <c r="B5" s="28">
        <v>543</v>
      </c>
      <c r="C5" s="8"/>
      <c r="D5" s="8"/>
      <c r="E5" s="8"/>
      <c r="F5" s="8"/>
      <c r="G5" s="8"/>
      <c r="H5" s="8"/>
    </row>
    <row r="6" spans="1:8">
      <c r="A6" s="28" t="s">
        <v>23</v>
      </c>
      <c r="B6" s="28">
        <v>528</v>
      </c>
      <c r="C6" s="28">
        <v>543</v>
      </c>
      <c r="D6" s="28">
        <f t="shared" ref="D6:D16" si="0">ABS(B6-C6)</f>
        <v>15</v>
      </c>
      <c r="E6" s="8"/>
      <c r="F6" s="8"/>
      <c r="G6" s="8"/>
      <c r="H6" s="8"/>
    </row>
    <row r="7" spans="1:8">
      <c r="A7" s="28" t="s">
        <v>24</v>
      </c>
      <c r="B7" s="28">
        <v>531</v>
      </c>
      <c r="C7" s="28">
        <v>528</v>
      </c>
      <c r="D7" s="28">
        <f t="shared" si="0"/>
        <v>3</v>
      </c>
      <c r="E7" s="240"/>
      <c r="F7" s="240"/>
      <c r="G7" s="240"/>
      <c r="H7" s="8"/>
    </row>
    <row r="8" spans="1:8">
      <c r="A8" s="291" t="s">
        <v>14</v>
      </c>
      <c r="B8" s="291">
        <v>542</v>
      </c>
      <c r="C8" s="291">
        <v>531</v>
      </c>
      <c r="D8" s="291">
        <f t="shared" si="0"/>
        <v>11</v>
      </c>
      <c r="E8" s="26"/>
      <c r="F8" s="26"/>
      <c r="G8" s="26"/>
    </row>
    <row r="9" spans="1:8">
      <c r="A9" s="291" t="s">
        <v>15</v>
      </c>
      <c r="B9" s="291">
        <v>558</v>
      </c>
      <c r="C9" s="291">
        <v>542</v>
      </c>
      <c r="D9" s="291">
        <f t="shared" si="0"/>
        <v>16</v>
      </c>
      <c r="E9" s="26">
        <f t="shared" ref="E9:E17" si="1">AVERAGE(B5:B8)</f>
        <v>536</v>
      </c>
      <c r="F9" s="37">
        <f t="shared" ref="F9:F16" si="2">ABS(B9-E9)</f>
        <v>22</v>
      </c>
      <c r="G9" s="26"/>
    </row>
    <row r="10" spans="1:8">
      <c r="A10" s="291" t="s">
        <v>16</v>
      </c>
      <c r="B10" s="291">
        <v>545</v>
      </c>
      <c r="C10" s="291">
        <v>558</v>
      </c>
      <c r="D10" s="291">
        <f t="shared" si="0"/>
        <v>13</v>
      </c>
      <c r="E10" s="26">
        <f t="shared" si="1"/>
        <v>539.75</v>
      </c>
      <c r="F10" s="37">
        <f t="shared" si="2"/>
        <v>5.25</v>
      </c>
      <c r="G10" s="26"/>
    </row>
    <row r="11" spans="1:8">
      <c r="A11" s="291" t="s">
        <v>4</v>
      </c>
      <c r="B11" s="291">
        <v>543</v>
      </c>
      <c r="C11" s="291">
        <v>545</v>
      </c>
      <c r="D11" s="291">
        <f t="shared" si="0"/>
        <v>2</v>
      </c>
      <c r="E11" s="26">
        <f t="shared" si="1"/>
        <v>544</v>
      </c>
      <c r="F11" s="37">
        <f t="shared" si="2"/>
        <v>1</v>
      </c>
      <c r="G11" s="26">
        <v>541.16669999999999</v>
      </c>
      <c r="H11" s="37">
        <f t="shared" ref="H11:H16" si="3">ABS(B11-G11)</f>
        <v>1.8333000000000084</v>
      </c>
    </row>
    <row r="12" spans="1:8">
      <c r="A12" s="291" t="s">
        <v>5</v>
      </c>
      <c r="B12" s="291">
        <v>550</v>
      </c>
      <c r="C12" s="291">
        <v>543</v>
      </c>
      <c r="D12" s="291">
        <f t="shared" si="0"/>
        <v>7</v>
      </c>
      <c r="E12" s="26">
        <f t="shared" si="1"/>
        <v>547</v>
      </c>
      <c r="F12" s="37">
        <f t="shared" si="2"/>
        <v>3</v>
      </c>
      <c r="G12" s="26">
        <v>541.16669999999999</v>
      </c>
      <c r="H12" s="37">
        <f t="shared" si="3"/>
        <v>8.8333000000000084</v>
      </c>
    </row>
    <row r="13" spans="1:8">
      <c r="A13" s="291" t="s">
        <v>6</v>
      </c>
      <c r="B13" s="291">
        <v>546</v>
      </c>
      <c r="C13" s="291">
        <v>550</v>
      </c>
      <c r="D13" s="291">
        <f t="shared" si="0"/>
        <v>4</v>
      </c>
      <c r="E13" s="26">
        <f t="shared" si="1"/>
        <v>549</v>
      </c>
      <c r="F13" s="37">
        <f t="shared" si="2"/>
        <v>3</v>
      </c>
      <c r="G13" s="26">
        <v>544.83330000000001</v>
      </c>
      <c r="H13" s="37">
        <f t="shared" si="3"/>
        <v>1.1666999999999916</v>
      </c>
    </row>
    <row r="14" spans="1:8">
      <c r="A14" s="291" t="s">
        <v>7</v>
      </c>
      <c r="B14" s="291">
        <v>540</v>
      </c>
      <c r="C14" s="291">
        <v>546</v>
      </c>
      <c r="D14" s="291">
        <f t="shared" si="0"/>
        <v>6</v>
      </c>
      <c r="E14" s="26">
        <f t="shared" si="1"/>
        <v>546</v>
      </c>
      <c r="F14" s="37">
        <f t="shared" si="2"/>
        <v>6</v>
      </c>
      <c r="G14" s="26">
        <v>547.33330000000001</v>
      </c>
      <c r="H14" s="37">
        <f t="shared" si="3"/>
        <v>7.3333000000000084</v>
      </c>
    </row>
    <row r="15" spans="1:8">
      <c r="A15" s="291" t="s">
        <v>8</v>
      </c>
      <c r="B15" s="291">
        <v>535</v>
      </c>
      <c r="C15" s="291">
        <v>540</v>
      </c>
      <c r="D15" s="291">
        <f t="shared" si="0"/>
        <v>5</v>
      </c>
      <c r="E15" s="26">
        <f t="shared" si="1"/>
        <v>544.75</v>
      </c>
      <c r="F15" s="37">
        <f t="shared" si="2"/>
        <v>9.75</v>
      </c>
      <c r="G15" s="26">
        <v>547</v>
      </c>
      <c r="H15" s="37">
        <f t="shared" si="3"/>
        <v>12</v>
      </c>
    </row>
    <row r="16" spans="1:8">
      <c r="A16" s="291" t="s">
        <v>9</v>
      </c>
      <c r="B16" s="291">
        <v>529</v>
      </c>
      <c r="C16" s="291">
        <v>535</v>
      </c>
      <c r="D16" s="291">
        <f t="shared" si="0"/>
        <v>6</v>
      </c>
      <c r="E16" s="26">
        <f t="shared" si="1"/>
        <v>542.75</v>
      </c>
      <c r="F16" s="37">
        <f t="shared" si="2"/>
        <v>13.75</v>
      </c>
      <c r="G16" s="26">
        <v>543.16669999999999</v>
      </c>
      <c r="H16" s="37">
        <f t="shared" si="3"/>
        <v>14.166699999999992</v>
      </c>
    </row>
    <row r="17" spans="1:11">
      <c r="A17" s="329" t="s">
        <v>10</v>
      </c>
      <c r="B17" s="511"/>
      <c r="C17" s="511">
        <v>529</v>
      </c>
      <c r="D17" s="511"/>
      <c r="E17" s="505">
        <f t="shared" si="1"/>
        <v>537.5</v>
      </c>
      <c r="F17" s="505"/>
      <c r="G17" s="505">
        <v>540.5</v>
      </c>
    </row>
    <row r="18" spans="1:11">
      <c r="A18" s="79"/>
      <c r="B18" s="28"/>
      <c r="C18" s="28"/>
      <c r="D18" s="28"/>
      <c r="E18" s="29"/>
      <c r="F18" s="29"/>
      <c r="G18" s="29"/>
    </row>
    <row r="19" spans="1:11">
      <c r="A19" s="79" t="s">
        <v>158</v>
      </c>
      <c r="C19" s="28"/>
      <c r="D19" s="28">
        <f>SUM(D6:D16)</f>
        <v>88</v>
      </c>
      <c r="E19" s="29"/>
      <c r="F19" s="38">
        <f>SUM(F9:F16)</f>
        <v>63.75</v>
      </c>
      <c r="G19" s="29"/>
      <c r="H19" s="37">
        <f>SUM(H11:H16)</f>
        <v>45.333300000000008</v>
      </c>
    </row>
    <row r="20" spans="1:11">
      <c r="A20" s="79"/>
      <c r="C20" s="28"/>
      <c r="D20" s="28"/>
      <c r="E20" s="29"/>
      <c r="F20" s="29"/>
      <c r="G20" s="29"/>
    </row>
    <row r="21" spans="1:11">
      <c r="A21" s="79" t="s">
        <v>273</v>
      </c>
      <c r="C21" s="28"/>
      <c r="D21" s="28">
        <f>SUM(B6:B16)</f>
        <v>5947</v>
      </c>
      <c r="E21" s="29"/>
      <c r="F21" s="28">
        <f>SUM(B9:B16)</f>
        <v>4346</v>
      </c>
      <c r="G21" s="29"/>
      <c r="H21" s="291">
        <f>SUM(B11:B16)</f>
        <v>3243</v>
      </c>
    </row>
    <row r="22" spans="1:11">
      <c r="A22" s="79"/>
      <c r="B22" s="28"/>
      <c r="E22" s="29"/>
      <c r="F22" s="29"/>
      <c r="G22" s="29"/>
    </row>
    <row r="23" spans="1:11">
      <c r="A23" s="509" t="s">
        <v>107</v>
      </c>
      <c r="B23" s="523"/>
      <c r="C23" s="523"/>
      <c r="D23" s="510">
        <f>SUM(D6:D16)/COUNT(D6:D16)</f>
        <v>8</v>
      </c>
      <c r="E23" s="509"/>
      <c r="F23" s="510">
        <f>SUM(F6:F16)/COUNT(F9:F16)</f>
        <v>7.96875</v>
      </c>
      <c r="G23" s="509"/>
      <c r="H23" s="510">
        <f>SUM(H11:H16)/COUNT(H11:H16)</f>
        <v>7.5555500000000011</v>
      </c>
    </row>
    <row r="24" spans="1:11">
      <c r="A24" s="509" t="s">
        <v>111</v>
      </c>
      <c r="B24" s="523"/>
      <c r="C24" s="523"/>
      <c r="D24" s="568">
        <f>SUM(D6:D16)/SUM(B6:B16)</f>
        <v>1.4797376828653102E-2</v>
      </c>
      <c r="E24" s="509"/>
      <c r="F24" s="568">
        <f>SUM(F9:F16)/SUM(B9:B16)</f>
        <v>1.4668660837551771E-2</v>
      </c>
      <c r="G24" s="509"/>
      <c r="H24" s="568">
        <f>SUM(H11:H16)/SUM(B11:B16)</f>
        <v>1.3978815911193342E-2</v>
      </c>
    </row>
    <row r="25" spans="1:11">
      <c r="A25" s="523"/>
      <c r="B25" s="523"/>
      <c r="C25" s="523"/>
      <c r="D25" s="523"/>
      <c r="E25" s="523"/>
      <c r="F25" s="523"/>
      <c r="G25" s="523"/>
      <c r="H25" s="523"/>
    </row>
    <row r="27" spans="1:11">
      <c r="A27" s="1" t="s">
        <v>320</v>
      </c>
    </row>
    <row r="29" spans="1:11">
      <c r="A29" s="82" t="s">
        <v>213</v>
      </c>
    </row>
    <row r="30" spans="1:11">
      <c r="A30" s="711" t="s">
        <v>119</v>
      </c>
      <c r="B30" s="711"/>
      <c r="C30" s="711"/>
      <c r="D30" s="711"/>
      <c r="E30" s="467"/>
      <c r="G30" s="711" t="s">
        <v>119</v>
      </c>
      <c r="H30" s="711"/>
      <c r="I30" s="711"/>
      <c r="J30" s="711"/>
      <c r="K30" s="467"/>
    </row>
    <row r="31" spans="1:11" ht="16" thickBot="1">
      <c r="A31" s="467"/>
      <c r="B31" s="467"/>
      <c r="C31" s="467"/>
      <c r="D31" s="467"/>
      <c r="E31" s="467"/>
      <c r="G31" s="467"/>
      <c r="H31" s="467"/>
      <c r="I31" s="467"/>
      <c r="J31" s="467"/>
      <c r="K31" s="467"/>
    </row>
    <row r="32" spans="1:11" ht="16" thickBot="1">
      <c r="A32" s="712" t="s">
        <v>120</v>
      </c>
      <c r="B32" s="712"/>
      <c r="C32" s="712"/>
      <c r="D32" s="468">
        <v>4</v>
      </c>
      <c r="E32" s="467"/>
      <c r="G32" s="712" t="s">
        <v>120</v>
      </c>
      <c r="H32" s="712"/>
      <c r="I32" s="712"/>
      <c r="J32" s="468">
        <v>6</v>
      </c>
      <c r="K32" s="467"/>
    </row>
    <row r="33" spans="1:11" ht="16" thickBot="1">
      <c r="A33" s="467"/>
      <c r="B33" s="467"/>
      <c r="C33" s="467"/>
      <c r="D33" s="467"/>
      <c r="E33" s="467"/>
      <c r="G33" s="467"/>
      <c r="H33" s="467"/>
      <c r="I33" s="467"/>
      <c r="J33" s="467"/>
      <c r="K33" s="467"/>
    </row>
    <row r="34" spans="1:11">
      <c r="A34" s="469" t="s">
        <v>121</v>
      </c>
      <c r="B34" s="470">
        <v>7.96875</v>
      </c>
      <c r="C34" s="471"/>
      <c r="D34" s="472"/>
      <c r="E34" s="467"/>
      <c r="G34" s="469" t="s">
        <v>121</v>
      </c>
      <c r="H34" s="470">
        <v>7.5555555555555616</v>
      </c>
      <c r="I34" s="471"/>
      <c r="J34" s="472"/>
      <c r="K34" s="467"/>
    </row>
    <row r="35" spans="1:11" ht="16" thickBot="1">
      <c r="A35" s="469" t="s">
        <v>122</v>
      </c>
      <c r="B35" s="473">
        <v>1.4668660837551771E-2</v>
      </c>
      <c r="C35" s="471"/>
      <c r="D35" s="472"/>
      <c r="E35" s="467"/>
      <c r="G35" s="469" t="s">
        <v>122</v>
      </c>
      <c r="H35" s="473">
        <v>1.397882618974202E-2</v>
      </c>
      <c r="I35" s="471"/>
      <c r="J35" s="472"/>
      <c r="K35" s="467"/>
    </row>
    <row r="36" spans="1:11" ht="16" thickBot="1">
      <c r="A36" s="467"/>
      <c r="B36" s="467"/>
      <c r="C36" s="467"/>
      <c r="D36" s="467"/>
      <c r="E36" s="467"/>
      <c r="G36" s="467"/>
      <c r="H36" s="467"/>
      <c r="I36" s="467"/>
      <c r="J36" s="467"/>
      <c r="K36" s="467"/>
    </row>
    <row r="37" spans="1:11" ht="30" thickBot="1">
      <c r="A37" s="474" t="s">
        <v>39</v>
      </c>
      <c r="B37" s="474" t="s">
        <v>38</v>
      </c>
      <c r="C37" s="474" t="s">
        <v>185</v>
      </c>
      <c r="D37" s="474" t="s">
        <v>37</v>
      </c>
      <c r="E37" s="475" t="s">
        <v>123</v>
      </c>
      <c r="G37" s="474" t="s">
        <v>39</v>
      </c>
      <c r="H37" s="474" t="s">
        <v>38</v>
      </c>
      <c r="I37" s="474" t="s">
        <v>185</v>
      </c>
      <c r="J37" s="474" t="s">
        <v>37</v>
      </c>
      <c r="K37" s="475" t="s">
        <v>123</v>
      </c>
    </row>
    <row r="38" spans="1:11">
      <c r="A38" s="476">
        <v>1</v>
      </c>
      <c r="B38" s="365">
        <v>543</v>
      </c>
      <c r="C38" s="477" t="s">
        <v>124</v>
      </c>
      <c r="D38" s="478" t="s">
        <v>124</v>
      </c>
      <c r="E38" s="479" t="s">
        <v>124</v>
      </c>
      <c r="G38" s="476">
        <v>1</v>
      </c>
      <c r="H38" s="365">
        <v>543</v>
      </c>
      <c r="I38" s="477" t="s">
        <v>124</v>
      </c>
      <c r="J38" s="478" t="s">
        <v>124</v>
      </c>
      <c r="K38" s="479" t="s">
        <v>124</v>
      </c>
    </row>
    <row r="39" spans="1:11">
      <c r="A39" s="480">
        <v>2</v>
      </c>
      <c r="B39" s="365">
        <v>528</v>
      </c>
      <c r="C39" s="481" t="s">
        <v>124</v>
      </c>
      <c r="D39" s="482" t="s">
        <v>124</v>
      </c>
      <c r="E39" s="483" t="s">
        <v>124</v>
      </c>
      <c r="G39" s="480">
        <v>2</v>
      </c>
      <c r="H39" s="365">
        <v>528</v>
      </c>
      <c r="I39" s="481" t="s">
        <v>124</v>
      </c>
      <c r="J39" s="482" t="s">
        <v>124</v>
      </c>
      <c r="K39" s="483" t="s">
        <v>124</v>
      </c>
    </row>
    <row r="40" spans="1:11">
      <c r="A40" s="480">
        <v>3</v>
      </c>
      <c r="B40" s="365">
        <v>531</v>
      </c>
      <c r="C40" s="481" t="s">
        <v>124</v>
      </c>
      <c r="D40" s="482" t="s">
        <v>124</v>
      </c>
      <c r="E40" s="483" t="s">
        <v>124</v>
      </c>
      <c r="G40" s="480">
        <v>3</v>
      </c>
      <c r="H40" s="365">
        <v>531</v>
      </c>
      <c r="I40" s="481" t="s">
        <v>124</v>
      </c>
      <c r="J40" s="482" t="s">
        <v>124</v>
      </c>
      <c r="K40" s="483" t="s">
        <v>124</v>
      </c>
    </row>
    <row r="41" spans="1:11">
      <c r="A41" s="480">
        <v>4</v>
      </c>
      <c r="B41" s="365">
        <v>542</v>
      </c>
      <c r="C41" s="481" t="s">
        <v>124</v>
      </c>
      <c r="D41" s="482" t="s">
        <v>124</v>
      </c>
      <c r="E41" s="483" t="s">
        <v>124</v>
      </c>
      <c r="G41" s="480">
        <v>4</v>
      </c>
      <c r="H41" s="365">
        <v>542</v>
      </c>
      <c r="I41" s="481" t="s">
        <v>124</v>
      </c>
      <c r="J41" s="482" t="s">
        <v>124</v>
      </c>
      <c r="K41" s="483" t="s">
        <v>124</v>
      </c>
    </row>
    <row r="42" spans="1:11">
      <c r="A42" s="480">
        <v>5</v>
      </c>
      <c r="B42" s="365">
        <v>558</v>
      </c>
      <c r="C42" s="481">
        <v>536</v>
      </c>
      <c r="D42" s="482">
        <v>22</v>
      </c>
      <c r="E42" s="483">
        <v>1</v>
      </c>
      <c r="G42" s="480">
        <v>5</v>
      </c>
      <c r="H42" s="365">
        <v>558</v>
      </c>
      <c r="I42" s="481" t="s">
        <v>124</v>
      </c>
      <c r="J42" s="482" t="s">
        <v>124</v>
      </c>
      <c r="K42" s="483" t="s">
        <v>124</v>
      </c>
    </row>
    <row r="43" spans="1:11">
      <c r="A43" s="480">
        <v>6</v>
      </c>
      <c r="B43" s="365">
        <v>545</v>
      </c>
      <c r="C43" s="481">
        <v>539.75</v>
      </c>
      <c r="D43" s="482">
        <v>5.25</v>
      </c>
      <c r="E43" s="483">
        <v>2</v>
      </c>
      <c r="G43" s="480">
        <v>6</v>
      </c>
      <c r="H43" s="365">
        <v>545</v>
      </c>
      <c r="I43" s="481" t="s">
        <v>124</v>
      </c>
      <c r="J43" s="482" t="s">
        <v>124</v>
      </c>
      <c r="K43" s="483" t="s">
        <v>124</v>
      </c>
    </row>
    <row r="44" spans="1:11">
      <c r="A44" s="480">
        <v>7</v>
      </c>
      <c r="B44" s="365">
        <v>543</v>
      </c>
      <c r="C44" s="481">
        <v>544</v>
      </c>
      <c r="D44" s="482">
        <v>-1</v>
      </c>
      <c r="E44" s="483">
        <v>2.7876106194690267</v>
      </c>
      <c r="G44" s="480">
        <v>7</v>
      </c>
      <c r="H44" s="365">
        <v>543</v>
      </c>
      <c r="I44" s="481">
        <v>541.16666666666663</v>
      </c>
      <c r="J44" s="482">
        <v>1.8333333333333712</v>
      </c>
      <c r="K44" s="483">
        <v>1</v>
      </c>
    </row>
    <row r="45" spans="1:11">
      <c r="A45" s="480">
        <v>8</v>
      </c>
      <c r="B45" s="365">
        <v>550</v>
      </c>
      <c r="C45" s="481">
        <v>547</v>
      </c>
      <c r="D45" s="482">
        <v>3</v>
      </c>
      <c r="E45" s="483">
        <v>3.7440000000000002</v>
      </c>
      <c r="G45" s="480">
        <v>8</v>
      </c>
      <c r="H45" s="365">
        <v>550</v>
      </c>
      <c r="I45" s="481">
        <v>541.16666666666663</v>
      </c>
      <c r="J45" s="482">
        <v>8.8333333333333712</v>
      </c>
      <c r="K45" s="483">
        <v>2</v>
      </c>
    </row>
    <row r="46" spans="1:11">
      <c r="A46" s="480">
        <v>9</v>
      </c>
      <c r="B46" s="365">
        <v>546</v>
      </c>
      <c r="C46" s="481">
        <v>549</v>
      </c>
      <c r="D46" s="482">
        <v>-3</v>
      </c>
      <c r="E46" s="483">
        <v>3.832116788321168</v>
      </c>
      <c r="G46" s="480">
        <v>9</v>
      </c>
      <c r="H46" s="365">
        <v>546</v>
      </c>
      <c r="I46" s="481">
        <v>544.83333333333337</v>
      </c>
      <c r="J46" s="482">
        <v>1.1666666666666288</v>
      </c>
      <c r="K46" s="483">
        <v>3</v>
      </c>
    </row>
    <row r="47" spans="1:11">
      <c r="A47" s="480">
        <v>10</v>
      </c>
      <c r="B47" s="365">
        <v>540</v>
      </c>
      <c r="C47" s="481">
        <v>546</v>
      </c>
      <c r="D47" s="482">
        <v>-6</v>
      </c>
      <c r="E47" s="483">
        <v>3.018633540372671</v>
      </c>
      <c r="G47" s="480">
        <v>10</v>
      </c>
      <c r="H47" s="365">
        <v>540</v>
      </c>
      <c r="I47" s="481">
        <v>547.33333333333337</v>
      </c>
      <c r="J47" s="482">
        <v>-7.3333333333333712</v>
      </c>
      <c r="K47" s="483">
        <v>0.93913043478260494</v>
      </c>
    </row>
    <row r="48" spans="1:11">
      <c r="A48" s="480">
        <v>11</v>
      </c>
      <c r="B48" s="365">
        <v>535</v>
      </c>
      <c r="C48" s="481">
        <v>544.75</v>
      </c>
      <c r="D48" s="482">
        <v>-9.75</v>
      </c>
      <c r="E48" s="483">
        <v>1.47</v>
      </c>
      <c r="G48" s="480">
        <v>11</v>
      </c>
      <c r="H48" s="365">
        <v>535</v>
      </c>
      <c r="I48" s="481">
        <v>547</v>
      </c>
      <c r="J48" s="482">
        <v>-12</v>
      </c>
      <c r="K48" s="483">
        <v>-1.2032085561497297</v>
      </c>
    </row>
    <row r="49" spans="1:11">
      <c r="A49" s="480">
        <v>12</v>
      </c>
      <c r="B49" s="365">
        <v>529</v>
      </c>
      <c r="C49" s="481">
        <v>542.75</v>
      </c>
      <c r="D49" s="482">
        <v>-13.75</v>
      </c>
      <c r="E49" s="483">
        <v>-0.40784313725490196</v>
      </c>
      <c r="G49" s="480">
        <v>12</v>
      </c>
      <c r="H49" s="365">
        <v>529</v>
      </c>
      <c r="I49" s="481">
        <v>543.16666666666663</v>
      </c>
      <c r="J49" s="482">
        <v>-14.166666666666629</v>
      </c>
      <c r="K49" s="483">
        <v>-2.8676470588235223</v>
      </c>
    </row>
    <row r="50" spans="1:11">
      <c r="A50" s="480">
        <v>13</v>
      </c>
      <c r="B50" s="484"/>
      <c r="C50" s="481">
        <v>537.5</v>
      </c>
      <c r="D50" s="482" t="s">
        <v>124</v>
      </c>
      <c r="E50" s="483" t="s">
        <v>124</v>
      </c>
      <c r="G50" s="480">
        <v>13</v>
      </c>
      <c r="H50" s="484"/>
      <c r="I50" s="481">
        <v>540.5</v>
      </c>
      <c r="J50" s="482" t="s">
        <v>124</v>
      </c>
      <c r="K50" s="483" t="s">
        <v>124</v>
      </c>
    </row>
  </sheetData>
  <mergeCells count="4">
    <mergeCell ref="A30:D30"/>
    <mergeCell ref="G30:J30"/>
    <mergeCell ref="A32:C32"/>
    <mergeCell ref="G32:I3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67"/>
  <sheetViews>
    <sheetView topLeftCell="A20" workbookViewId="0">
      <selection activeCell="C44" sqref="C44"/>
    </sheetView>
  </sheetViews>
  <sheetFormatPr baseColWidth="10" defaultColWidth="8.83203125" defaultRowHeight="15"/>
  <cols>
    <col min="1" max="4" width="25.6640625" customWidth="1"/>
    <col min="5" max="5" width="25.6640625" style="291" customWidth="1"/>
    <col min="6" max="6" width="25.6640625" customWidth="1"/>
    <col min="257" max="262" width="25.6640625" customWidth="1"/>
    <col min="513" max="518" width="25.6640625" customWidth="1"/>
    <col min="769" max="774" width="25.6640625" customWidth="1"/>
    <col min="1025" max="1030" width="25.6640625" customWidth="1"/>
    <col min="1281" max="1286" width="25.6640625" customWidth="1"/>
    <col min="1537" max="1542" width="25.6640625" customWidth="1"/>
    <col min="1793" max="1798" width="25.6640625" customWidth="1"/>
    <col min="2049" max="2054" width="25.6640625" customWidth="1"/>
    <col min="2305" max="2310" width="25.6640625" customWidth="1"/>
    <col min="2561" max="2566" width="25.6640625" customWidth="1"/>
    <col min="2817" max="2822" width="25.6640625" customWidth="1"/>
    <col min="3073" max="3078" width="25.6640625" customWidth="1"/>
    <col min="3329" max="3334" width="25.6640625" customWidth="1"/>
    <col min="3585" max="3590" width="25.6640625" customWidth="1"/>
    <col min="3841" max="3846" width="25.6640625" customWidth="1"/>
    <col min="4097" max="4102" width="25.6640625" customWidth="1"/>
    <col min="4353" max="4358" width="25.6640625" customWidth="1"/>
    <col min="4609" max="4614" width="25.6640625" customWidth="1"/>
    <col min="4865" max="4870" width="25.6640625" customWidth="1"/>
    <col min="5121" max="5126" width="25.6640625" customWidth="1"/>
    <col min="5377" max="5382" width="25.6640625" customWidth="1"/>
    <col min="5633" max="5638" width="25.6640625" customWidth="1"/>
    <col min="5889" max="5894" width="25.6640625" customWidth="1"/>
    <col min="6145" max="6150" width="25.6640625" customWidth="1"/>
    <col min="6401" max="6406" width="25.6640625" customWidth="1"/>
    <col min="6657" max="6662" width="25.6640625" customWidth="1"/>
    <col min="6913" max="6918" width="25.6640625" customWidth="1"/>
    <col min="7169" max="7174" width="25.6640625" customWidth="1"/>
    <col min="7425" max="7430" width="25.6640625" customWidth="1"/>
    <col min="7681" max="7686" width="25.6640625" customWidth="1"/>
    <col min="7937" max="7942" width="25.6640625" customWidth="1"/>
    <col min="8193" max="8198" width="25.6640625" customWidth="1"/>
    <col min="8449" max="8454" width="25.6640625" customWidth="1"/>
    <col min="8705" max="8710" width="25.6640625" customWidth="1"/>
    <col min="8961" max="8966" width="25.6640625" customWidth="1"/>
    <col min="9217" max="9222" width="25.6640625" customWidth="1"/>
    <col min="9473" max="9478" width="25.6640625" customWidth="1"/>
    <col min="9729" max="9734" width="25.6640625" customWidth="1"/>
    <col min="9985" max="9990" width="25.6640625" customWidth="1"/>
    <col min="10241" max="10246" width="25.6640625" customWidth="1"/>
    <col min="10497" max="10502" width="25.6640625" customWidth="1"/>
    <col min="10753" max="10758" width="25.6640625" customWidth="1"/>
    <col min="11009" max="11014" width="25.6640625" customWidth="1"/>
    <col min="11265" max="11270" width="25.6640625" customWidth="1"/>
    <col min="11521" max="11526" width="25.6640625" customWidth="1"/>
    <col min="11777" max="11782" width="25.6640625" customWidth="1"/>
    <col min="12033" max="12038" width="25.6640625" customWidth="1"/>
    <col min="12289" max="12294" width="25.6640625" customWidth="1"/>
    <col min="12545" max="12550" width="25.6640625" customWidth="1"/>
    <col min="12801" max="12806" width="25.6640625" customWidth="1"/>
    <col min="13057" max="13062" width="25.6640625" customWidth="1"/>
    <col min="13313" max="13318" width="25.6640625" customWidth="1"/>
    <col min="13569" max="13574" width="25.6640625" customWidth="1"/>
    <col min="13825" max="13830" width="25.6640625" customWidth="1"/>
    <col min="14081" max="14086" width="25.6640625" customWidth="1"/>
    <col min="14337" max="14342" width="25.6640625" customWidth="1"/>
    <col min="14593" max="14598" width="25.6640625" customWidth="1"/>
    <col min="14849" max="14854" width="25.6640625" customWidth="1"/>
    <col min="15105" max="15110" width="25.6640625" customWidth="1"/>
    <col min="15361" max="15366" width="25.6640625" customWidth="1"/>
    <col min="15617" max="15622" width="25.6640625" customWidth="1"/>
    <col min="15873" max="15878" width="25.6640625" customWidth="1"/>
    <col min="16129" max="16134" width="25.6640625" customWidth="1"/>
  </cols>
  <sheetData>
    <row r="1" spans="1:9">
      <c r="A1" s="1" t="s">
        <v>279</v>
      </c>
    </row>
    <row r="3" spans="1:9">
      <c r="A3" s="325" t="s">
        <v>11</v>
      </c>
      <c r="C3" s="1" t="s">
        <v>275</v>
      </c>
    </row>
    <row r="4" spans="1:9" ht="29">
      <c r="A4" s="571" t="s">
        <v>22</v>
      </c>
      <c r="B4" s="571" t="s">
        <v>1</v>
      </c>
      <c r="C4" s="571" t="s">
        <v>185</v>
      </c>
      <c r="D4" s="571" t="s">
        <v>321</v>
      </c>
      <c r="E4" s="269" t="s">
        <v>322</v>
      </c>
      <c r="F4" s="61"/>
      <c r="G4" s="61"/>
    </row>
    <row r="5" spans="1:9">
      <c r="A5" s="572" t="s">
        <v>276</v>
      </c>
      <c r="B5" s="271">
        <v>2160</v>
      </c>
      <c r="C5" s="271"/>
      <c r="D5" s="271"/>
      <c r="E5" s="271"/>
      <c r="F5" s="61"/>
      <c r="G5" s="61"/>
    </row>
    <row r="6" spans="1:9">
      <c r="A6" s="572" t="s">
        <v>5</v>
      </c>
      <c r="B6" s="271">
        <v>2186</v>
      </c>
      <c r="C6" s="271">
        <v>2160</v>
      </c>
      <c r="D6" s="573">
        <f>SUM(B6-C6)</f>
        <v>26</v>
      </c>
      <c r="E6" s="271">
        <v>26</v>
      </c>
      <c r="F6" s="61"/>
      <c r="G6" s="61"/>
    </row>
    <row r="7" spans="1:9">
      <c r="A7" s="572" t="s">
        <v>6</v>
      </c>
      <c r="B7" s="271">
        <v>2246</v>
      </c>
      <c r="C7" s="271">
        <f>C6+0.3*(B6-C6)</f>
        <v>2167.8000000000002</v>
      </c>
      <c r="D7" s="573">
        <f>SUM(B7-C7)</f>
        <v>78.199999999999818</v>
      </c>
      <c r="E7" s="271">
        <v>78.2</v>
      </c>
      <c r="F7" s="61"/>
      <c r="G7" s="61"/>
    </row>
    <row r="8" spans="1:9">
      <c r="A8" s="572" t="s">
        <v>7</v>
      </c>
      <c r="B8" s="271">
        <v>2251</v>
      </c>
      <c r="C8" s="573">
        <f>C7+0.3*(B7-C7)</f>
        <v>2191.2600000000002</v>
      </c>
      <c r="D8" s="573">
        <f>SUM(B8-C8)</f>
        <v>59.739999999999782</v>
      </c>
      <c r="E8" s="271">
        <v>59.74</v>
      </c>
      <c r="F8" s="61"/>
      <c r="G8" s="61"/>
    </row>
    <row r="9" spans="1:9">
      <c r="A9" s="572" t="s">
        <v>8</v>
      </c>
      <c r="B9" s="271">
        <v>2243</v>
      </c>
      <c r="C9" s="573">
        <f>C8+0.3*(B8-C8)</f>
        <v>2209.1820000000002</v>
      </c>
      <c r="D9" s="573">
        <f>SUM(B9-C9)</f>
        <v>33.817999999999756</v>
      </c>
      <c r="E9" s="271">
        <v>33.82</v>
      </c>
      <c r="F9" s="61"/>
      <c r="G9" s="61"/>
    </row>
    <row r="10" spans="1:9">
      <c r="A10" s="572" t="s">
        <v>9</v>
      </c>
      <c r="B10" s="271">
        <v>2162</v>
      </c>
      <c r="C10" s="573">
        <f>C9+0.3*(B9-C9)</f>
        <v>2219.3274000000001</v>
      </c>
      <c r="D10" s="573">
        <f>SUM(B10-C10)</f>
        <v>-57.327400000000125</v>
      </c>
      <c r="E10" s="271">
        <v>57.33</v>
      </c>
      <c r="F10" s="61"/>
      <c r="G10" s="61"/>
      <c r="I10" s="86"/>
    </row>
    <row r="11" spans="1:9">
      <c r="A11" s="574" t="s">
        <v>10</v>
      </c>
      <c r="B11" s="61"/>
      <c r="C11" s="575">
        <f>C10+0.3*(B10-C10)</f>
        <v>2202.1291799999999</v>
      </c>
      <c r="D11" s="573"/>
      <c r="E11" s="271"/>
      <c r="F11" s="61"/>
      <c r="G11" s="61"/>
      <c r="H11" s="86"/>
      <c r="I11" s="86"/>
    </row>
    <row r="12" spans="1:9">
      <c r="A12" s="574" t="s">
        <v>277</v>
      </c>
      <c r="B12" s="271">
        <f>SUM(B6:B11)</f>
        <v>11088</v>
      </c>
      <c r="C12" s="61"/>
      <c r="D12" s="61"/>
      <c r="E12" s="271">
        <f>SUM(E6:E11)</f>
        <v>255.08999999999997</v>
      </c>
      <c r="F12" s="61"/>
      <c r="G12" s="61"/>
      <c r="I12" s="86"/>
    </row>
    <row r="13" spans="1:9">
      <c r="A13" s="576" t="s">
        <v>107</v>
      </c>
      <c r="B13" s="570">
        <f>SUM(E12)/5</f>
        <v>51.017999999999994</v>
      </c>
      <c r="C13" s="576"/>
      <c r="D13" s="61"/>
      <c r="E13" s="271"/>
    </row>
    <row r="14" spans="1:9">
      <c r="A14" s="532" t="s">
        <v>111</v>
      </c>
      <c r="B14" s="569">
        <f>SUM(E12/B12)</f>
        <v>2.300595238095238E-2</v>
      </c>
      <c r="C14" s="577">
        <v>2.3E-2</v>
      </c>
      <c r="D14" s="61"/>
      <c r="E14" s="271"/>
      <c r="I14" s="86"/>
    </row>
    <row r="15" spans="1:9">
      <c r="A15" s="532"/>
      <c r="B15" s="569"/>
      <c r="C15" s="570"/>
      <c r="D15" s="61"/>
      <c r="E15" s="271"/>
      <c r="I15" s="86"/>
    </row>
    <row r="16" spans="1:9">
      <c r="A16" s="291"/>
      <c r="B16" s="291"/>
      <c r="C16" s="291"/>
      <c r="D16" s="291"/>
    </row>
    <row r="17" spans="1:9">
      <c r="A17" s="578" t="s">
        <v>280</v>
      </c>
      <c r="B17" s="61"/>
      <c r="C17" s="576" t="s">
        <v>278</v>
      </c>
      <c r="D17" s="61"/>
      <c r="E17" s="271"/>
      <c r="I17" s="86"/>
    </row>
    <row r="18" spans="1:9" ht="29">
      <c r="A18" s="571" t="s">
        <v>22</v>
      </c>
      <c r="B18" s="571" t="s">
        <v>1</v>
      </c>
      <c r="C18" s="571" t="s">
        <v>185</v>
      </c>
      <c r="D18" s="571" t="s">
        <v>321</v>
      </c>
      <c r="E18" s="269" t="s">
        <v>322</v>
      </c>
      <c r="I18" s="86"/>
    </row>
    <row r="19" spans="1:9">
      <c r="A19" s="572" t="s">
        <v>276</v>
      </c>
      <c r="B19" s="271">
        <v>2160</v>
      </c>
      <c r="C19" s="271"/>
      <c r="D19" s="271"/>
      <c r="E19" s="271"/>
      <c r="I19" s="86"/>
    </row>
    <row r="20" spans="1:9">
      <c r="A20" s="572" t="s">
        <v>5</v>
      </c>
      <c r="B20" s="271">
        <v>2186</v>
      </c>
      <c r="C20" s="271">
        <v>2160</v>
      </c>
      <c r="D20" s="573">
        <f>SUM(B20-C20)</f>
        <v>26</v>
      </c>
      <c r="E20" s="271">
        <v>26</v>
      </c>
      <c r="I20" s="86"/>
    </row>
    <row r="21" spans="1:9">
      <c r="A21" s="572" t="s">
        <v>6</v>
      </c>
      <c r="B21" s="271">
        <v>2246</v>
      </c>
      <c r="C21" s="271">
        <f>C20+0.5*(B20-C20)</f>
        <v>2173</v>
      </c>
      <c r="D21" s="573">
        <f>SUM(B21-C21)</f>
        <v>73</v>
      </c>
      <c r="E21" s="271">
        <v>73</v>
      </c>
      <c r="I21" s="86"/>
    </row>
    <row r="22" spans="1:9">
      <c r="A22" s="572" t="s">
        <v>7</v>
      </c>
      <c r="B22" s="271">
        <v>2251</v>
      </c>
      <c r="C22" s="573">
        <f>C21+0.5*(B21-C21)</f>
        <v>2209.5</v>
      </c>
      <c r="D22" s="573">
        <f>SUM(B22-C22)</f>
        <v>41.5</v>
      </c>
      <c r="E22" s="271">
        <v>41.5</v>
      </c>
      <c r="H22" s="86"/>
      <c r="I22" s="86"/>
    </row>
    <row r="23" spans="1:9">
      <c r="A23" s="572" t="s">
        <v>8</v>
      </c>
      <c r="B23" s="271">
        <v>2243</v>
      </c>
      <c r="C23" s="573">
        <f>C22+0.5*(B22-C22)</f>
        <v>2230.25</v>
      </c>
      <c r="D23" s="573">
        <f>SUM(B23-C23)</f>
        <v>12.75</v>
      </c>
      <c r="E23" s="271">
        <v>12.75</v>
      </c>
    </row>
    <row r="24" spans="1:9">
      <c r="A24" s="572" t="s">
        <v>9</v>
      </c>
      <c r="B24" s="271">
        <v>2162</v>
      </c>
      <c r="C24" s="573">
        <f>C23+0.5*(B23-C23)</f>
        <v>2236.625</v>
      </c>
      <c r="D24" s="573">
        <f>SUM(B24-C24)</f>
        <v>-74.625</v>
      </c>
      <c r="E24" s="271">
        <v>74.63</v>
      </c>
    </row>
    <row r="25" spans="1:9">
      <c r="A25" s="574" t="s">
        <v>10</v>
      </c>
      <c r="B25" s="61"/>
      <c r="C25" s="575">
        <f>C24+0.5*(B24-C24)</f>
        <v>2199.3125</v>
      </c>
      <c r="D25" s="573"/>
      <c r="E25" s="271"/>
    </row>
    <row r="26" spans="1:9">
      <c r="A26" s="574" t="s">
        <v>277</v>
      </c>
      <c r="B26" s="271">
        <f>SUM(B20:B25)</f>
        <v>11088</v>
      </c>
      <c r="C26" s="61"/>
      <c r="D26" s="271"/>
      <c r="E26" s="271">
        <f>SUM(E20:E25)</f>
        <v>227.88</v>
      </c>
    </row>
    <row r="27" spans="1:9">
      <c r="A27" s="576" t="s">
        <v>107</v>
      </c>
      <c r="B27" s="570">
        <f>SUM(E26)/5</f>
        <v>45.576000000000001</v>
      </c>
      <c r="C27" s="576"/>
      <c r="D27" s="61"/>
      <c r="E27" s="271"/>
    </row>
    <row r="28" spans="1:9">
      <c r="A28" s="532" t="s">
        <v>111</v>
      </c>
      <c r="B28" s="569">
        <f>SUM(E26/B26)</f>
        <v>2.055194805194805E-2</v>
      </c>
      <c r="C28" s="577">
        <v>2.1000000000000001E-2</v>
      </c>
      <c r="D28" s="61"/>
      <c r="E28" s="271"/>
    </row>
    <row r="30" spans="1:9">
      <c r="B30" s="86"/>
    </row>
    <row r="31" spans="1:9">
      <c r="A31" s="713" t="s">
        <v>323</v>
      </c>
      <c r="B31" s="713"/>
      <c r="C31" s="713"/>
      <c r="D31" s="713"/>
    </row>
    <row r="32" spans="1:9">
      <c r="A32" s="713"/>
      <c r="B32" s="713"/>
      <c r="C32" s="713"/>
      <c r="D32" s="713"/>
    </row>
    <row r="33" spans="1:5">
      <c r="A33" s="713"/>
      <c r="B33" s="713"/>
      <c r="C33" s="713"/>
      <c r="D33" s="713"/>
    </row>
    <row r="34" spans="1:5">
      <c r="A34" s="713"/>
      <c r="B34" s="713"/>
      <c r="C34" s="713"/>
      <c r="D34" s="713"/>
    </row>
    <row r="36" spans="1:5">
      <c r="A36" s="82" t="s">
        <v>213</v>
      </c>
    </row>
    <row r="37" spans="1:5">
      <c r="A37" s="714" t="s">
        <v>137</v>
      </c>
      <c r="B37" s="714"/>
      <c r="C37" s="714"/>
      <c r="D37" s="714"/>
      <c r="E37" s="485"/>
    </row>
    <row r="38" spans="1:5" ht="16" thickBot="1">
      <c r="A38" s="485"/>
      <c r="B38" s="485"/>
      <c r="C38" s="485"/>
      <c r="D38" s="485"/>
      <c r="E38" s="485"/>
    </row>
    <row r="39" spans="1:5" ht="16" thickBot="1">
      <c r="A39" s="715" t="s">
        <v>138</v>
      </c>
      <c r="B39" s="715"/>
      <c r="C39" s="715"/>
      <c r="D39" s="486">
        <v>0.3</v>
      </c>
      <c r="E39" s="485"/>
    </row>
    <row r="40" spans="1:5" ht="16" thickBot="1">
      <c r="A40" s="485"/>
      <c r="B40" s="485"/>
      <c r="C40" s="485"/>
      <c r="D40" s="485"/>
      <c r="E40" s="485"/>
    </row>
    <row r="41" spans="1:5">
      <c r="A41" s="487" t="s">
        <v>121</v>
      </c>
      <c r="B41" s="488">
        <v>51.017079999999893</v>
      </c>
      <c r="C41" s="489"/>
      <c r="D41" s="490"/>
      <c r="E41" s="485"/>
    </row>
    <row r="42" spans="1:5" ht="16" thickBot="1">
      <c r="A42" s="487" t="s">
        <v>122</v>
      </c>
      <c r="B42" s="491">
        <v>2.300553751803747E-2</v>
      </c>
      <c r="C42" s="489"/>
      <c r="D42" s="490"/>
      <c r="E42" s="485"/>
    </row>
    <row r="43" spans="1:5" ht="16" thickBot="1">
      <c r="A43" s="485"/>
      <c r="B43" s="485"/>
      <c r="C43" s="485"/>
      <c r="D43" s="485"/>
      <c r="E43" s="485"/>
    </row>
    <row r="44" spans="1:5" ht="16" thickBot="1">
      <c r="A44" s="492" t="s">
        <v>39</v>
      </c>
      <c r="B44" s="492" t="s">
        <v>38</v>
      </c>
      <c r="C44" s="492" t="s">
        <v>185</v>
      </c>
      <c r="D44" s="492" t="s">
        <v>37</v>
      </c>
      <c r="E44" s="493" t="s">
        <v>123</v>
      </c>
    </row>
    <row r="45" spans="1:5">
      <c r="A45" s="494">
        <v>1</v>
      </c>
      <c r="B45" s="495">
        <v>2160</v>
      </c>
      <c r="C45" s="496" t="s">
        <v>124</v>
      </c>
      <c r="D45" s="497" t="s">
        <v>124</v>
      </c>
      <c r="E45" s="498" t="s">
        <v>124</v>
      </c>
    </row>
    <row r="46" spans="1:5">
      <c r="A46" s="499">
        <v>2</v>
      </c>
      <c r="B46" s="495">
        <v>2186</v>
      </c>
      <c r="C46" s="500">
        <v>2160</v>
      </c>
      <c r="D46" s="501">
        <v>26</v>
      </c>
      <c r="E46" s="502">
        <v>1</v>
      </c>
    </row>
    <row r="47" spans="1:5">
      <c r="A47" s="499">
        <v>3</v>
      </c>
      <c r="B47" s="495">
        <v>2246</v>
      </c>
      <c r="C47" s="500">
        <v>2167.8000000000002</v>
      </c>
      <c r="D47" s="501">
        <v>78.199999999999818</v>
      </c>
      <c r="E47" s="502">
        <v>2</v>
      </c>
    </row>
    <row r="48" spans="1:5">
      <c r="A48" s="499">
        <v>4</v>
      </c>
      <c r="B48" s="495">
        <v>2251</v>
      </c>
      <c r="C48" s="500">
        <v>2191.2600000000002</v>
      </c>
      <c r="D48" s="501">
        <v>59.739999999999782</v>
      </c>
      <c r="E48" s="502">
        <v>3</v>
      </c>
    </row>
    <row r="49" spans="1:5">
      <c r="A49" s="499">
        <v>5</v>
      </c>
      <c r="B49" s="495">
        <v>2243</v>
      </c>
      <c r="C49" s="500">
        <v>2209.1820000000002</v>
      </c>
      <c r="D49" s="501">
        <v>33.817999999999756</v>
      </c>
      <c r="E49" s="502">
        <v>4</v>
      </c>
    </row>
    <row r="50" spans="1:5">
      <c r="A50" s="499">
        <v>6</v>
      </c>
      <c r="B50" s="495">
        <v>2162</v>
      </c>
      <c r="C50" s="500">
        <v>2219.3274000000001</v>
      </c>
      <c r="D50" s="501">
        <v>-57.327400000000125</v>
      </c>
      <c r="E50" s="502">
        <v>2.7526193188633989</v>
      </c>
    </row>
    <row r="51" spans="1:5">
      <c r="A51" s="499">
        <v>7</v>
      </c>
      <c r="B51" s="503"/>
      <c r="C51" s="500">
        <v>2202.1291799999999</v>
      </c>
      <c r="D51" s="501" t="s">
        <v>124</v>
      </c>
      <c r="E51" s="502" t="s">
        <v>124</v>
      </c>
    </row>
    <row r="53" spans="1:5">
      <c r="A53" s="714" t="s">
        <v>137</v>
      </c>
      <c r="B53" s="714"/>
      <c r="C53" s="714"/>
      <c r="D53" s="714"/>
      <c r="E53" s="485"/>
    </row>
    <row r="54" spans="1:5" ht="16" thickBot="1">
      <c r="A54" s="485"/>
      <c r="B54" s="485"/>
      <c r="C54" s="485"/>
      <c r="D54" s="485"/>
      <c r="E54" s="485"/>
    </row>
    <row r="55" spans="1:5" ht="16" thickBot="1">
      <c r="A55" s="715" t="s">
        <v>138</v>
      </c>
      <c r="B55" s="715"/>
      <c r="C55" s="715"/>
      <c r="D55" s="486">
        <v>0.5</v>
      </c>
      <c r="E55" s="485"/>
    </row>
    <row r="56" spans="1:5" ht="16" thickBot="1">
      <c r="A56" s="485"/>
      <c r="B56" s="485"/>
      <c r="C56" s="485"/>
      <c r="D56" s="485"/>
      <c r="E56" s="485"/>
    </row>
    <row r="57" spans="1:5">
      <c r="A57" s="487" t="s">
        <v>121</v>
      </c>
      <c r="B57" s="488">
        <v>45.575000000000003</v>
      </c>
      <c r="C57" s="489"/>
      <c r="D57" s="490"/>
      <c r="E57" s="485"/>
    </row>
    <row r="58" spans="1:5" ht="16" thickBot="1">
      <c r="A58" s="487" t="s">
        <v>122</v>
      </c>
      <c r="B58" s="491">
        <v>2.0551497113997112E-2</v>
      </c>
      <c r="C58" s="489"/>
      <c r="D58" s="490"/>
      <c r="E58" s="485"/>
    </row>
    <row r="59" spans="1:5" ht="16" thickBot="1">
      <c r="A59" s="485"/>
      <c r="B59" s="485"/>
      <c r="C59" s="485"/>
      <c r="D59" s="485"/>
      <c r="E59" s="485"/>
    </row>
    <row r="60" spans="1:5" ht="16" thickBot="1">
      <c r="A60" s="492" t="s">
        <v>39</v>
      </c>
      <c r="B60" s="492" t="s">
        <v>38</v>
      </c>
      <c r="C60" s="492" t="s">
        <v>185</v>
      </c>
      <c r="D60" s="492" t="s">
        <v>37</v>
      </c>
      <c r="E60" s="493" t="s">
        <v>123</v>
      </c>
    </row>
    <row r="61" spans="1:5">
      <c r="A61" s="494">
        <v>1</v>
      </c>
      <c r="B61" s="495">
        <v>2160</v>
      </c>
      <c r="C61" s="496" t="s">
        <v>124</v>
      </c>
      <c r="D61" s="497" t="s">
        <v>124</v>
      </c>
      <c r="E61" s="498" t="s">
        <v>124</v>
      </c>
    </row>
    <row r="62" spans="1:5">
      <c r="A62" s="499">
        <v>2</v>
      </c>
      <c r="B62" s="495">
        <v>2186</v>
      </c>
      <c r="C62" s="500">
        <v>2160</v>
      </c>
      <c r="D62" s="501">
        <v>26</v>
      </c>
      <c r="E62" s="502">
        <v>1</v>
      </c>
    </row>
    <row r="63" spans="1:5">
      <c r="A63" s="499">
        <v>3</v>
      </c>
      <c r="B63" s="495">
        <v>2246</v>
      </c>
      <c r="C63" s="500">
        <v>2173</v>
      </c>
      <c r="D63" s="501">
        <v>73</v>
      </c>
      <c r="E63" s="502">
        <v>2</v>
      </c>
    </row>
    <row r="64" spans="1:5">
      <c r="A64" s="499">
        <v>4</v>
      </c>
      <c r="B64" s="495">
        <v>2251</v>
      </c>
      <c r="C64" s="500">
        <v>2209.5</v>
      </c>
      <c r="D64" s="501">
        <v>41.5</v>
      </c>
      <c r="E64" s="502">
        <v>3</v>
      </c>
    </row>
    <row r="65" spans="1:5">
      <c r="A65" s="499">
        <v>5</v>
      </c>
      <c r="B65" s="495">
        <v>2243</v>
      </c>
      <c r="C65" s="500">
        <v>2230.25</v>
      </c>
      <c r="D65" s="501">
        <v>12.75</v>
      </c>
      <c r="E65" s="502">
        <v>4</v>
      </c>
    </row>
    <row r="66" spans="1:5">
      <c r="A66" s="499">
        <v>6</v>
      </c>
      <c r="B66" s="495">
        <v>2162</v>
      </c>
      <c r="C66" s="500">
        <v>2236.625</v>
      </c>
      <c r="D66" s="501">
        <v>-74.625</v>
      </c>
      <c r="E66" s="502">
        <v>1.7251782775644542</v>
      </c>
    </row>
    <row r="67" spans="1:5">
      <c r="A67" s="499">
        <v>7</v>
      </c>
      <c r="B67" s="503"/>
      <c r="C67" s="500">
        <v>2199.3125</v>
      </c>
      <c r="D67" s="501" t="s">
        <v>124</v>
      </c>
      <c r="E67" s="502" t="s">
        <v>124</v>
      </c>
    </row>
  </sheetData>
  <mergeCells count="5">
    <mergeCell ref="A31:D34"/>
    <mergeCell ref="A37:D37"/>
    <mergeCell ref="A39:C39"/>
    <mergeCell ref="A53:D53"/>
    <mergeCell ref="A55:C5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65"/>
  <sheetViews>
    <sheetView topLeftCell="A19" workbookViewId="0">
      <selection activeCell="A33" sqref="A33"/>
    </sheetView>
  </sheetViews>
  <sheetFormatPr baseColWidth="10" defaultColWidth="8.83203125" defaultRowHeight="15"/>
  <cols>
    <col min="1" max="1" width="16.33203125" customWidth="1"/>
    <col min="2" max="2" width="13.5" customWidth="1"/>
    <col min="3" max="3" width="12.83203125" customWidth="1"/>
    <col min="4" max="4" width="13.6640625" customWidth="1"/>
    <col min="5" max="5" width="13.5" customWidth="1"/>
    <col min="6" max="6" width="8.83203125" customWidth="1"/>
    <col min="7" max="7" width="13.5" customWidth="1"/>
    <col min="8" max="8" width="14.6640625" customWidth="1"/>
    <col min="9" max="9" width="15.5" customWidth="1"/>
    <col min="10" max="10" width="11.6640625" customWidth="1"/>
    <col min="12" max="12" width="13.33203125" customWidth="1"/>
    <col min="257" max="257" width="16.33203125" customWidth="1"/>
    <col min="258" max="258" width="13.5" customWidth="1"/>
    <col min="259" max="259" width="12.83203125" customWidth="1"/>
    <col min="260" max="260" width="13.6640625" customWidth="1"/>
    <col min="261" max="261" width="13.5" customWidth="1"/>
    <col min="262" max="262" width="8.83203125" customWidth="1"/>
    <col min="263" max="263" width="13.5" customWidth="1"/>
    <col min="264" max="264" width="14.6640625" customWidth="1"/>
    <col min="265" max="265" width="15.5" customWidth="1"/>
    <col min="266" max="266" width="11.6640625" customWidth="1"/>
    <col min="268" max="268" width="13.33203125" customWidth="1"/>
    <col min="513" max="513" width="16.33203125" customWidth="1"/>
    <col min="514" max="514" width="13.5" customWidth="1"/>
    <col min="515" max="515" width="12.83203125" customWidth="1"/>
    <col min="516" max="516" width="13.6640625" customWidth="1"/>
    <col min="517" max="517" width="13.5" customWidth="1"/>
    <col min="518" max="518" width="8.83203125" customWidth="1"/>
    <col min="519" max="519" width="13.5" customWidth="1"/>
    <col min="520" max="520" width="14.6640625" customWidth="1"/>
    <col min="521" max="521" width="15.5" customWidth="1"/>
    <col min="522" max="522" width="11.6640625" customWidth="1"/>
    <col min="524" max="524" width="13.33203125" customWidth="1"/>
    <col min="769" max="769" width="16.33203125" customWidth="1"/>
    <col min="770" max="770" width="13.5" customWidth="1"/>
    <col min="771" max="771" width="12.83203125" customWidth="1"/>
    <col min="772" max="772" width="13.6640625" customWidth="1"/>
    <col min="773" max="773" width="13.5" customWidth="1"/>
    <col min="774" max="774" width="8.83203125" customWidth="1"/>
    <col min="775" max="775" width="13.5" customWidth="1"/>
    <col min="776" max="776" width="14.6640625" customWidth="1"/>
    <col min="777" max="777" width="15.5" customWidth="1"/>
    <col min="778" max="778" width="11.6640625" customWidth="1"/>
    <col min="780" max="780" width="13.33203125" customWidth="1"/>
    <col min="1025" max="1025" width="16.33203125" customWidth="1"/>
    <col min="1026" max="1026" width="13.5" customWidth="1"/>
    <col min="1027" max="1027" width="12.83203125" customWidth="1"/>
    <col min="1028" max="1028" width="13.6640625" customWidth="1"/>
    <col min="1029" max="1029" width="13.5" customWidth="1"/>
    <col min="1030" max="1030" width="8.83203125" customWidth="1"/>
    <col min="1031" max="1031" width="13.5" customWidth="1"/>
    <col min="1032" max="1032" width="14.6640625" customWidth="1"/>
    <col min="1033" max="1033" width="15.5" customWidth="1"/>
    <col min="1034" max="1034" width="11.6640625" customWidth="1"/>
    <col min="1036" max="1036" width="13.33203125" customWidth="1"/>
    <col min="1281" max="1281" width="16.33203125" customWidth="1"/>
    <col min="1282" max="1282" width="13.5" customWidth="1"/>
    <col min="1283" max="1283" width="12.83203125" customWidth="1"/>
    <col min="1284" max="1284" width="13.6640625" customWidth="1"/>
    <col min="1285" max="1285" width="13.5" customWidth="1"/>
    <col min="1286" max="1286" width="8.83203125" customWidth="1"/>
    <col min="1287" max="1287" width="13.5" customWidth="1"/>
    <col min="1288" max="1288" width="14.6640625" customWidth="1"/>
    <col min="1289" max="1289" width="15.5" customWidth="1"/>
    <col min="1290" max="1290" width="11.6640625" customWidth="1"/>
    <col min="1292" max="1292" width="13.33203125" customWidth="1"/>
    <col min="1537" max="1537" width="16.33203125" customWidth="1"/>
    <col min="1538" max="1538" width="13.5" customWidth="1"/>
    <col min="1539" max="1539" width="12.83203125" customWidth="1"/>
    <col min="1540" max="1540" width="13.6640625" customWidth="1"/>
    <col min="1541" max="1541" width="13.5" customWidth="1"/>
    <col min="1542" max="1542" width="8.83203125" customWidth="1"/>
    <col min="1543" max="1543" width="13.5" customWidth="1"/>
    <col min="1544" max="1544" width="14.6640625" customWidth="1"/>
    <col min="1545" max="1545" width="15.5" customWidth="1"/>
    <col min="1546" max="1546" width="11.6640625" customWidth="1"/>
    <col min="1548" max="1548" width="13.33203125" customWidth="1"/>
    <col min="1793" max="1793" width="16.33203125" customWidth="1"/>
    <col min="1794" max="1794" width="13.5" customWidth="1"/>
    <col min="1795" max="1795" width="12.83203125" customWidth="1"/>
    <col min="1796" max="1796" width="13.6640625" customWidth="1"/>
    <col min="1797" max="1797" width="13.5" customWidth="1"/>
    <col min="1798" max="1798" width="8.83203125" customWidth="1"/>
    <col min="1799" max="1799" width="13.5" customWidth="1"/>
    <col min="1800" max="1800" width="14.6640625" customWidth="1"/>
    <col min="1801" max="1801" width="15.5" customWidth="1"/>
    <col min="1802" max="1802" width="11.6640625" customWidth="1"/>
    <col min="1804" max="1804" width="13.33203125" customWidth="1"/>
    <col min="2049" max="2049" width="16.33203125" customWidth="1"/>
    <col min="2050" max="2050" width="13.5" customWidth="1"/>
    <col min="2051" max="2051" width="12.83203125" customWidth="1"/>
    <col min="2052" max="2052" width="13.6640625" customWidth="1"/>
    <col min="2053" max="2053" width="13.5" customWidth="1"/>
    <col min="2054" max="2054" width="8.83203125" customWidth="1"/>
    <col min="2055" max="2055" width="13.5" customWidth="1"/>
    <col min="2056" max="2056" width="14.6640625" customWidth="1"/>
    <col min="2057" max="2057" width="15.5" customWidth="1"/>
    <col min="2058" max="2058" width="11.6640625" customWidth="1"/>
    <col min="2060" max="2060" width="13.33203125" customWidth="1"/>
    <col min="2305" max="2305" width="16.33203125" customWidth="1"/>
    <col min="2306" max="2306" width="13.5" customWidth="1"/>
    <col min="2307" max="2307" width="12.83203125" customWidth="1"/>
    <col min="2308" max="2308" width="13.6640625" customWidth="1"/>
    <col min="2309" max="2309" width="13.5" customWidth="1"/>
    <col min="2310" max="2310" width="8.83203125" customWidth="1"/>
    <col min="2311" max="2311" width="13.5" customWidth="1"/>
    <col min="2312" max="2312" width="14.6640625" customWidth="1"/>
    <col min="2313" max="2313" width="15.5" customWidth="1"/>
    <col min="2314" max="2314" width="11.6640625" customWidth="1"/>
    <col min="2316" max="2316" width="13.33203125" customWidth="1"/>
    <col min="2561" max="2561" width="16.33203125" customWidth="1"/>
    <col min="2562" max="2562" width="13.5" customWidth="1"/>
    <col min="2563" max="2563" width="12.83203125" customWidth="1"/>
    <col min="2564" max="2564" width="13.6640625" customWidth="1"/>
    <col min="2565" max="2565" width="13.5" customWidth="1"/>
    <col min="2566" max="2566" width="8.83203125" customWidth="1"/>
    <col min="2567" max="2567" width="13.5" customWidth="1"/>
    <col min="2568" max="2568" width="14.6640625" customWidth="1"/>
    <col min="2569" max="2569" width="15.5" customWidth="1"/>
    <col min="2570" max="2570" width="11.6640625" customWidth="1"/>
    <col min="2572" max="2572" width="13.33203125" customWidth="1"/>
    <col min="2817" max="2817" width="16.33203125" customWidth="1"/>
    <col min="2818" max="2818" width="13.5" customWidth="1"/>
    <col min="2819" max="2819" width="12.83203125" customWidth="1"/>
    <col min="2820" max="2820" width="13.6640625" customWidth="1"/>
    <col min="2821" max="2821" width="13.5" customWidth="1"/>
    <col min="2822" max="2822" width="8.83203125" customWidth="1"/>
    <col min="2823" max="2823" width="13.5" customWidth="1"/>
    <col min="2824" max="2824" width="14.6640625" customWidth="1"/>
    <col min="2825" max="2825" width="15.5" customWidth="1"/>
    <col min="2826" max="2826" width="11.6640625" customWidth="1"/>
    <col min="2828" max="2828" width="13.33203125" customWidth="1"/>
    <col min="3073" max="3073" width="16.33203125" customWidth="1"/>
    <col min="3074" max="3074" width="13.5" customWidth="1"/>
    <col min="3075" max="3075" width="12.83203125" customWidth="1"/>
    <col min="3076" max="3076" width="13.6640625" customWidth="1"/>
    <col min="3077" max="3077" width="13.5" customWidth="1"/>
    <col min="3078" max="3078" width="8.83203125" customWidth="1"/>
    <col min="3079" max="3079" width="13.5" customWidth="1"/>
    <col min="3080" max="3080" width="14.6640625" customWidth="1"/>
    <col min="3081" max="3081" width="15.5" customWidth="1"/>
    <col min="3082" max="3082" width="11.6640625" customWidth="1"/>
    <col min="3084" max="3084" width="13.33203125" customWidth="1"/>
    <col min="3329" max="3329" width="16.33203125" customWidth="1"/>
    <col min="3330" max="3330" width="13.5" customWidth="1"/>
    <col min="3331" max="3331" width="12.83203125" customWidth="1"/>
    <col min="3332" max="3332" width="13.6640625" customWidth="1"/>
    <col min="3333" max="3333" width="13.5" customWidth="1"/>
    <col min="3334" max="3334" width="8.83203125" customWidth="1"/>
    <col min="3335" max="3335" width="13.5" customWidth="1"/>
    <col min="3336" max="3336" width="14.6640625" customWidth="1"/>
    <col min="3337" max="3337" width="15.5" customWidth="1"/>
    <col min="3338" max="3338" width="11.6640625" customWidth="1"/>
    <col min="3340" max="3340" width="13.33203125" customWidth="1"/>
    <col min="3585" max="3585" width="16.33203125" customWidth="1"/>
    <col min="3586" max="3586" width="13.5" customWidth="1"/>
    <col min="3587" max="3587" width="12.83203125" customWidth="1"/>
    <col min="3588" max="3588" width="13.6640625" customWidth="1"/>
    <col min="3589" max="3589" width="13.5" customWidth="1"/>
    <col min="3590" max="3590" width="8.83203125" customWidth="1"/>
    <col min="3591" max="3591" width="13.5" customWidth="1"/>
    <col min="3592" max="3592" width="14.6640625" customWidth="1"/>
    <col min="3593" max="3593" width="15.5" customWidth="1"/>
    <col min="3594" max="3594" width="11.6640625" customWidth="1"/>
    <col min="3596" max="3596" width="13.33203125" customWidth="1"/>
    <col min="3841" max="3841" width="16.33203125" customWidth="1"/>
    <col min="3842" max="3842" width="13.5" customWidth="1"/>
    <col min="3843" max="3843" width="12.83203125" customWidth="1"/>
    <col min="3844" max="3844" width="13.6640625" customWidth="1"/>
    <col min="3845" max="3845" width="13.5" customWidth="1"/>
    <col min="3846" max="3846" width="8.83203125" customWidth="1"/>
    <col min="3847" max="3847" width="13.5" customWidth="1"/>
    <col min="3848" max="3848" width="14.6640625" customWidth="1"/>
    <col min="3849" max="3849" width="15.5" customWidth="1"/>
    <col min="3850" max="3850" width="11.6640625" customWidth="1"/>
    <col min="3852" max="3852" width="13.33203125" customWidth="1"/>
    <col min="4097" max="4097" width="16.33203125" customWidth="1"/>
    <col min="4098" max="4098" width="13.5" customWidth="1"/>
    <col min="4099" max="4099" width="12.83203125" customWidth="1"/>
    <col min="4100" max="4100" width="13.6640625" customWidth="1"/>
    <col min="4101" max="4101" width="13.5" customWidth="1"/>
    <col min="4102" max="4102" width="8.83203125" customWidth="1"/>
    <col min="4103" max="4103" width="13.5" customWidth="1"/>
    <col min="4104" max="4104" width="14.6640625" customWidth="1"/>
    <col min="4105" max="4105" width="15.5" customWidth="1"/>
    <col min="4106" max="4106" width="11.6640625" customWidth="1"/>
    <col min="4108" max="4108" width="13.33203125" customWidth="1"/>
    <col min="4353" max="4353" width="16.33203125" customWidth="1"/>
    <col min="4354" max="4354" width="13.5" customWidth="1"/>
    <col min="4355" max="4355" width="12.83203125" customWidth="1"/>
    <col min="4356" max="4356" width="13.6640625" customWidth="1"/>
    <col min="4357" max="4357" width="13.5" customWidth="1"/>
    <col min="4358" max="4358" width="8.83203125" customWidth="1"/>
    <col min="4359" max="4359" width="13.5" customWidth="1"/>
    <col min="4360" max="4360" width="14.6640625" customWidth="1"/>
    <col min="4361" max="4361" width="15.5" customWidth="1"/>
    <col min="4362" max="4362" width="11.6640625" customWidth="1"/>
    <col min="4364" max="4364" width="13.33203125" customWidth="1"/>
    <col min="4609" max="4609" width="16.33203125" customWidth="1"/>
    <col min="4610" max="4610" width="13.5" customWidth="1"/>
    <col min="4611" max="4611" width="12.83203125" customWidth="1"/>
    <col min="4612" max="4612" width="13.6640625" customWidth="1"/>
    <col min="4613" max="4613" width="13.5" customWidth="1"/>
    <col min="4614" max="4614" width="8.83203125" customWidth="1"/>
    <col min="4615" max="4615" width="13.5" customWidth="1"/>
    <col min="4616" max="4616" width="14.6640625" customWidth="1"/>
    <col min="4617" max="4617" width="15.5" customWidth="1"/>
    <col min="4618" max="4618" width="11.6640625" customWidth="1"/>
    <col min="4620" max="4620" width="13.33203125" customWidth="1"/>
    <col min="4865" max="4865" width="16.33203125" customWidth="1"/>
    <col min="4866" max="4866" width="13.5" customWidth="1"/>
    <col min="4867" max="4867" width="12.83203125" customWidth="1"/>
    <col min="4868" max="4868" width="13.6640625" customWidth="1"/>
    <col min="4869" max="4869" width="13.5" customWidth="1"/>
    <col min="4870" max="4870" width="8.83203125" customWidth="1"/>
    <col min="4871" max="4871" width="13.5" customWidth="1"/>
    <col min="4872" max="4872" width="14.6640625" customWidth="1"/>
    <col min="4873" max="4873" width="15.5" customWidth="1"/>
    <col min="4874" max="4874" width="11.6640625" customWidth="1"/>
    <col min="4876" max="4876" width="13.33203125" customWidth="1"/>
    <col min="5121" max="5121" width="16.33203125" customWidth="1"/>
    <col min="5122" max="5122" width="13.5" customWidth="1"/>
    <col min="5123" max="5123" width="12.83203125" customWidth="1"/>
    <col min="5124" max="5124" width="13.6640625" customWidth="1"/>
    <col min="5125" max="5125" width="13.5" customWidth="1"/>
    <col min="5126" max="5126" width="8.83203125" customWidth="1"/>
    <col min="5127" max="5127" width="13.5" customWidth="1"/>
    <col min="5128" max="5128" width="14.6640625" customWidth="1"/>
    <col min="5129" max="5129" width="15.5" customWidth="1"/>
    <col min="5130" max="5130" width="11.6640625" customWidth="1"/>
    <col min="5132" max="5132" width="13.33203125" customWidth="1"/>
    <col min="5377" max="5377" width="16.33203125" customWidth="1"/>
    <col min="5378" max="5378" width="13.5" customWidth="1"/>
    <col min="5379" max="5379" width="12.83203125" customWidth="1"/>
    <col min="5380" max="5380" width="13.6640625" customWidth="1"/>
    <col min="5381" max="5381" width="13.5" customWidth="1"/>
    <col min="5382" max="5382" width="8.83203125" customWidth="1"/>
    <col min="5383" max="5383" width="13.5" customWidth="1"/>
    <col min="5384" max="5384" width="14.6640625" customWidth="1"/>
    <col min="5385" max="5385" width="15.5" customWidth="1"/>
    <col min="5386" max="5386" width="11.6640625" customWidth="1"/>
    <col min="5388" max="5388" width="13.33203125" customWidth="1"/>
    <col min="5633" max="5633" width="16.33203125" customWidth="1"/>
    <col min="5634" max="5634" width="13.5" customWidth="1"/>
    <col min="5635" max="5635" width="12.83203125" customWidth="1"/>
    <col min="5636" max="5636" width="13.6640625" customWidth="1"/>
    <col min="5637" max="5637" width="13.5" customWidth="1"/>
    <col min="5638" max="5638" width="8.83203125" customWidth="1"/>
    <col min="5639" max="5639" width="13.5" customWidth="1"/>
    <col min="5640" max="5640" width="14.6640625" customWidth="1"/>
    <col min="5641" max="5641" width="15.5" customWidth="1"/>
    <col min="5642" max="5642" width="11.6640625" customWidth="1"/>
    <col min="5644" max="5644" width="13.33203125" customWidth="1"/>
    <col min="5889" max="5889" width="16.33203125" customWidth="1"/>
    <col min="5890" max="5890" width="13.5" customWidth="1"/>
    <col min="5891" max="5891" width="12.83203125" customWidth="1"/>
    <col min="5892" max="5892" width="13.6640625" customWidth="1"/>
    <col min="5893" max="5893" width="13.5" customWidth="1"/>
    <col min="5894" max="5894" width="8.83203125" customWidth="1"/>
    <col min="5895" max="5895" width="13.5" customWidth="1"/>
    <col min="5896" max="5896" width="14.6640625" customWidth="1"/>
    <col min="5897" max="5897" width="15.5" customWidth="1"/>
    <col min="5898" max="5898" width="11.6640625" customWidth="1"/>
    <col min="5900" max="5900" width="13.33203125" customWidth="1"/>
    <col min="6145" max="6145" width="16.33203125" customWidth="1"/>
    <col min="6146" max="6146" width="13.5" customWidth="1"/>
    <col min="6147" max="6147" width="12.83203125" customWidth="1"/>
    <col min="6148" max="6148" width="13.6640625" customWidth="1"/>
    <col min="6149" max="6149" width="13.5" customWidth="1"/>
    <col min="6150" max="6150" width="8.83203125" customWidth="1"/>
    <col min="6151" max="6151" width="13.5" customWidth="1"/>
    <col min="6152" max="6152" width="14.6640625" customWidth="1"/>
    <col min="6153" max="6153" width="15.5" customWidth="1"/>
    <col min="6154" max="6154" width="11.6640625" customWidth="1"/>
    <col min="6156" max="6156" width="13.33203125" customWidth="1"/>
    <col min="6401" max="6401" width="16.33203125" customWidth="1"/>
    <col min="6402" max="6402" width="13.5" customWidth="1"/>
    <col min="6403" max="6403" width="12.83203125" customWidth="1"/>
    <col min="6404" max="6404" width="13.6640625" customWidth="1"/>
    <col min="6405" max="6405" width="13.5" customWidth="1"/>
    <col min="6406" max="6406" width="8.83203125" customWidth="1"/>
    <col min="6407" max="6407" width="13.5" customWidth="1"/>
    <col min="6408" max="6408" width="14.6640625" customWidth="1"/>
    <col min="6409" max="6409" width="15.5" customWidth="1"/>
    <col min="6410" max="6410" width="11.6640625" customWidth="1"/>
    <col min="6412" max="6412" width="13.33203125" customWidth="1"/>
    <col min="6657" max="6657" width="16.33203125" customWidth="1"/>
    <col min="6658" max="6658" width="13.5" customWidth="1"/>
    <col min="6659" max="6659" width="12.83203125" customWidth="1"/>
    <col min="6660" max="6660" width="13.6640625" customWidth="1"/>
    <col min="6661" max="6661" width="13.5" customWidth="1"/>
    <col min="6662" max="6662" width="8.83203125" customWidth="1"/>
    <col min="6663" max="6663" width="13.5" customWidth="1"/>
    <col min="6664" max="6664" width="14.6640625" customWidth="1"/>
    <col min="6665" max="6665" width="15.5" customWidth="1"/>
    <col min="6666" max="6666" width="11.6640625" customWidth="1"/>
    <col min="6668" max="6668" width="13.33203125" customWidth="1"/>
    <col min="6913" max="6913" width="16.33203125" customWidth="1"/>
    <col min="6914" max="6914" width="13.5" customWidth="1"/>
    <col min="6915" max="6915" width="12.83203125" customWidth="1"/>
    <col min="6916" max="6916" width="13.6640625" customWidth="1"/>
    <col min="6917" max="6917" width="13.5" customWidth="1"/>
    <col min="6918" max="6918" width="8.83203125" customWidth="1"/>
    <col min="6919" max="6919" width="13.5" customWidth="1"/>
    <col min="6920" max="6920" width="14.6640625" customWidth="1"/>
    <col min="6921" max="6921" width="15.5" customWidth="1"/>
    <col min="6922" max="6922" width="11.6640625" customWidth="1"/>
    <col min="6924" max="6924" width="13.33203125" customWidth="1"/>
    <col min="7169" max="7169" width="16.33203125" customWidth="1"/>
    <col min="7170" max="7170" width="13.5" customWidth="1"/>
    <col min="7171" max="7171" width="12.83203125" customWidth="1"/>
    <col min="7172" max="7172" width="13.6640625" customWidth="1"/>
    <col min="7173" max="7173" width="13.5" customWidth="1"/>
    <col min="7174" max="7174" width="8.83203125" customWidth="1"/>
    <col min="7175" max="7175" width="13.5" customWidth="1"/>
    <col min="7176" max="7176" width="14.6640625" customWidth="1"/>
    <col min="7177" max="7177" width="15.5" customWidth="1"/>
    <col min="7178" max="7178" width="11.6640625" customWidth="1"/>
    <col min="7180" max="7180" width="13.33203125" customWidth="1"/>
    <col min="7425" max="7425" width="16.33203125" customWidth="1"/>
    <col min="7426" max="7426" width="13.5" customWidth="1"/>
    <col min="7427" max="7427" width="12.83203125" customWidth="1"/>
    <col min="7428" max="7428" width="13.6640625" customWidth="1"/>
    <col min="7429" max="7429" width="13.5" customWidth="1"/>
    <col min="7430" max="7430" width="8.83203125" customWidth="1"/>
    <col min="7431" max="7431" width="13.5" customWidth="1"/>
    <col min="7432" max="7432" width="14.6640625" customWidth="1"/>
    <col min="7433" max="7433" width="15.5" customWidth="1"/>
    <col min="7434" max="7434" width="11.6640625" customWidth="1"/>
    <col min="7436" max="7436" width="13.33203125" customWidth="1"/>
    <col min="7681" max="7681" width="16.33203125" customWidth="1"/>
    <col min="7682" max="7682" width="13.5" customWidth="1"/>
    <col min="7683" max="7683" width="12.83203125" customWidth="1"/>
    <col min="7684" max="7684" width="13.6640625" customWidth="1"/>
    <col min="7685" max="7685" width="13.5" customWidth="1"/>
    <col min="7686" max="7686" width="8.83203125" customWidth="1"/>
    <col min="7687" max="7687" width="13.5" customWidth="1"/>
    <col min="7688" max="7688" width="14.6640625" customWidth="1"/>
    <col min="7689" max="7689" width="15.5" customWidth="1"/>
    <col min="7690" max="7690" width="11.6640625" customWidth="1"/>
    <col min="7692" max="7692" width="13.33203125" customWidth="1"/>
    <col min="7937" max="7937" width="16.33203125" customWidth="1"/>
    <col min="7938" max="7938" width="13.5" customWidth="1"/>
    <col min="7939" max="7939" width="12.83203125" customWidth="1"/>
    <col min="7940" max="7940" width="13.6640625" customWidth="1"/>
    <col min="7941" max="7941" width="13.5" customWidth="1"/>
    <col min="7942" max="7942" width="8.83203125" customWidth="1"/>
    <col min="7943" max="7943" width="13.5" customWidth="1"/>
    <col min="7944" max="7944" width="14.6640625" customWidth="1"/>
    <col min="7945" max="7945" width="15.5" customWidth="1"/>
    <col min="7946" max="7946" width="11.6640625" customWidth="1"/>
    <col min="7948" max="7948" width="13.33203125" customWidth="1"/>
    <col min="8193" max="8193" width="16.33203125" customWidth="1"/>
    <col min="8194" max="8194" width="13.5" customWidth="1"/>
    <col min="8195" max="8195" width="12.83203125" customWidth="1"/>
    <col min="8196" max="8196" width="13.6640625" customWidth="1"/>
    <col min="8197" max="8197" width="13.5" customWidth="1"/>
    <col min="8198" max="8198" width="8.83203125" customWidth="1"/>
    <col min="8199" max="8199" width="13.5" customWidth="1"/>
    <col min="8200" max="8200" width="14.6640625" customWidth="1"/>
    <col min="8201" max="8201" width="15.5" customWidth="1"/>
    <col min="8202" max="8202" width="11.6640625" customWidth="1"/>
    <col min="8204" max="8204" width="13.33203125" customWidth="1"/>
    <col min="8449" max="8449" width="16.33203125" customWidth="1"/>
    <col min="8450" max="8450" width="13.5" customWidth="1"/>
    <col min="8451" max="8451" width="12.83203125" customWidth="1"/>
    <col min="8452" max="8452" width="13.6640625" customWidth="1"/>
    <col min="8453" max="8453" width="13.5" customWidth="1"/>
    <col min="8454" max="8454" width="8.83203125" customWidth="1"/>
    <col min="8455" max="8455" width="13.5" customWidth="1"/>
    <col min="8456" max="8456" width="14.6640625" customWidth="1"/>
    <col min="8457" max="8457" width="15.5" customWidth="1"/>
    <col min="8458" max="8458" width="11.6640625" customWidth="1"/>
    <col min="8460" max="8460" width="13.33203125" customWidth="1"/>
    <col min="8705" max="8705" width="16.33203125" customWidth="1"/>
    <col min="8706" max="8706" width="13.5" customWidth="1"/>
    <col min="8707" max="8707" width="12.83203125" customWidth="1"/>
    <col min="8708" max="8708" width="13.6640625" customWidth="1"/>
    <col min="8709" max="8709" width="13.5" customWidth="1"/>
    <col min="8710" max="8710" width="8.83203125" customWidth="1"/>
    <col min="8711" max="8711" width="13.5" customWidth="1"/>
    <col min="8712" max="8712" width="14.6640625" customWidth="1"/>
    <col min="8713" max="8713" width="15.5" customWidth="1"/>
    <col min="8714" max="8714" width="11.6640625" customWidth="1"/>
    <col min="8716" max="8716" width="13.33203125" customWidth="1"/>
    <col min="8961" max="8961" width="16.33203125" customWidth="1"/>
    <col min="8962" max="8962" width="13.5" customWidth="1"/>
    <col min="8963" max="8963" width="12.83203125" customWidth="1"/>
    <col min="8964" max="8964" width="13.6640625" customWidth="1"/>
    <col min="8965" max="8965" width="13.5" customWidth="1"/>
    <col min="8966" max="8966" width="8.83203125" customWidth="1"/>
    <col min="8967" max="8967" width="13.5" customWidth="1"/>
    <col min="8968" max="8968" width="14.6640625" customWidth="1"/>
    <col min="8969" max="8969" width="15.5" customWidth="1"/>
    <col min="8970" max="8970" width="11.6640625" customWidth="1"/>
    <col min="8972" max="8972" width="13.33203125" customWidth="1"/>
    <col min="9217" max="9217" width="16.33203125" customWidth="1"/>
    <col min="9218" max="9218" width="13.5" customWidth="1"/>
    <col min="9219" max="9219" width="12.83203125" customWidth="1"/>
    <col min="9220" max="9220" width="13.6640625" customWidth="1"/>
    <col min="9221" max="9221" width="13.5" customWidth="1"/>
    <col min="9222" max="9222" width="8.83203125" customWidth="1"/>
    <col min="9223" max="9223" width="13.5" customWidth="1"/>
    <col min="9224" max="9224" width="14.6640625" customWidth="1"/>
    <col min="9225" max="9225" width="15.5" customWidth="1"/>
    <col min="9226" max="9226" width="11.6640625" customWidth="1"/>
    <col min="9228" max="9228" width="13.33203125" customWidth="1"/>
    <col min="9473" max="9473" width="16.33203125" customWidth="1"/>
    <col min="9474" max="9474" width="13.5" customWidth="1"/>
    <col min="9475" max="9475" width="12.83203125" customWidth="1"/>
    <col min="9476" max="9476" width="13.6640625" customWidth="1"/>
    <col min="9477" max="9477" width="13.5" customWidth="1"/>
    <col min="9478" max="9478" width="8.83203125" customWidth="1"/>
    <col min="9479" max="9479" width="13.5" customWidth="1"/>
    <col min="9480" max="9480" width="14.6640625" customWidth="1"/>
    <col min="9481" max="9481" width="15.5" customWidth="1"/>
    <col min="9482" max="9482" width="11.6640625" customWidth="1"/>
    <col min="9484" max="9484" width="13.33203125" customWidth="1"/>
    <col min="9729" max="9729" width="16.33203125" customWidth="1"/>
    <col min="9730" max="9730" width="13.5" customWidth="1"/>
    <col min="9731" max="9731" width="12.83203125" customWidth="1"/>
    <col min="9732" max="9732" width="13.6640625" customWidth="1"/>
    <col min="9733" max="9733" width="13.5" customWidth="1"/>
    <col min="9734" max="9734" width="8.83203125" customWidth="1"/>
    <col min="9735" max="9735" width="13.5" customWidth="1"/>
    <col min="9736" max="9736" width="14.6640625" customWidth="1"/>
    <col min="9737" max="9737" width="15.5" customWidth="1"/>
    <col min="9738" max="9738" width="11.6640625" customWidth="1"/>
    <col min="9740" max="9740" width="13.33203125" customWidth="1"/>
    <col min="9985" max="9985" width="16.33203125" customWidth="1"/>
    <col min="9986" max="9986" width="13.5" customWidth="1"/>
    <col min="9987" max="9987" width="12.83203125" customWidth="1"/>
    <col min="9988" max="9988" width="13.6640625" customWidth="1"/>
    <col min="9989" max="9989" width="13.5" customWidth="1"/>
    <col min="9990" max="9990" width="8.83203125" customWidth="1"/>
    <col min="9991" max="9991" width="13.5" customWidth="1"/>
    <col min="9992" max="9992" width="14.6640625" customWidth="1"/>
    <col min="9993" max="9993" width="15.5" customWidth="1"/>
    <col min="9994" max="9994" width="11.6640625" customWidth="1"/>
    <col min="9996" max="9996" width="13.33203125" customWidth="1"/>
    <col min="10241" max="10241" width="16.33203125" customWidth="1"/>
    <col min="10242" max="10242" width="13.5" customWidth="1"/>
    <col min="10243" max="10243" width="12.83203125" customWidth="1"/>
    <col min="10244" max="10244" width="13.6640625" customWidth="1"/>
    <col min="10245" max="10245" width="13.5" customWidth="1"/>
    <col min="10246" max="10246" width="8.83203125" customWidth="1"/>
    <col min="10247" max="10247" width="13.5" customWidth="1"/>
    <col min="10248" max="10248" width="14.6640625" customWidth="1"/>
    <col min="10249" max="10249" width="15.5" customWidth="1"/>
    <col min="10250" max="10250" width="11.6640625" customWidth="1"/>
    <col min="10252" max="10252" width="13.33203125" customWidth="1"/>
    <col min="10497" max="10497" width="16.33203125" customWidth="1"/>
    <col min="10498" max="10498" width="13.5" customWidth="1"/>
    <col min="10499" max="10499" width="12.83203125" customWidth="1"/>
    <col min="10500" max="10500" width="13.6640625" customWidth="1"/>
    <col min="10501" max="10501" width="13.5" customWidth="1"/>
    <col min="10502" max="10502" width="8.83203125" customWidth="1"/>
    <col min="10503" max="10503" width="13.5" customWidth="1"/>
    <col min="10504" max="10504" width="14.6640625" customWidth="1"/>
    <col min="10505" max="10505" width="15.5" customWidth="1"/>
    <col min="10506" max="10506" width="11.6640625" customWidth="1"/>
    <col min="10508" max="10508" width="13.33203125" customWidth="1"/>
    <col min="10753" max="10753" width="16.33203125" customWidth="1"/>
    <col min="10754" max="10754" width="13.5" customWidth="1"/>
    <col min="10755" max="10755" width="12.83203125" customWidth="1"/>
    <col min="10756" max="10756" width="13.6640625" customWidth="1"/>
    <col min="10757" max="10757" width="13.5" customWidth="1"/>
    <col min="10758" max="10758" width="8.83203125" customWidth="1"/>
    <col min="10759" max="10759" width="13.5" customWidth="1"/>
    <col min="10760" max="10760" width="14.6640625" customWidth="1"/>
    <col min="10761" max="10761" width="15.5" customWidth="1"/>
    <col min="10762" max="10762" width="11.6640625" customWidth="1"/>
    <col min="10764" max="10764" width="13.33203125" customWidth="1"/>
    <col min="11009" max="11009" width="16.33203125" customWidth="1"/>
    <col min="11010" max="11010" width="13.5" customWidth="1"/>
    <col min="11011" max="11011" width="12.83203125" customWidth="1"/>
    <col min="11012" max="11012" width="13.6640625" customWidth="1"/>
    <col min="11013" max="11013" width="13.5" customWidth="1"/>
    <col min="11014" max="11014" width="8.83203125" customWidth="1"/>
    <col min="11015" max="11015" width="13.5" customWidth="1"/>
    <col min="11016" max="11016" width="14.6640625" customWidth="1"/>
    <col min="11017" max="11017" width="15.5" customWidth="1"/>
    <col min="11018" max="11018" width="11.6640625" customWidth="1"/>
    <col min="11020" max="11020" width="13.33203125" customWidth="1"/>
    <col min="11265" max="11265" width="16.33203125" customWidth="1"/>
    <col min="11266" max="11266" width="13.5" customWidth="1"/>
    <col min="11267" max="11267" width="12.83203125" customWidth="1"/>
    <col min="11268" max="11268" width="13.6640625" customWidth="1"/>
    <col min="11269" max="11269" width="13.5" customWidth="1"/>
    <col min="11270" max="11270" width="8.83203125" customWidth="1"/>
    <col min="11271" max="11271" width="13.5" customWidth="1"/>
    <col min="11272" max="11272" width="14.6640625" customWidth="1"/>
    <col min="11273" max="11273" width="15.5" customWidth="1"/>
    <col min="11274" max="11274" width="11.6640625" customWidth="1"/>
    <col min="11276" max="11276" width="13.33203125" customWidth="1"/>
    <col min="11521" max="11521" width="16.33203125" customWidth="1"/>
    <col min="11522" max="11522" width="13.5" customWidth="1"/>
    <col min="11523" max="11523" width="12.83203125" customWidth="1"/>
    <col min="11524" max="11524" width="13.6640625" customWidth="1"/>
    <col min="11525" max="11525" width="13.5" customWidth="1"/>
    <col min="11526" max="11526" width="8.83203125" customWidth="1"/>
    <col min="11527" max="11527" width="13.5" customWidth="1"/>
    <col min="11528" max="11528" width="14.6640625" customWidth="1"/>
    <col min="11529" max="11529" width="15.5" customWidth="1"/>
    <col min="11530" max="11530" width="11.6640625" customWidth="1"/>
    <col min="11532" max="11532" width="13.33203125" customWidth="1"/>
    <col min="11777" max="11777" width="16.33203125" customWidth="1"/>
    <col min="11778" max="11778" width="13.5" customWidth="1"/>
    <col min="11779" max="11779" width="12.83203125" customWidth="1"/>
    <col min="11780" max="11780" width="13.6640625" customWidth="1"/>
    <col min="11781" max="11781" width="13.5" customWidth="1"/>
    <col min="11782" max="11782" width="8.83203125" customWidth="1"/>
    <col min="11783" max="11783" width="13.5" customWidth="1"/>
    <col min="11784" max="11784" width="14.6640625" customWidth="1"/>
    <col min="11785" max="11785" width="15.5" customWidth="1"/>
    <col min="11786" max="11786" width="11.6640625" customWidth="1"/>
    <col min="11788" max="11788" width="13.33203125" customWidth="1"/>
    <col min="12033" max="12033" width="16.33203125" customWidth="1"/>
    <col min="12034" max="12034" width="13.5" customWidth="1"/>
    <col min="12035" max="12035" width="12.83203125" customWidth="1"/>
    <col min="12036" max="12036" width="13.6640625" customWidth="1"/>
    <col min="12037" max="12037" width="13.5" customWidth="1"/>
    <col min="12038" max="12038" width="8.83203125" customWidth="1"/>
    <col min="12039" max="12039" width="13.5" customWidth="1"/>
    <col min="12040" max="12040" width="14.6640625" customWidth="1"/>
    <col min="12041" max="12041" width="15.5" customWidth="1"/>
    <col min="12042" max="12042" width="11.6640625" customWidth="1"/>
    <col min="12044" max="12044" width="13.33203125" customWidth="1"/>
    <col min="12289" max="12289" width="16.33203125" customWidth="1"/>
    <col min="12290" max="12290" width="13.5" customWidth="1"/>
    <col min="12291" max="12291" width="12.83203125" customWidth="1"/>
    <col min="12292" max="12292" width="13.6640625" customWidth="1"/>
    <col min="12293" max="12293" width="13.5" customWidth="1"/>
    <col min="12294" max="12294" width="8.83203125" customWidth="1"/>
    <col min="12295" max="12295" width="13.5" customWidth="1"/>
    <col min="12296" max="12296" width="14.6640625" customWidth="1"/>
    <col min="12297" max="12297" width="15.5" customWidth="1"/>
    <col min="12298" max="12298" width="11.6640625" customWidth="1"/>
    <col min="12300" max="12300" width="13.33203125" customWidth="1"/>
    <col min="12545" max="12545" width="16.33203125" customWidth="1"/>
    <col min="12546" max="12546" width="13.5" customWidth="1"/>
    <col min="12547" max="12547" width="12.83203125" customWidth="1"/>
    <col min="12548" max="12548" width="13.6640625" customWidth="1"/>
    <col min="12549" max="12549" width="13.5" customWidth="1"/>
    <col min="12550" max="12550" width="8.83203125" customWidth="1"/>
    <col min="12551" max="12551" width="13.5" customWidth="1"/>
    <col min="12552" max="12552" width="14.6640625" customWidth="1"/>
    <col min="12553" max="12553" width="15.5" customWidth="1"/>
    <col min="12554" max="12554" width="11.6640625" customWidth="1"/>
    <col min="12556" max="12556" width="13.33203125" customWidth="1"/>
    <col min="12801" max="12801" width="16.33203125" customWidth="1"/>
    <col min="12802" max="12802" width="13.5" customWidth="1"/>
    <col min="12803" max="12803" width="12.83203125" customWidth="1"/>
    <col min="12804" max="12804" width="13.6640625" customWidth="1"/>
    <col min="12805" max="12805" width="13.5" customWidth="1"/>
    <col min="12806" max="12806" width="8.83203125" customWidth="1"/>
    <col min="12807" max="12807" width="13.5" customWidth="1"/>
    <col min="12808" max="12808" width="14.6640625" customWidth="1"/>
    <col min="12809" max="12809" width="15.5" customWidth="1"/>
    <col min="12810" max="12810" width="11.6640625" customWidth="1"/>
    <col min="12812" max="12812" width="13.33203125" customWidth="1"/>
    <col min="13057" max="13057" width="16.33203125" customWidth="1"/>
    <col min="13058" max="13058" width="13.5" customWidth="1"/>
    <col min="13059" max="13059" width="12.83203125" customWidth="1"/>
    <col min="13060" max="13060" width="13.6640625" customWidth="1"/>
    <col min="13061" max="13061" width="13.5" customWidth="1"/>
    <col min="13062" max="13062" width="8.83203125" customWidth="1"/>
    <col min="13063" max="13063" width="13.5" customWidth="1"/>
    <col min="13064" max="13064" width="14.6640625" customWidth="1"/>
    <col min="13065" max="13065" width="15.5" customWidth="1"/>
    <col min="13066" max="13066" width="11.6640625" customWidth="1"/>
    <col min="13068" max="13068" width="13.33203125" customWidth="1"/>
    <col min="13313" max="13313" width="16.33203125" customWidth="1"/>
    <col min="13314" max="13314" width="13.5" customWidth="1"/>
    <col min="13315" max="13315" width="12.83203125" customWidth="1"/>
    <col min="13316" max="13316" width="13.6640625" customWidth="1"/>
    <col min="13317" max="13317" width="13.5" customWidth="1"/>
    <col min="13318" max="13318" width="8.83203125" customWidth="1"/>
    <col min="13319" max="13319" width="13.5" customWidth="1"/>
    <col min="13320" max="13320" width="14.6640625" customWidth="1"/>
    <col min="13321" max="13321" width="15.5" customWidth="1"/>
    <col min="13322" max="13322" width="11.6640625" customWidth="1"/>
    <col min="13324" max="13324" width="13.33203125" customWidth="1"/>
    <col min="13569" max="13569" width="16.33203125" customWidth="1"/>
    <col min="13570" max="13570" width="13.5" customWidth="1"/>
    <col min="13571" max="13571" width="12.83203125" customWidth="1"/>
    <col min="13572" max="13572" width="13.6640625" customWidth="1"/>
    <col min="13573" max="13573" width="13.5" customWidth="1"/>
    <col min="13574" max="13574" width="8.83203125" customWidth="1"/>
    <col min="13575" max="13575" width="13.5" customWidth="1"/>
    <col min="13576" max="13576" width="14.6640625" customWidth="1"/>
    <col min="13577" max="13577" width="15.5" customWidth="1"/>
    <col min="13578" max="13578" width="11.6640625" customWidth="1"/>
    <col min="13580" max="13580" width="13.33203125" customWidth="1"/>
    <col min="13825" max="13825" width="16.33203125" customWidth="1"/>
    <col min="13826" max="13826" width="13.5" customWidth="1"/>
    <col min="13827" max="13827" width="12.83203125" customWidth="1"/>
    <col min="13828" max="13828" width="13.6640625" customWidth="1"/>
    <col min="13829" max="13829" width="13.5" customWidth="1"/>
    <col min="13830" max="13830" width="8.83203125" customWidth="1"/>
    <col min="13831" max="13831" width="13.5" customWidth="1"/>
    <col min="13832" max="13832" width="14.6640625" customWidth="1"/>
    <col min="13833" max="13833" width="15.5" customWidth="1"/>
    <col min="13834" max="13834" width="11.6640625" customWidth="1"/>
    <col min="13836" max="13836" width="13.33203125" customWidth="1"/>
    <col min="14081" max="14081" width="16.33203125" customWidth="1"/>
    <col min="14082" max="14082" width="13.5" customWidth="1"/>
    <col min="14083" max="14083" width="12.83203125" customWidth="1"/>
    <col min="14084" max="14084" width="13.6640625" customWidth="1"/>
    <col min="14085" max="14085" width="13.5" customWidth="1"/>
    <col min="14086" max="14086" width="8.83203125" customWidth="1"/>
    <col min="14087" max="14087" width="13.5" customWidth="1"/>
    <col min="14088" max="14088" width="14.6640625" customWidth="1"/>
    <col min="14089" max="14089" width="15.5" customWidth="1"/>
    <col min="14090" max="14090" width="11.6640625" customWidth="1"/>
    <col min="14092" max="14092" width="13.33203125" customWidth="1"/>
    <col min="14337" max="14337" width="16.33203125" customWidth="1"/>
    <col min="14338" max="14338" width="13.5" customWidth="1"/>
    <col min="14339" max="14339" width="12.83203125" customWidth="1"/>
    <col min="14340" max="14340" width="13.6640625" customWidth="1"/>
    <col min="14341" max="14341" width="13.5" customWidth="1"/>
    <col min="14342" max="14342" width="8.83203125" customWidth="1"/>
    <col min="14343" max="14343" width="13.5" customWidth="1"/>
    <col min="14344" max="14344" width="14.6640625" customWidth="1"/>
    <col min="14345" max="14345" width="15.5" customWidth="1"/>
    <col min="14346" max="14346" width="11.6640625" customWidth="1"/>
    <col min="14348" max="14348" width="13.33203125" customWidth="1"/>
    <col min="14593" max="14593" width="16.33203125" customWidth="1"/>
    <col min="14594" max="14594" width="13.5" customWidth="1"/>
    <col min="14595" max="14595" width="12.83203125" customWidth="1"/>
    <col min="14596" max="14596" width="13.6640625" customWidth="1"/>
    <col min="14597" max="14597" width="13.5" customWidth="1"/>
    <col min="14598" max="14598" width="8.83203125" customWidth="1"/>
    <col min="14599" max="14599" width="13.5" customWidth="1"/>
    <col min="14600" max="14600" width="14.6640625" customWidth="1"/>
    <col min="14601" max="14601" width="15.5" customWidth="1"/>
    <col min="14602" max="14602" width="11.6640625" customWidth="1"/>
    <col min="14604" max="14604" width="13.33203125" customWidth="1"/>
    <col min="14849" max="14849" width="16.33203125" customWidth="1"/>
    <col min="14850" max="14850" width="13.5" customWidth="1"/>
    <col min="14851" max="14851" width="12.83203125" customWidth="1"/>
    <col min="14852" max="14852" width="13.6640625" customWidth="1"/>
    <col min="14853" max="14853" width="13.5" customWidth="1"/>
    <col min="14854" max="14854" width="8.83203125" customWidth="1"/>
    <col min="14855" max="14855" width="13.5" customWidth="1"/>
    <col min="14856" max="14856" width="14.6640625" customWidth="1"/>
    <col min="14857" max="14857" width="15.5" customWidth="1"/>
    <col min="14858" max="14858" width="11.6640625" customWidth="1"/>
    <col min="14860" max="14860" width="13.33203125" customWidth="1"/>
    <col min="15105" max="15105" width="16.33203125" customWidth="1"/>
    <col min="15106" max="15106" width="13.5" customWidth="1"/>
    <col min="15107" max="15107" width="12.83203125" customWidth="1"/>
    <col min="15108" max="15108" width="13.6640625" customWidth="1"/>
    <col min="15109" max="15109" width="13.5" customWidth="1"/>
    <col min="15110" max="15110" width="8.83203125" customWidth="1"/>
    <col min="15111" max="15111" width="13.5" customWidth="1"/>
    <col min="15112" max="15112" width="14.6640625" customWidth="1"/>
    <col min="15113" max="15113" width="15.5" customWidth="1"/>
    <col min="15114" max="15114" width="11.6640625" customWidth="1"/>
    <col min="15116" max="15116" width="13.33203125" customWidth="1"/>
    <col min="15361" max="15361" width="16.33203125" customWidth="1"/>
    <col min="15362" max="15362" width="13.5" customWidth="1"/>
    <col min="15363" max="15363" width="12.83203125" customWidth="1"/>
    <col min="15364" max="15364" width="13.6640625" customWidth="1"/>
    <col min="15365" max="15365" width="13.5" customWidth="1"/>
    <col min="15366" max="15366" width="8.83203125" customWidth="1"/>
    <col min="15367" max="15367" width="13.5" customWidth="1"/>
    <col min="15368" max="15368" width="14.6640625" customWidth="1"/>
    <col min="15369" max="15369" width="15.5" customWidth="1"/>
    <col min="15370" max="15370" width="11.6640625" customWidth="1"/>
    <col min="15372" max="15372" width="13.33203125" customWidth="1"/>
    <col min="15617" max="15617" width="16.33203125" customWidth="1"/>
    <col min="15618" max="15618" width="13.5" customWidth="1"/>
    <col min="15619" max="15619" width="12.83203125" customWidth="1"/>
    <col min="15620" max="15620" width="13.6640625" customWidth="1"/>
    <col min="15621" max="15621" width="13.5" customWidth="1"/>
    <col min="15622" max="15622" width="8.83203125" customWidth="1"/>
    <col min="15623" max="15623" width="13.5" customWidth="1"/>
    <col min="15624" max="15624" width="14.6640625" customWidth="1"/>
    <col min="15625" max="15625" width="15.5" customWidth="1"/>
    <col min="15626" max="15626" width="11.6640625" customWidth="1"/>
    <col min="15628" max="15628" width="13.33203125" customWidth="1"/>
    <col min="15873" max="15873" width="16.33203125" customWidth="1"/>
    <col min="15874" max="15874" width="13.5" customWidth="1"/>
    <col min="15875" max="15875" width="12.83203125" customWidth="1"/>
    <col min="15876" max="15876" width="13.6640625" customWidth="1"/>
    <col min="15877" max="15877" width="13.5" customWidth="1"/>
    <col min="15878" max="15878" width="8.83203125" customWidth="1"/>
    <col min="15879" max="15879" width="13.5" customWidth="1"/>
    <col min="15880" max="15880" width="14.6640625" customWidth="1"/>
    <col min="15881" max="15881" width="15.5" customWidth="1"/>
    <col min="15882" max="15882" width="11.6640625" customWidth="1"/>
    <col min="15884" max="15884" width="13.33203125" customWidth="1"/>
    <col min="16129" max="16129" width="16.33203125" customWidth="1"/>
    <col min="16130" max="16130" width="13.5" customWidth="1"/>
    <col min="16131" max="16131" width="12.83203125" customWidth="1"/>
    <col min="16132" max="16132" width="13.6640625" customWidth="1"/>
    <col min="16133" max="16133" width="13.5" customWidth="1"/>
    <col min="16134" max="16134" width="8.83203125" customWidth="1"/>
    <col min="16135" max="16135" width="13.5" customWidth="1"/>
    <col min="16136" max="16136" width="14.6640625" customWidth="1"/>
    <col min="16137" max="16137" width="15.5" customWidth="1"/>
    <col min="16138" max="16138" width="11.6640625" customWidth="1"/>
    <col min="16140" max="16140" width="13.33203125" customWidth="1"/>
  </cols>
  <sheetData>
    <row r="1" spans="1:12">
      <c r="A1" s="1" t="s">
        <v>283</v>
      </c>
    </row>
    <row r="4" spans="1:12">
      <c r="A4" s="327"/>
      <c r="B4" s="79" t="s">
        <v>38</v>
      </c>
      <c r="C4" s="79" t="s">
        <v>318</v>
      </c>
      <c r="D4" s="79" t="s">
        <v>3</v>
      </c>
      <c r="E4" s="79" t="s">
        <v>3</v>
      </c>
      <c r="F4" s="79" t="s">
        <v>3</v>
      </c>
      <c r="G4" s="39" t="s">
        <v>281</v>
      </c>
      <c r="H4" s="79" t="s">
        <v>318</v>
      </c>
      <c r="I4" s="79" t="s">
        <v>211</v>
      </c>
      <c r="J4" s="79" t="s">
        <v>211</v>
      </c>
      <c r="K4" s="79" t="s">
        <v>211</v>
      </c>
      <c r="L4" s="39" t="s">
        <v>282</v>
      </c>
    </row>
    <row r="5" spans="1:12">
      <c r="A5" s="79" t="s">
        <v>22</v>
      </c>
      <c r="B5" s="79" t="s">
        <v>109</v>
      </c>
      <c r="C5" s="79" t="s">
        <v>3</v>
      </c>
      <c r="D5" s="79" t="s">
        <v>157</v>
      </c>
      <c r="E5" s="79" t="s">
        <v>37</v>
      </c>
      <c r="F5" s="79" t="s">
        <v>107</v>
      </c>
      <c r="G5" s="79" t="s">
        <v>250</v>
      </c>
      <c r="H5" s="79" t="s">
        <v>211</v>
      </c>
      <c r="I5" s="79" t="s">
        <v>157</v>
      </c>
      <c r="J5" s="79" t="s">
        <v>37</v>
      </c>
      <c r="K5" s="79" t="s">
        <v>107</v>
      </c>
      <c r="L5" s="79" t="s">
        <v>250</v>
      </c>
    </row>
    <row r="6" spans="1:12">
      <c r="A6" s="291" t="s">
        <v>10</v>
      </c>
      <c r="B6" s="291">
        <v>543</v>
      </c>
    </row>
    <row r="7" spans="1:12">
      <c r="A7" s="291" t="s">
        <v>23</v>
      </c>
      <c r="B7" s="291">
        <v>528</v>
      </c>
    </row>
    <row r="8" spans="1:12">
      <c r="A8" s="291" t="s">
        <v>24</v>
      </c>
      <c r="B8" s="291">
        <v>531</v>
      </c>
      <c r="C8" s="26"/>
      <c r="D8" s="26"/>
      <c r="E8" s="26"/>
      <c r="F8" s="26"/>
      <c r="G8" s="26"/>
      <c r="H8" s="26"/>
      <c r="I8" s="26"/>
      <c r="K8" s="26"/>
      <c r="L8" s="26"/>
    </row>
    <row r="9" spans="1:12">
      <c r="A9" s="291" t="s">
        <v>14</v>
      </c>
      <c r="B9" s="291">
        <v>542</v>
      </c>
      <c r="C9" s="26"/>
      <c r="D9" s="26"/>
      <c r="E9" s="26"/>
      <c r="F9" s="26"/>
      <c r="G9" s="26"/>
      <c r="H9" s="26"/>
      <c r="I9" s="26"/>
      <c r="K9" s="26"/>
      <c r="L9" s="26"/>
    </row>
    <row r="10" spans="1:12">
      <c r="A10" s="291" t="s">
        <v>15</v>
      </c>
      <c r="B10" s="291">
        <v>558</v>
      </c>
      <c r="C10" s="37">
        <f t="shared" ref="C10:C18" si="0">AVERAGE(B6:B9)</f>
        <v>536</v>
      </c>
      <c r="D10" s="37">
        <f t="shared" ref="D10:D17" si="1">ABS(B10-C10)</f>
        <v>22</v>
      </c>
      <c r="E10" s="37">
        <f t="shared" ref="E10:E17" si="2">B10-C10</f>
        <v>22</v>
      </c>
      <c r="F10" s="37">
        <f>SUM($D$10:D10)/COUNT($D$10:D10)</f>
        <v>22</v>
      </c>
      <c r="G10" s="510">
        <f>SUM($E$10:E10)/F10</f>
        <v>1</v>
      </c>
      <c r="H10" s="26"/>
      <c r="I10" s="26"/>
      <c r="K10" s="37"/>
      <c r="L10" s="37"/>
    </row>
    <row r="11" spans="1:12">
      <c r="A11" s="291" t="s">
        <v>16</v>
      </c>
      <c r="B11" s="291">
        <v>545</v>
      </c>
      <c r="C11" s="37">
        <f t="shared" si="0"/>
        <v>539.75</v>
      </c>
      <c r="D11" s="37">
        <f t="shared" si="1"/>
        <v>5.25</v>
      </c>
      <c r="E11" s="37">
        <f t="shared" si="2"/>
        <v>5.25</v>
      </c>
      <c r="F11" s="37">
        <f>SUM($D$10:D11)/COUNT($D$10:D11)</f>
        <v>13.625</v>
      </c>
      <c r="G11" s="510">
        <f>SUM($E$10:E11)/F11</f>
        <v>2</v>
      </c>
      <c r="H11" s="26"/>
      <c r="I11" s="26"/>
      <c r="K11" s="37"/>
      <c r="L11" s="580"/>
    </row>
    <row r="12" spans="1:12">
      <c r="A12" s="291" t="s">
        <v>4</v>
      </c>
      <c r="B12" s="291">
        <v>543</v>
      </c>
      <c r="C12" s="37">
        <f t="shared" si="0"/>
        <v>544</v>
      </c>
      <c r="D12" s="37">
        <f t="shared" si="1"/>
        <v>1</v>
      </c>
      <c r="E12" s="37">
        <f t="shared" si="2"/>
        <v>-1</v>
      </c>
      <c r="F12" s="37">
        <f>SUM($D$10:D12)/COUNT($D$10:D12)</f>
        <v>9.4166666666666661</v>
      </c>
      <c r="G12" s="510">
        <f>SUM($E$10:E12)/F12</f>
        <v>2.7876106194690267</v>
      </c>
      <c r="H12" s="37">
        <v>541.16669999999999</v>
      </c>
      <c r="I12" s="37">
        <f t="shared" ref="I12:I17" si="3">ABS(B12-H12)</f>
        <v>1.8333000000000084</v>
      </c>
      <c r="J12" s="37">
        <f t="shared" ref="J12:J17" si="4">B12-H12</f>
        <v>1.8333000000000084</v>
      </c>
      <c r="K12" s="37">
        <f>SUM($I$12:I12)/COUNT($I$12:I12)</f>
        <v>1.8333000000000084</v>
      </c>
      <c r="L12" s="510">
        <f>SUM($J$10:J12)/K12</f>
        <v>1</v>
      </c>
    </row>
    <row r="13" spans="1:12">
      <c r="A13" s="291" t="s">
        <v>5</v>
      </c>
      <c r="B13" s="291">
        <v>550</v>
      </c>
      <c r="C13" s="37">
        <f t="shared" si="0"/>
        <v>547</v>
      </c>
      <c r="D13" s="37">
        <f t="shared" si="1"/>
        <v>3</v>
      </c>
      <c r="E13" s="37">
        <f t="shared" si="2"/>
        <v>3</v>
      </c>
      <c r="F13" s="37">
        <f>SUM($D$10:D13)/COUNT($D$10:D13)</f>
        <v>7.8125</v>
      </c>
      <c r="G13" s="510">
        <f>SUM($E$10:E13)/F13</f>
        <v>3.7440000000000002</v>
      </c>
      <c r="H13" s="37">
        <v>541.16669999999999</v>
      </c>
      <c r="I13" s="37">
        <f t="shared" si="3"/>
        <v>8.8333000000000084</v>
      </c>
      <c r="J13" s="37">
        <f t="shared" si="4"/>
        <v>8.8333000000000084</v>
      </c>
      <c r="K13" s="37">
        <f>SUM($I$12:I13)/COUNT($I$12:I13)</f>
        <v>5.3333000000000084</v>
      </c>
      <c r="L13" s="510">
        <f>SUM($J$10:J13)/K13</f>
        <v>2</v>
      </c>
    </row>
    <row r="14" spans="1:12">
      <c r="A14" s="291" t="s">
        <v>6</v>
      </c>
      <c r="B14" s="291">
        <v>546</v>
      </c>
      <c r="C14" s="37">
        <f t="shared" si="0"/>
        <v>549</v>
      </c>
      <c r="D14" s="37">
        <f t="shared" si="1"/>
        <v>3</v>
      </c>
      <c r="E14" s="37">
        <f t="shared" si="2"/>
        <v>-3</v>
      </c>
      <c r="F14" s="37">
        <f>SUM($D$10:D14)/COUNT($D$10:D14)</f>
        <v>6.85</v>
      </c>
      <c r="G14" s="510">
        <f>SUM($E$10:E14)/F14</f>
        <v>3.832116788321168</v>
      </c>
      <c r="H14" s="37">
        <v>544.83330000000001</v>
      </c>
      <c r="I14" s="37">
        <f t="shared" si="3"/>
        <v>1.1666999999999916</v>
      </c>
      <c r="J14" s="37">
        <f t="shared" si="4"/>
        <v>1.1666999999999916</v>
      </c>
      <c r="K14" s="37">
        <f>SUM($I$12:I14)/COUNT($I$12:I14)</f>
        <v>3.9444333333333361</v>
      </c>
      <c r="L14" s="510">
        <f>SUM($J$10:J14)/K14</f>
        <v>3</v>
      </c>
    </row>
    <row r="15" spans="1:12">
      <c r="A15" s="291" t="s">
        <v>7</v>
      </c>
      <c r="B15" s="291">
        <v>540</v>
      </c>
      <c r="C15" s="37">
        <f t="shared" si="0"/>
        <v>546</v>
      </c>
      <c r="D15" s="37">
        <f t="shared" si="1"/>
        <v>6</v>
      </c>
      <c r="E15" s="37">
        <f t="shared" si="2"/>
        <v>-6</v>
      </c>
      <c r="F15" s="37">
        <f>SUM($D$10:D15)/COUNT($D$10:D15)</f>
        <v>6.708333333333333</v>
      </c>
      <c r="G15" s="510">
        <f>SUM($E$10:E15)/F15</f>
        <v>3.018633540372671</v>
      </c>
      <c r="H15" s="37">
        <v>547.33330000000001</v>
      </c>
      <c r="I15" s="37">
        <f t="shared" si="3"/>
        <v>7.3333000000000084</v>
      </c>
      <c r="J15" s="37">
        <f t="shared" si="4"/>
        <v>-7.3333000000000084</v>
      </c>
      <c r="K15" s="37">
        <f>SUM($I$12:I15)/COUNT($I$12:I15)</f>
        <v>4.7916500000000042</v>
      </c>
      <c r="L15" s="510">
        <f>SUM($J$10:J15)/K15</f>
        <v>0.93913370133461249</v>
      </c>
    </row>
    <row r="16" spans="1:12">
      <c r="A16" s="291" t="s">
        <v>8</v>
      </c>
      <c r="B16" s="291">
        <v>535</v>
      </c>
      <c r="C16" s="37">
        <f t="shared" si="0"/>
        <v>544.75</v>
      </c>
      <c r="D16" s="37">
        <f t="shared" si="1"/>
        <v>9.75</v>
      </c>
      <c r="E16" s="37">
        <f t="shared" si="2"/>
        <v>-9.75</v>
      </c>
      <c r="F16" s="37">
        <f>SUM($D$10:D16)/COUNT($D$10:D16)</f>
        <v>7.1428571428571432</v>
      </c>
      <c r="G16" s="510">
        <f>SUM($E$10:E16)/F16</f>
        <v>1.47</v>
      </c>
      <c r="H16" s="37">
        <v>547</v>
      </c>
      <c r="I16" s="37">
        <f t="shared" si="3"/>
        <v>12</v>
      </c>
      <c r="J16" s="37">
        <f t="shared" si="4"/>
        <v>-12</v>
      </c>
      <c r="K16" s="37">
        <f>SUM($I$12:I16)/COUNT($I$12:I16)</f>
        <v>6.2333200000000035</v>
      </c>
      <c r="L16" s="510">
        <f>SUM($J$10:J16)/K16</f>
        <v>-1.2032111298633787</v>
      </c>
    </row>
    <row r="17" spans="1:12">
      <c r="A17" s="291" t="s">
        <v>9</v>
      </c>
      <c r="B17" s="291">
        <v>529</v>
      </c>
      <c r="C17" s="37">
        <f t="shared" si="0"/>
        <v>542.75</v>
      </c>
      <c r="D17" s="37">
        <f t="shared" si="1"/>
        <v>13.75</v>
      </c>
      <c r="E17" s="37">
        <f t="shared" si="2"/>
        <v>-13.75</v>
      </c>
      <c r="F17" s="37">
        <f>SUM($D$10:D17)/COUNT($D$10:D17)</f>
        <v>7.96875</v>
      </c>
      <c r="G17" s="510">
        <f>SUM($E$10:E17)/F17</f>
        <v>-0.40784313725490196</v>
      </c>
      <c r="H17" s="37">
        <v>543.16669999999999</v>
      </c>
      <c r="I17" s="37">
        <f t="shared" si="3"/>
        <v>14.166699999999992</v>
      </c>
      <c r="J17" s="37">
        <f t="shared" si="4"/>
        <v>-14.166699999999992</v>
      </c>
      <c r="K17" s="37">
        <f>SUM($I$12:I17)/COUNT($I$12:I17)</f>
        <v>7.5555500000000011</v>
      </c>
      <c r="L17" s="510">
        <f>SUM($J$10:J17)/K17</f>
        <v>-2.8676535791570421</v>
      </c>
    </row>
    <row r="18" spans="1:12">
      <c r="A18" s="329" t="s">
        <v>10</v>
      </c>
      <c r="B18" s="504"/>
      <c r="C18" s="510">
        <f t="shared" si="0"/>
        <v>537.5</v>
      </c>
      <c r="D18" s="29"/>
      <c r="E18" s="29"/>
      <c r="F18" s="29"/>
      <c r="G18" s="505"/>
      <c r="H18" s="510">
        <v>540.5</v>
      </c>
      <c r="I18" s="29"/>
      <c r="L18" s="523"/>
    </row>
    <row r="19" spans="1:12">
      <c r="A19" s="79"/>
      <c r="B19" s="28"/>
      <c r="C19" s="29"/>
      <c r="D19" s="29"/>
      <c r="E19" s="29"/>
      <c r="F19" s="29"/>
      <c r="G19" s="29"/>
      <c r="H19" s="29"/>
      <c r="I19" s="29"/>
      <c r="L19" s="523"/>
    </row>
    <row r="20" spans="1:12">
      <c r="L20" s="523"/>
    </row>
    <row r="21" spans="1:12">
      <c r="A21" s="1"/>
      <c r="L21" s="523"/>
    </row>
    <row r="22" spans="1:12">
      <c r="B22" s="39" t="s">
        <v>281</v>
      </c>
      <c r="C22" s="39" t="s">
        <v>282</v>
      </c>
      <c r="D22" s="8"/>
      <c r="L22" s="523"/>
    </row>
    <row r="23" spans="1:12">
      <c r="A23" s="291" t="s">
        <v>15</v>
      </c>
      <c r="B23" s="510">
        <v>1</v>
      </c>
      <c r="C23" s="509"/>
      <c r="D23" s="8"/>
      <c r="E23" s="1"/>
      <c r="F23" s="1"/>
      <c r="G23" s="1"/>
      <c r="H23" s="1"/>
      <c r="I23" s="1"/>
      <c r="L23" s="523"/>
    </row>
    <row r="24" spans="1:12">
      <c r="A24" s="291" t="s">
        <v>16</v>
      </c>
      <c r="B24" s="510">
        <v>2</v>
      </c>
      <c r="C24" s="523"/>
      <c r="D24" s="8"/>
      <c r="L24" s="523"/>
    </row>
    <row r="25" spans="1:12">
      <c r="A25" s="291" t="s">
        <v>4</v>
      </c>
      <c r="B25" s="510">
        <v>2.7876106194690267</v>
      </c>
      <c r="C25" s="510">
        <v>1</v>
      </c>
      <c r="D25" s="8"/>
      <c r="L25" s="523"/>
    </row>
    <row r="26" spans="1:12">
      <c r="A26" s="291" t="s">
        <v>5</v>
      </c>
      <c r="B26" s="510">
        <v>3.7440000000000002</v>
      </c>
      <c r="C26" s="510">
        <v>2</v>
      </c>
      <c r="D26" s="8"/>
      <c r="L26" s="523"/>
    </row>
    <row r="27" spans="1:12">
      <c r="A27" s="291" t="s">
        <v>6</v>
      </c>
      <c r="B27" s="510">
        <v>3.832116788321168</v>
      </c>
      <c r="C27" s="510">
        <v>3</v>
      </c>
      <c r="D27" s="8"/>
    </row>
    <row r="28" spans="1:12">
      <c r="A28" s="291" t="s">
        <v>7</v>
      </c>
      <c r="B28" s="510">
        <v>3.018633540372671</v>
      </c>
      <c r="C28" s="510">
        <v>0.93913370133461249</v>
      </c>
      <c r="D28" s="8"/>
    </row>
    <row r="29" spans="1:12">
      <c r="A29" s="291" t="s">
        <v>8</v>
      </c>
      <c r="B29" s="510">
        <v>1.47</v>
      </c>
      <c r="C29" s="510">
        <v>-1.2032111298633787</v>
      </c>
      <c r="D29" s="8"/>
    </row>
    <row r="30" spans="1:12">
      <c r="A30" s="291" t="s">
        <v>9</v>
      </c>
      <c r="B30" s="510">
        <v>-0.40784313725490196</v>
      </c>
      <c r="C30" s="510">
        <v>-2.8676535791570421</v>
      </c>
      <c r="D30" s="8"/>
    </row>
    <row r="31" spans="1:12">
      <c r="B31" s="8"/>
      <c r="C31" s="8"/>
      <c r="D31" s="8"/>
    </row>
    <row r="33" spans="1:11">
      <c r="A33" s="579" t="s">
        <v>324</v>
      </c>
    </row>
    <row r="44" spans="1:11">
      <c r="A44" s="82" t="s">
        <v>213</v>
      </c>
    </row>
    <row r="45" spans="1:11">
      <c r="A45" s="661" t="s">
        <v>119</v>
      </c>
      <c r="B45" s="661"/>
      <c r="C45" s="661"/>
      <c r="D45" s="661"/>
      <c r="E45" s="355"/>
      <c r="G45" s="661" t="s">
        <v>119</v>
      </c>
      <c r="H45" s="661"/>
      <c r="I45" s="661"/>
      <c r="J45" s="661"/>
      <c r="K45" s="355"/>
    </row>
    <row r="46" spans="1:11" ht="16" thickBot="1">
      <c r="A46" s="355"/>
      <c r="B46" s="355"/>
      <c r="C46" s="355"/>
      <c r="D46" s="355"/>
      <c r="E46" s="355"/>
      <c r="G46" s="355"/>
      <c r="H46" s="355"/>
      <c r="I46" s="355"/>
      <c r="J46" s="355"/>
      <c r="K46" s="355"/>
    </row>
    <row r="47" spans="1:11" ht="16" thickBot="1">
      <c r="A47" s="662" t="s">
        <v>120</v>
      </c>
      <c r="B47" s="662"/>
      <c r="C47" s="662"/>
      <c r="D47" s="356">
        <v>4</v>
      </c>
      <c r="E47" s="355"/>
      <c r="G47" s="662" t="s">
        <v>120</v>
      </c>
      <c r="H47" s="662"/>
      <c r="I47" s="662"/>
      <c r="J47" s="356">
        <v>6</v>
      </c>
      <c r="K47" s="355"/>
    </row>
    <row r="48" spans="1:11" ht="16" thickBot="1">
      <c r="A48" s="355"/>
      <c r="B48" s="355"/>
      <c r="C48" s="355"/>
      <c r="D48" s="355"/>
      <c r="E48" s="355"/>
      <c r="G48" s="355"/>
      <c r="H48" s="355"/>
      <c r="I48" s="355"/>
      <c r="J48" s="355"/>
      <c r="K48" s="355"/>
    </row>
    <row r="49" spans="1:11">
      <c r="A49" s="357" t="s">
        <v>121</v>
      </c>
      <c r="B49" s="358">
        <v>7.96875</v>
      </c>
      <c r="C49" s="359"/>
      <c r="D49" s="360"/>
      <c r="E49" s="355"/>
      <c r="G49" s="357" t="s">
        <v>121</v>
      </c>
      <c r="H49" s="358">
        <v>7.5555555555555616</v>
      </c>
      <c r="I49" s="359"/>
      <c r="J49" s="360"/>
      <c r="K49" s="355"/>
    </row>
    <row r="50" spans="1:11" ht="16" thickBot="1">
      <c r="A50" s="357" t="s">
        <v>122</v>
      </c>
      <c r="B50" s="361">
        <v>1.4668660837551771E-2</v>
      </c>
      <c r="C50" s="359"/>
      <c r="D50" s="360"/>
      <c r="E50" s="355"/>
      <c r="G50" s="357" t="s">
        <v>122</v>
      </c>
      <c r="H50" s="361">
        <v>1.397882618974202E-2</v>
      </c>
      <c r="I50" s="359"/>
      <c r="J50" s="360"/>
      <c r="K50" s="355"/>
    </row>
    <row r="51" spans="1:11" ht="16" thickBot="1">
      <c r="A51" s="355"/>
      <c r="B51" s="355"/>
      <c r="C51" s="355"/>
      <c r="D51" s="355"/>
      <c r="E51" s="355"/>
      <c r="G51" s="355"/>
      <c r="H51" s="355"/>
      <c r="I51" s="355"/>
      <c r="J51" s="355"/>
      <c r="K51" s="355"/>
    </row>
    <row r="52" spans="1:11" ht="30" thickBot="1">
      <c r="A52" s="362" t="s">
        <v>39</v>
      </c>
      <c r="B52" s="362" t="s">
        <v>38</v>
      </c>
      <c r="C52" s="362" t="s">
        <v>185</v>
      </c>
      <c r="D52" s="362" t="s">
        <v>37</v>
      </c>
      <c r="E52" s="363" t="s">
        <v>123</v>
      </c>
      <c r="G52" s="362" t="s">
        <v>39</v>
      </c>
      <c r="H52" s="362" t="s">
        <v>38</v>
      </c>
      <c r="I52" s="362" t="s">
        <v>185</v>
      </c>
      <c r="J52" s="362" t="s">
        <v>37</v>
      </c>
      <c r="K52" s="363" t="s">
        <v>123</v>
      </c>
    </row>
    <row r="53" spans="1:11">
      <c r="A53" s="364">
        <v>1</v>
      </c>
      <c r="B53" s="365">
        <v>543</v>
      </c>
      <c r="C53" s="366" t="s">
        <v>124</v>
      </c>
      <c r="D53" s="367" t="s">
        <v>124</v>
      </c>
      <c r="E53" s="368" t="s">
        <v>124</v>
      </c>
      <c r="G53" s="364">
        <v>1</v>
      </c>
      <c r="H53" s="365">
        <v>543</v>
      </c>
      <c r="I53" s="366" t="s">
        <v>124</v>
      </c>
      <c r="J53" s="367" t="s">
        <v>124</v>
      </c>
      <c r="K53" s="368" t="s">
        <v>124</v>
      </c>
    </row>
    <row r="54" spans="1:11">
      <c r="A54" s="369">
        <v>2</v>
      </c>
      <c r="B54" s="365">
        <v>528</v>
      </c>
      <c r="C54" s="370" t="s">
        <v>124</v>
      </c>
      <c r="D54" s="371" t="s">
        <v>124</v>
      </c>
      <c r="E54" s="372" t="s">
        <v>124</v>
      </c>
      <c r="G54" s="369">
        <v>2</v>
      </c>
      <c r="H54" s="365">
        <v>528</v>
      </c>
      <c r="I54" s="370" t="s">
        <v>124</v>
      </c>
      <c r="J54" s="371" t="s">
        <v>124</v>
      </c>
      <c r="K54" s="372" t="s">
        <v>124</v>
      </c>
    </row>
    <row r="55" spans="1:11">
      <c r="A55" s="369">
        <v>3</v>
      </c>
      <c r="B55" s="365">
        <v>531</v>
      </c>
      <c r="C55" s="370" t="s">
        <v>124</v>
      </c>
      <c r="D55" s="371" t="s">
        <v>124</v>
      </c>
      <c r="E55" s="372" t="s">
        <v>124</v>
      </c>
      <c r="G55" s="369">
        <v>3</v>
      </c>
      <c r="H55" s="365">
        <v>531</v>
      </c>
      <c r="I55" s="370" t="s">
        <v>124</v>
      </c>
      <c r="J55" s="371" t="s">
        <v>124</v>
      </c>
      <c r="K55" s="372" t="s">
        <v>124</v>
      </c>
    </row>
    <row r="56" spans="1:11">
      <c r="A56" s="369">
        <v>4</v>
      </c>
      <c r="B56" s="365">
        <v>542</v>
      </c>
      <c r="C56" s="370" t="s">
        <v>124</v>
      </c>
      <c r="D56" s="371" t="s">
        <v>124</v>
      </c>
      <c r="E56" s="372" t="s">
        <v>124</v>
      </c>
      <c r="G56" s="369">
        <v>4</v>
      </c>
      <c r="H56" s="365">
        <v>542</v>
      </c>
      <c r="I56" s="370" t="s">
        <v>124</v>
      </c>
      <c r="J56" s="371" t="s">
        <v>124</v>
      </c>
      <c r="K56" s="372" t="s">
        <v>124</v>
      </c>
    </row>
    <row r="57" spans="1:11">
      <c r="A57" s="369">
        <v>5</v>
      </c>
      <c r="B57" s="365">
        <v>558</v>
      </c>
      <c r="C57" s="370">
        <v>536</v>
      </c>
      <c r="D57" s="371">
        <v>22</v>
      </c>
      <c r="E57" s="372">
        <v>1</v>
      </c>
      <c r="G57" s="369">
        <v>5</v>
      </c>
      <c r="H57" s="365">
        <v>558</v>
      </c>
      <c r="I57" s="370" t="s">
        <v>124</v>
      </c>
      <c r="J57" s="371" t="s">
        <v>124</v>
      </c>
      <c r="K57" s="372" t="s">
        <v>124</v>
      </c>
    </row>
    <row r="58" spans="1:11">
      <c r="A58" s="369">
        <v>6</v>
      </c>
      <c r="B58" s="365">
        <v>545</v>
      </c>
      <c r="C58" s="370">
        <v>539.75</v>
      </c>
      <c r="D58" s="371">
        <v>5.25</v>
      </c>
      <c r="E58" s="372">
        <v>2</v>
      </c>
      <c r="G58" s="369">
        <v>6</v>
      </c>
      <c r="H58" s="365">
        <v>545</v>
      </c>
      <c r="I58" s="370" t="s">
        <v>124</v>
      </c>
      <c r="J58" s="371" t="s">
        <v>124</v>
      </c>
      <c r="K58" s="372" t="s">
        <v>124</v>
      </c>
    </row>
    <row r="59" spans="1:11">
      <c r="A59" s="369">
        <v>7</v>
      </c>
      <c r="B59" s="365">
        <v>543</v>
      </c>
      <c r="C59" s="370">
        <v>544</v>
      </c>
      <c r="D59" s="371">
        <v>-1</v>
      </c>
      <c r="E59" s="372">
        <v>2.7876106194690267</v>
      </c>
      <c r="G59" s="369">
        <v>7</v>
      </c>
      <c r="H59" s="365">
        <v>543</v>
      </c>
      <c r="I59" s="370">
        <v>541.16666666666663</v>
      </c>
      <c r="J59" s="371">
        <v>1.8333333333333712</v>
      </c>
      <c r="K59" s="372">
        <v>1</v>
      </c>
    </row>
    <row r="60" spans="1:11">
      <c r="A60" s="369">
        <v>8</v>
      </c>
      <c r="B60" s="365">
        <v>550</v>
      </c>
      <c r="C60" s="370">
        <v>547</v>
      </c>
      <c r="D60" s="371">
        <v>3</v>
      </c>
      <c r="E60" s="372">
        <v>3.7440000000000002</v>
      </c>
      <c r="G60" s="369">
        <v>8</v>
      </c>
      <c r="H60" s="365">
        <v>550</v>
      </c>
      <c r="I60" s="370">
        <v>541.16666666666663</v>
      </c>
      <c r="J60" s="371">
        <v>8.8333333333333712</v>
      </c>
      <c r="K60" s="372">
        <v>2</v>
      </c>
    </row>
    <row r="61" spans="1:11">
      <c r="A61" s="369">
        <v>9</v>
      </c>
      <c r="B61" s="365">
        <v>546</v>
      </c>
      <c r="C61" s="370">
        <v>549</v>
      </c>
      <c r="D61" s="371">
        <v>-3</v>
      </c>
      <c r="E61" s="372">
        <v>3.832116788321168</v>
      </c>
      <c r="G61" s="369">
        <v>9</v>
      </c>
      <c r="H61" s="365">
        <v>546</v>
      </c>
      <c r="I61" s="370">
        <v>544.83333333333337</v>
      </c>
      <c r="J61" s="371">
        <v>1.1666666666666288</v>
      </c>
      <c r="K61" s="372">
        <v>3</v>
      </c>
    </row>
    <row r="62" spans="1:11">
      <c r="A62" s="369">
        <v>10</v>
      </c>
      <c r="B62" s="365">
        <v>540</v>
      </c>
      <c r="C62" s="370">
        <v>546</v>
      </c>
      <c r="D62" s="371">
        <v>-6</v>
      </c>
      <c r="E62" s="372">
        <v>3.018633540372671</v>
      </c>
      <c r="G62" s="369">
        <v>10</v>
      </c>
      <c r="H62" s="365">
        <v>540</v>
      </c>
      <c r="I62" s="370">
        <v>547.33333333333337</v>
      </c>
      <c r="J62" s="371">
        <v>-7.3333333333333712</v>
      </c>
      <c r="K62" s="372">
        <v>0.93913043478260494</v>
      </c>
    </row>
    <row r="63" spans="1:11">
      <c r="A63" s="369">
        <v>11</v>
      </c>
      <c r="B63" s="365">
        <v>535</v>
      </c>
      <c r="C63" s="370">
        <v>544.75</v>
      </c>
      <c r="D63" s="371">
        <v>-9.75</v>
      </c>
      <c r="E63" s="372">
        <v>1.47</v>
      </c>
      <c r="G63" s="369">
        <v>11</v>
      </c>
      <c r="H63" s="365">
        <v>535</v>
      </c>
      <c r="I63" s="370">
        <v>547</v>
      </c>
      <c r="J63" s="371">
        <v>-12</v>
      </c>
      <c r="K63" s="372">
        <v>-1.2032085561497297</v>
      </c>
    </row>
    <row r="64" spans="1:11">
      <c r="A64" s="369">
        <v>12</v>
      </c>
      <c r="B64" s="365">
        <v>529</v>
      </c>
      <c r="C64" s="370">
        <v>542.75</v>
      </c>
      <c r="D64" s="371">
        <v>-13.75</v>
      </c>
      <c r="E64" s="372">
        <v>-0.40784313725490196</v>
      </c>
      <c r="G64" s="369">
        <v>12</v>
      </c>
      <c r="H64" s="365">
        <v>529</v>
      </c>
      <c r="I64" s="370">
        <v>543.16666666666663</v>
      </c>
      <c r="J64" s="371">
        <v>-14.166666666666629</v>
      </c>
      <c r="K64" s="372">
        <v>-2.8676470588235223</v>
      </c>
    </row>
    <row r="65" spans="1:11">
      <c r="A65" s="369">
        <v>13</v>
      </c>
      <c r="B65" s="373"/>
      <c r="C65" s="370">
        <v>537.5</v>
      </c>
      <c r="D65" s="371" t="s">
        <v>124</v>
      </c>
      <c r="E65" s="372" t="s">
        <v>124</v>
      </c>
      <c r="G65" s="369">
        <v>13</v>
      </c>
      <c r="H65" s="373"/>
      <c r="I65" s="370">
        <v>540.5</v>
      </c>
      <c r="J65" s="371" t="s">
        <v>124</v>
      </c>
      <c r="K65" s="372" t="s">
        <v>124</v>
      </c>
    </row>
  </sheetData>
  <mergeCells count="4">
    <mergeCell ref="A45:D45"/>
    <mergeCell ref="G45:J45"/>
    <mergeCell ref="A47:C47"/>
    <mergeCell ref="G47:I47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M44"/>
  <sheetViews>
    <sheetView workbookViewId="0">
      <selection activeCell="I11" sqref="I11:K11"/>
    </sheetView>
  </sheetViews>
  <sheetFormatPr baseColWidth="10" defaultColWidth="8.83203125" defaultRowHeight="15"/>
  <cols>
    <col min="4" max="4" width="10.6640625" customWidth="1"/>
    <col min="5" max="5" width="14.5" customWidth="1"/>
    <col min="7" max="7" width="14.6640625" customWidth="1"/>
    <col min="13" max="13" width="15.83203125" customWidth="1"/>
  </cols>
  <sheetData>
    <row r="1" spans="1:13">
      <c r="A1" s="233" t="s">
        <v>289</v>
      </c>
      <c r="B1" s="61"/>
      <c r="C1" s="61"/>
      <c r="D1" s="61"/>
      <c r="E1" s="61"/>
    </row>
    <row r="2" spans="1:13" ht="16" thickBot="1">
      <c r="A2" s="61"/>
      <c r="B2" s="61"/>
      <c r="C2" s="61"/>
      <c r="D2" s="61"/>
      <c r="E2" s="61"/>
    </row>
    <row r="3" spans="1:13" ht="16" thickBot="1">
      <c r="A3" s="232" t="s">
        <v>39</v>
      </c>
      <c r="B3" s="232" t="s">
        <v>38</v>
      </c>
      <c r="C3" s="232" t="s">
        <v>185</v>
      </c>
      <c r="D3" s="77" t="s">
        <v>37</v>
      </c>
      <c r="E3" s="77" t="s">
        <v>157</v>
      </c>
      <c r="F3" s="77" t="s">
        <v>107</v>
      </c>
      <c r="G3" s="77" t="s">
        <v>123</v>
      </c>
      <c r="I3" s="657" t="s">
        <v>144</v>
      </c>
      <c r="J3" s="658"/>
      <c r="K3" s="658"/>
      <c r="L3" s="658"/>
      <c r="M3" s="175"/>
    </row>
    <row r="4" spans="1:13" ht="16" thickBot="1">
      <c r="A4" s="5">
        <v>1</v>
      </c>
      <c r="B4" s="5">
        <v>355</v>
      </c>
      <c r="C4" s="5">
        <v>293</v>
      </c>
      <c r="D4" s="61">
        <f>B4-C4</f>
        <v>62</v>
      </c>
      <c r="E4" s="61">
        <f>ABS(D4)</f>
        <v>62</v>
      </c>
      <c r="F4">
        <f>SUM($E$4:E4)/COUNT($E$4:E4)</f>
        <v>62</v>
      </c>
      <c r="G4" s="537">
        <f>SUM($D$4:D4)/F4</f>
        <v>1</v>
      </c>
      <c r="I4" s="688" t="s">
        <v>145</v>
      </c>
      <c r="J4" s="689"/>
      <c r="K4" s="690"/>
      <c r="L4" s="206">
        <v>-5.8428571428571425</v>
      </c>
      <c r="M4" s="178"/>
    </row>
    <row r="5" spans="1:13" ht="16" thickBot="1">
      <c r="A5" s="5">
        <v>2</v>
      </c>
      <c r="B5" s="5">
        <v>329</v>
      </c>
      <c r="C5" s="5">
        <v>287.2</v>
      </c>
      <c r="D5" s="61">
        <f t="shared" ref="D5:D18" si="0">B5-C5</f>
        <v>41.800000000000011</v>
      </c>
      <c r="E5" s="61">
        <f t="shared" ref="E5:E18" si="1">ABS(D5)</f>
        <v>41.800000000000011</v>
      </c>
      <c r="F5">
        <f>SUM($E$4:E5)/COUNT($E$4:E5)</f>
        <v>51.900000000000006</v>
      </c>
      <c r="G5" s="537">
        <f>SUM($D$4:D5)/F5</f>
        <v>2</v>
      </c>
      <c r="I5" s="688" t="s">
        <v>146</v>
      </c>
      <c r="J5" s="689"/>
      <c r="K5" s="690"/>
      <c r="L5" s="206">
        <v>298.87619047619046</v>
      </c>
      <c r="M5" s="178"/>
    </row>
    <row r="6" spans="1:13" ht="16" thickBot="1">
      <c r="A6" s="5">
        <v>3</v>
      </c>
      <c r="B6" s="5">
        <v>215</v>
      </c>
      <c r="C6" s="5">
        <v>281.3</v>
      </c>
      <c r="D6" s="61">
        <f t="shared" si="0"/>
        <v>-66.300000000000011</v>
      </c>
      <c r="E6" s="61">
        <f t="shared" si="1"/>
        <v>66.300000000000011</v>
      </c>
      <c r="F6">
        <f>SUM($E$4:E6)/COUNT($E$4:E6)</f>
        <v>56.70000000000001</v>
      </c>
      <c r="G6" s="537">
        <f>SUM($D$4:D6)/F6</f>
        <v>0.66137566137566128</v>
      </c>
      <c r="I6" s="176"/>
      <c r="J6" s="177"/>
      <c r="K6" s="177"/>
      <c r="L6" s="177"/>
      <c r="M6" s="178"/>
    </row>
    <row r="7" spans="1:13" ht="16">
      <c r="A7" s="5">
        <v>4</v>
      </c>
      <c r="B7" s="5">
        <v>299</v>
      </c>
      <c r="C7" s="5">
        <v>275.5</v>
      </c>
      <c r="D7" s="61">
        <f t="shared" si="0"/>
        <v>23.5</v>
      </c>
      <c r="E7" s="61">
        <f t="shared" si="1"/>
        <v>23.5</v>
      </c>
      <c r="F7">
        <f>SUM($E$4:E7)/COUNT($E$4:E7)</f>
        <v>48.400000000000006</v>
      </c>
      <c r="G7" s="537">
        <f>SUM($D$4:D7)/F7</f>
        <v>1.2603305785123966</v>
      </c>
      <c r="I7" s="179" t="s">
        <v>121</v>
      </c>
      <c r="J7" s="162">
        <v>35.229841269841273</v>
      </c>
      <c r="K7" s="217" t="s">
        <v>147</v>
      </c>
      <c r="L7" s="207">
        <v>0.26576359975554803</v>
      </c>
      <c r="M7" s="178"/>
    </row>
    <row r="8" spans="1:13" ht="16" thickBot="1">
      <c r="A8" s="5">
        <v>5</v>
      </c>
      <c r="B8" s="5">
        <v>262</v>
      </c>
      <c r="C8" s="5">
        <v>269.7</v>
      </c>
      <c r="D8" s="61">
        <f t="shared" si="0"/>
        <v>-7.6999999999999886</v>
      </c>
      <c r="E8" s="61">
        <f t="shared" si="1"/>
        <v>7.6999999999999886</v>
      </c>
      <c r="F8">
        <f>SUM($E$4:E8)/COUNT($E$4:E8)</f>
        <v>40.260000000000005</v>
      </c>
      <c r="G8" s="537">
        <f>SUM($D$4:D8)/F8</f>
        <v>1.3238946845504225</v>
      </c>
      <c r="I8" s="179" t="s">
        <v>122</v>
      </c>
      <c r="J8" s="163">
        <v>0.1397270277756793</v>
      </c>
      <c r="K8" s="217" t="s">
        <v>148</v>
      </c>
      <c r="L8" s="208">
        <v>1.8496265653315136E-2</v>
      </c>
      <c r="M8" s="178"/>
    </row>
    <row r="9" spans="1:13" ht="16" thickBot="1">
      <c r="A9" s="5">
        <v>6</v>
      </c>
      <c r="B9" s="5">
        <v>248</v>
      </c>
      <c r="C9" s="5">
        <v>263.8</v>
      </c>
      <c r="D9" s="61">
        <f t="shared" si="0"/>
        <v>-15.800000000000011</v>
      </c>
      <c r="E9" s="61">
        <f>ABS(D9)</f>
        <v>15.800000000000011</v>
      </c>
      <c r="F9">
        <f>SUM($E$4:E9)/COUNT($E$4:E9)</f>
        <v>36.183333333333337</v>
      </c>
      <c r="G9" s="537">
        <f>SUM($D$4:D9)/F9</f>
        <v>1.0363887609396589</v>
      </c>
      <c r="I9" s="179"/>
      <c r="J9" s="209"/>
      <c r="K9" s="217"/>
      <c r="L9" s="210"/>
      <c r="M9" s="178"/>
    </row>
    <row r="10" spans="1:13" ht="16" thickBot="1">
      <c r="A10" s="5">
        <v>7</v>
      </c>
      <c r="B10" s="5">
        <v>186</v>
      </c>
      <c r="C10" s="5">
        <v>258</v>
      </c>
      <c r="D10" s="61">
        <f t="shared" si="0"/>
        <v>-72</v>
      </c>
      <c r="E10" s="61">
        <f t="shared" si="1"/>
        <v>72</v>
      </c>
      <c r="F10">
        <f>SUM($E$4:E10)/COUNT($E$4:E10)</f>
        <v>41.300000000000004</v>
      </c>
      <c r="G10" s="537">
        <f>SUM($D$4:D10)/F10</f>
        <v>-0.83535108958837767</v>
      </c>
      <c r="I10" s="659" t="s">
        <v>149</v>
      </c>
      <c r="J10" s="660"/>
      <c r="K10" s="691"/>
      <c r="L10" s="211">
        <v>16</v>
      </c>
      <c r="M10" s="178"/>
    </row>
    <row r="11" spans="1:13" ht="16" thickBot="1">
      <c r="A11" s="5">
        <v>8</v>
      </c>
      <c r="B11" s="5">
        <v>192</v>
      </c>
      <c r="C11" s="5">
        <v>252.1</v>
      </c>
      <c r="D11" s="61">
        <f t="shared" si="0"/>
        <v>-60.099999999999994</v>
      </c>
      <c r="E11" s="61">
        <f t="shared" si="1"/>
        <v>60.099999999999994</v>
      </c>
      <c r="F11">
        <f>SUM($E$4:E11)/COUNT($E$4:E11)</f>
        <v>43.650000000000006</v>
      </c>
      <c r="G11" s="537">
        <f>SUM($D$4:D11)/F11</f>
        <v>-2.1672394043528058</v>
      </c>
      <c r="I11" s="659" t="str">
        <f xml:space="preserve"> "Prediction of period " &amp; L10 &amp; " ="</f>
        <v>Prediction of period 16 =</v>
      </c>
      <c r="J11" s="660"/>
      <c r="K11" s="660"/>
      <c r="L11" s="212">
        <v>205.39047619047619</v>
      </c>
      <c r="M11" s="178"/>
    </row>
    <row r="12" spans="1:13" ht="16" thickBot="1">
      <c r="A12" s="5">
        <v>9</v>
      </c>
      <c r="B12" s="5">
        <v>221</v>
      </c>
      <c r="C12" s="5">
        <v>246.3</v>
      </c>
      <c r="D12" s="61">
        <f t="shared" si="0"/>
        <v>-25.300000000000011</v>
      </c>
      <c r="E12" s="61">
        <f t="shared" si="1"/>
        <v>25.300000000000011</v>
      </c>
      <c r="F12">
        <f>SUM($E$4:E12)/COUNT($E$4:E12)</f>
        <v>41.611111111111114</v>
      </c>
      <c r="G12" s="537">
        <f>SUM($D$4:D12)/F12</f>
        <v>-2.8814419225634178</v>
      </c>
      <c r="I12" s="176"/>
      <c r="J12" s="177"/>
      <c r="K12" s="177"/>
      <c r="L12" s="177"/>
      <c r="M12" s="178"/>
    </row>
    <row r="13" spans="1:13" ht="15.75" customHeight="1" thickBot="1">
      <c r="A13" s="5">
        <v>10</v>
      </c>
      <c r="B13" s="5">
        <v>281</v>
      </c>
      <c r="C13" s="5">
        <v>240.4</v>
      </c>
      <c r="D13" s="61">
        <f t="shared" si="0"/>
        <v>40.599999999999994</v>
      </c>
      <c r="E13" s="61">
        <f t="shared" si="1"/>
        <v>40.599999999999994</v>
      </c>
      <c r="F13">
        <f>SUM($E$4:E13)/COUNT($E$4:E13)</f>
        <v>41.510000000000005</v>
      </c>
      <c r="G13" s="537">
        <f>SUM($D$4:D13)/F13</f>
        <v>-1.9103830402312696</v>
      </c>
      <c r="I13" s="164" t="s">
        <v>39</v>
      </c>
      <c r="J13" s="164" t="s">
        <v>38</v>
      </c>
      <c r="K13" s="164" t="s">
        <v>185</v>
      </c>
      <c r="L13" s="164" t="s">
        <v>37</v>
      </c>
      <c r="M13" s="165" t="s">
        <v>123</v>
      </c>
    </row>
    <row r="14" spans="1:13">
      <c r="A14" s="5">
        <v>11</v>
      </c>
      <c r="B14" s="5">
        <v>294</v>
      </c>
      <c r="C14" s="5">
        <v>234.6</v>
      </c>
      <c r="D14" s="61">
        <f t="shared" si="0"/>
        <v>59.400000000000006</v>
      </c>
      <c r="E14" s="61">
        <f t="shared" si="1"/>
        <v>59.400000000000006</v>
      </c>
      <c r="F14">
        <f>SUM($E$4:E14)/COUNT($E$4:E14)</f>
        <v>43.136363636363633</v>
      </c>
      <c r="G14" s="537">
        <f>SUM($D$4:D14)/F14</f>
        <v>-0.46132771338250805</v>
      </c>
      <c r="I14" s="166">
        <v>1</v>
      </c>
      <c r="J14" s="200">
        <v>355</v>
      </c>
      <c r="K14" s="168">
        <v>293.0333333333333</v>
      </c>
      <c r="L14" s="194">
        <v>61.966666666666697</v>
      </c>
      <c r="M14" s="213">
        <v>1</v>
      </c>
    </row>
    <row r="15" spans="1:13">
      <c r="A15" s="5">
        <v>12</v>
      </c>
      <c r="B15" s="5">
        <v>255</v>
      </c>
      <c r="C15" s="5">
        <v>228.8</v>
      </c>
      <c r="D15" s="61">
        <f t="shared" si="0"/>
        <v>26.199999999999989</v>
      </c>
      <c r="E15" s="61">
        <f t="shared" si="1"/>
        <v>26.199999999999989</v>
      </c>
      <c r="F15">
        <f>SUM($E$4:E15)/COUNT($E$4:E15)</f>
        <v>41.725000000000001</v>
      </c>
      <c r="G15" s="537">
        <f>SUM($D$4:D15)/F15</f>
        <v>0.15098861593768684</v>
      </c>
      <c r="I15" s="171">
        <v>2</v>
      </c>
      <c r="J15" s="167">
        <v>329</v>
      </c>
      <c r="K15" s="172">
        <v>287.19047619047615</v>
      </c>
      <c r="L15" s="195">
        <v>41.809523809523853</v>
      </c>
      <c r="M15" s="214">
        <v>2</v>
      </c>
    </row>
    <row r="16" spans="1:13">
      <c r="A16" s="5">
        <v>13</v>
      </c>
      <c r="B16" s="5">
        <v>215</v>
      </c>
      <c r="C16" s="5">
        <v>222.9</v>
      </c>
      <c r="D16" s="61">
        <f t="shared" si="0"/>
        <v>-7.9000000000000057</v>
      </c>
      <c r="E16" s="61">
        <f t="shared" si="1"/>
        <v>7.9000000000000057</v>
      </c>
      <c r="F16">
        <f>SUM($E$4:E16)/COUNT($E$4:E16)</f>
        <v>39.123076923076923</v>
      </c>
      <c r="G16" s="537">
        <f>SUM($D$4:D16)/F16</f>
        <v>-4.0896578843885756E-2</v>
      </c>
      <c r="I16" s="171">
        <v>3</v>
      </c>
      <c r="J16" s="167">
        <v>215</v>
      </c>
      <c r="K16" s="172">
        <v>281.34761904761905</v>
      </c>
      <c r="L16" s="195">
        <v>-66.347619047619048</v>
      </c>
      <c r="M16" s="214">
        <v>0.66002351228797063</v>
      </c>
    </row>
    <row r="17" spans="1:13">
      <c r="A17" s="5">
        <v>14</v>
      </c>
      <c r="B17" s="5">
        <v>208</v>
      </c>
      <c r="C17" s="5">
        <v>217.1</v>
      </c>
      <c r="D17" s="61">
        <f t="shared" si="0"/>
        <v>-9.0999999999999943</v>
      </c>
      <c r="E17" s="61">
        <f t="shared" si="1"/>
        <v>9.0999999999999943</v>
      </c>
      <c r="F17">
        <f>SUM($E$4:E17)/COUNT($E$4:E17)</f>
        <v>36.978571428571435</v>
      </c>
      <c r="G17" s="537">
        <f>SUM($D$4:D17)/F17</f>
        <v>-0.28935677033030754</v>
      </c>
      <c r="I17" s="171">
        <v>4</v>
      </c>
      <c r="J17" s="167">
        <v>299</v>
      </c>
      <c r="K17" s="172">
        <v>275.50476190476189</v>
      </c>
      <c r="L17" s="195">
        <v>23.495238095238108</v>
      </c>
      <c r="M17" s="214">
        <v>1.2586325627152004</v>
      </c>
    </row>
    <row r="18" spans="1:13">
      <c r="A18" s="5">
        <v>15</v>
      </c>
      <c r="B18" s="5">
        <v>222</v>
      </c>
      <c r="C18" s="5">
        <v>211.2</v>
      </c>
      <c r="D18" s="61">
        <f t="shared" si="0"/>
        <v>10.800000000000011</v>
      </c>
      <c r="E18" s="61">
        <f t="shared" si="1"/>
        <v>10.800000000000011</v>
      </c>
      <c r="F18">
        <f>SUM($E$4:E18)/COUNT($E$4:E18)</f>
        <v>35.233333333333334</v>
      </c>
      <c r="G18" s="537">
        <f>SUM($D$4:D18)/F18</f>
        <v>2.8382213812675776E-3</v>
      </c>
      <c r="I18" s="171">
        <v>5</v>
      </c>
      <c r="J18" s="167">
        <v>262</v>
      </c>
      <c r="K18" s="172">
        <v>269.66190476190474</v>
      </c>
      <c r="L18" s="195">
        <v>-7.6619047619047365</v>
      </c>
      <c r="M18" s="214">
        <v>1.3230736473538549</v>
      </c>
    </row>
    <row r="19" spans="1:13">
      <c r="A19" s="61"/>
      <c r="B19" s="61"/>
      <c r="C19" s="61"/>
      <c r="D19" s="61"/>
      <c r="E19" s="61"/>
      <c r="I19" s="171">
        <v>6</v>
      </c>
      <c r="J19" s="167">
        <v>248</v>
      </c>
      <c r="K19" s="172">
        <v>263.81904761904758</v>
      </c>
      <c r="L19" s="195">
        <v>-15.819047619047581</v>
      </c>
      <c r="M19" s="214">
        <v>1.0348095018753742</v>
      </c>
    </row>
    <row r="20" spans="1:13">
      <c r="A20" t="s">
        <v>158</v>
      </c>
      <c r="B20">
        <f>SUM(B4:B18)</f>
        <v>3782</v>
      </c>
      <c r="D20" s="11"/>
      <c r="E20">
        <f>SUM(E4:E18)</f>
        <v>528.5</v>
      </c>
      <c r="I20" s="171">
        <v>7</v>
      </c>
      <c r="J20" s="167">
        <v>186</v>
      </c>
      <c r="K20" s="172">
        <v>257.97619047619048</v>
      </c>
      <c r="L20" s="195">
        <v>-71.976190476190482</v>
      </c>
      <c r="M20" s="214">
        <v>-0.83622706157545845</v>
      </c>
    </row>
    <row r="21" spans="1:13">
      <c r="I21" s="171">
        <v>8</v>
      </c>
      <c r="J21" s="167">
        <v>192</v>
      </c>
      <c r="K21" s="172">
        <v>252.13333333333333</v>
      </c>
      <c r="L21" s="195">
        <v>-60.133333333333326</v>
      </c>
      <c r="M21" s="214">
        <v>-2.168707557204022</v>
      </c>
    </row>
    <row r="22" spans="1:13">
      <c r="I22" s="171">
        <v>9</v>
      </c>
      <c r="J22" s="167">
        <v>221</v>
      </c>
      <c r="K22" s="172">
        <v>246.29047619047617</v>
      </c>
      <c r="L22" s="195">
        <v>-25.29047619047617</v>
      </c>
      <c r="M22" s="214">
        <v>-2.8828151821476209</v>
      </c>
    </row>
    <row r="23" spans="1:13">
      <c r="B23" s="325" t="s">
        <v>27</v>
      </c>
      <c r="C23" t="s">
        <v>107</v>
      </c>
      <c r="D23" s="550">
        <f>E20/15</f>
        <v>35.233333333333334</v>
      </c>
      <c r="I23" s="171">
        <v>10</v>
      </c>
      <c r="J23" s="167">
        <v>281</v>
      </c>
      <c r="K23" s="172">
        <v>240.44761904761904</v>
      </c>
      <c r="L23" s="195">
        <v>40.552380952380958</v>
      </c>
      <c r="M23" s="214">
        <v>-1.9131262835442413</v>
      </c>
    </row>
    <row r="24" spans="1:13">
      <c r="C24" t="s">
        <v>111</v>
      </c>
      <c r="D24" s="582">
        <f>E20/B20</f>
        <v>0.13974087784241143</v>
      </c>
      <c r="I24" s="171">
        <v>11</v>
      </c>
      <c r="J24" s="167">
        <v>294</v>
      </c>
      <c r="K24" s="172">
        <v>234.60476190476189</v>
      </c>
      <c r="L24" s="195">
        <v>59.395238095238113</v>
      </c>
      <c r="M24" s="214">
        <v>-0.46391793965914785</v>
      </c>
    </row>
    <row r="25" spans="1:13">
      <c r="I25" s="171">
        <v>12</v>
      </c>
      <c r="J25" s="167">
        <v>255</v>
      </c>
      <c r="K25" s="172">
        <v>228.76190476190476</v>
      </c>
      <c r="L25" s="195">
        <v>26.238095238095241</v>
      </c>
      <c r="M25" s="214">
        <v>0.14928098607624304</v>
      </c>
    </row>
    <row r="26" spans="1:13">
      <c r="B26" s="325" t="s">
        <v>20</v>
      </c>
      <c r="C26" t="s">
        <v>159</v>
      </c>
      <c r="I26" s="171">
        <v>13</v>
      </c>
      <c r="J26" s="167">
        <v>215</v>
      </c>
      <c r="K26" s="172">
        <v>222.9190476190476</v>
      </c>
      <c r="L26" s="195">
        <v>-7.9190476190476033</v>
      </c>
      <c r="M26" s="214">
        <v>-4.3208778450845121E-2</v>
      </c>
    </row>
    <row r="27" spans="1:13">
      <c r="I27" s="171">
        <v>14</v>
      </c>
      <c r="J27" s="167">
        <v>208</v>
      </c>
      <c r="K27" s="172">
        <v>217.07619047619045</v>
      </c>
      <c r="L27" s="195">
        <v>-9.0761904761904475</v>
      </c>
      <c r="M27" s="214">
        <v>-0.29117032921545061</v>
      </c>
    </row>
    <row r="28" spans="1:13" ht="16" thickBot="1">
      <c r="A28" s="325" t="s">
        <v>325</v>
      </c>
      <c r="I28" s="182">
        <v>15</v>
      </c>
      <c r="J28" s="183">
        <v>222</v>
      </c>
      <c r="K28" s="184">
        <v>211.23333333333332</v>
      </c>
      <c r="L28" s="198">
        <v>10.76666666666668</v>
      </c>
      <c r="M28" s="218">
        <v>7.2607589376966992E-15</v>
      </c>
    </row>
    <row r="29" spans="1:13">
      <c r="A29" s="232" t="s">
        <v>39</v>
      </c>
      <c r="B29" s="232" t="s">
        <v>38</v>
      </c>
      <c r="C29" s="253" t="s">
        <v>2</v>
      </c>
      <c r="D29" s="77" t="s">
        <v>37</v>
      </c>
      <c r="E29" s="77" t="s">
        <v>157</v>
      </c>
      <c r="F29" s="77" t="s">
        <v>107</v>
      </c>
      <c r="G29" s="77" t="s">
        <v>123</v>
      </c>
    </row>
    <row r="30" spans="1:13">
      <c r="A30" s="5">
        <v>1</v>
      </c>
      <c r="B30" s="5">
        <v>355</v>
      </c>
      <c r="C30" s="537"/>
      <c r="G30" s="537"/>
    </row>
    <row r="31" spans="1:13">
      <c r="A31" s="5">
        <v>2</v>
      </c>
      <c r="B31" s="5">
        <v>329</v>
      </c>
      <c r="C31" s="537">
        <f>B30</f>
        <v>355</v>
      </c>
      <c r="D31">
        <f>B31-C31</f>
        <v>-26</v>
      </c>
      <c r="E31">
        <f>ABS(D31)</f>
        <v>26</v>
      </c>
      <c r="F31">
        <f>SUM($E$31:E31)/COUNT($E$31:E31)</f>
        <v>26</v>
      </c>
      <c r="G31" s="537">
        <f>SUM($D$31:D31)/F31</f>
        <v>-1</v>
      </c>
    </row>
    <row r="32" spans="1:13">
      <c r="A32" s="5">
        <v>3</v>
      </c>
      <c r="B32" s="5">
        <v>215</v>
      </c>
      <c r="C32" s="537">
        <f t="shared" ref="C32:C44" si="2">B31</f>
        <v>329</v>
      </c>
      <c r="D32">
        <f t="shared" ref="D32:D43" si="3">B32-C32</f>
        <v>-114</v>
      </c>
      <c r="E32">
        <f t="shared" ref="E32:E44" si="4">ABS(D32)</f>
        <v>114</v>
      </c>
      <c r="F32">
        <f>SUM($E$31:E32)/COUNT($E$31:E32)</f>
        <v>70</v>
      </c>
      <c r="G32" s="537">
        <f>SUM($D$31:D32)/F32</f>
        <v>-2</v>
      </c>
    </row>
    <row r="33" spans="1:7">
      <c r="A33" s="5">
        <v>4</v>
      </c>
      <c r="B33" s="5">
        <v>299</v>
      </c>
      <c r="C33" s="537">
        <f t="shared" si="2"/>
        <v>215</v>
      </c>
      <c r="D33">
        <f t="shared" si="3"/>
        <v>84</v>
      </c>
      <c r="E33">
        <f t="shared" si="4"/>
        <v>84</v>
      </c>
      <c r="F33">
        <f>SUM($E$31:E33)/COUNT($E$31:E33)</f>
        <v>74.666666666666671</v>
      </c>
      <c r="G33" s="537">
        <f>SUM($D$31:D33)/F33</f>
        <v>-0.75</v>
      </c>
    </row>
    <row r="34" spans="1:7">
      <c r="A34" s="5">
        <v>5</v>
      </c>
      <c r="B34" s="5">
        <v>262</v>
      </c>
      <c r="C34" s="537">
        <f t="shared" si="2"/>
        <v>299</v>
      </c>
      <c r="D34">
        <f t="shared" si="3"/>
        <v>-37</v>
      </c>
      <c r="E34">
        <f t="shared" si="4"/>
        <v>37</v>
      </c>
      <c r="F34">
        <f>SUM($E$31:E34)/COUNT($E$31:E34)</f>
        <v>65.25</v>
      </c>
      <c r="G34" s="537">
        <f>SUM($D$31:D34)/F34</f>
        <v>-1.4252873563218391</v>
      </c>
    </row>
    <row r="35" spans="1:7">
      <c r="A35" s="5">
        <v>6</v>
      </c>
      <c r="B35" s="5">
        <v>248</v>
      </c>
      <c r="C35" s="537">
        <f t="shared" si="2"/>
        <v>262</v>
      </c>
      <c r="D35">
        <f t="shared" si="3"/>
        <v>-14</v>
      </c>
      <c r="E35">
        <f t="shared" si="4"/>
        <v>14</v>
      </c>
      <c r="F35">
        <f>SUM($E$31:E35)/COUNT($E$31:E35)</f>
        <v>55</v>
      </c>
      <c r="G35" s="537">
        <f>SUM($D$31:D35)/F35</f>
        <v>-1.9454545454545455</v>
      </c>
    </row>
    <row r="36" spans="1:7">
      <c r="A36" s="5">
        <v>7</v>
      </c>
      <c r="B36" s="5">
        <v>186</v>
      </c>
      <c r="C36" s="537">
        <f t="shared" si="2"/>
        <v>248</v>
      </c>
      <c r="D36">
        <f t="shared" si="3"/>
        <v>-62</v>
      </c>
      <c r="E36">
        <f t="shared" si="4"/>
        <v>62</v>
      </c>
      <c r="F36">
        <f>SUM($E$31:E36)/COUNT($E$31:E36)</f>
        <v>56.166666666666664</v>
      </c>
      <c r="G36" s="537">
        <f>SUM($D$31:D36)/F36</f>
        <v>-3.0089020771513355</v>
      </c>
    </row>
    <row r="37" spans="1:7">
      <c r="A37" s="5">
        <v>8</v>
      </c>
      <c r="B37" s="5">
        <v>192</v>
      </c>
      <c r="C37" s="537">
        <f t="shared" si="2"/>
        <v>186</v>
      </c>
      <c r="D37">
        <f t="shared" si="3"/>
        <v>6</v>
      </c>
      <c r="E37">
        <f t="shared" si="4"/>
        <v>6</v>
      </c>
      <c r="F37">
        <f>SUM($E$31:E37)/COUNT($E$31:E37)</f>
        <v>49</v>
      </c>
      <c r="G37" s="537">
        <f>SUM($D$31:D37)/F37</f>
        <v>-3.3265306122448979</v>
      </c>
    </row>
    <row r="38" spans="1:7">
      <c r="A38" s="5">
        <v>9</v>
      </c>
      <c r="B38" s="5">
        <v>221</v>
      </c>
      <c r="C38" s="537">
        <f t="shared" si="2"/>
        <v>192</v>
      </c>
      <c r="D38">
        <f t="shared" si="3"/>
        <v>29</v>
      </c>
      <c r="E38">
        <f t="shared" si="4"/>
        <v>29</v>
      </c>
      <c r="F38">
        <f>SUM($E$31:E38)/COUNT($E$31:E38)</f>
        <v>46.5</v>
      </c>
      <c r="G38" s="537">
        <f>SUM($D$31:D38)/F38</f>
        <v>-2.881720430107527</v>
      </c>
    </row>
    <row r="39" spans="1:7">
      <c r="A39" s="5">
        <v>10</v>
      </c>
      <c r="B39" s="5">
        <v>281</v>
      </c>
      <c r="C39" s="537">
        <f t="shared" si="2"/>
        <v>221</v>
      </c>
      <c r="D39">
        <f t="shared" si="3"/>
        <v>60</v>
      </c>
      <c r="E39">
        <f t="shared" si="4"/>
        <v>60</v>
      </c>
      <c r="F39">
        <f>SUM($E$31:E39)/COUNT($E$31:E39)</f>
        <v>48</v>
      </c>
      <c r="G39" s="537">
        <f>SUM($D$31:D39)/F39</f>
        <v>-1.5416666666666667</v>
      </c>
    </row>
    <row r="40" spans="1:7">
      <c r="A40" s="5">
        <v>11</v>
      </c>
      <c r="B40" s="5">
        <v>294</v>
      </c>
      <c r="C40" s="537">
        <f t="shared" si="2"/>
        <v>281</v>
      </c>
      <c r="D40">
        <f t="shared" si="3"/>
        <v>13</v>
      </c>
      <c r="E40">
        <f t="shared" si="4"/>
        <v>13</v>
      </c>
      <c r="F40">
        <f>SUM($E$31:E40)/COUNT($E$31:E40)</f>
        <v>44.5</v>
      </c>
      <c r="G40" s="537">
        <f>SUM($D$31:D40)/F40</f>
        <v>-1.3707865168539326</v>
      </c>
    </row>
    <row r="41" spans="1:7">
      <c r="A41" s="5">
        <v>12</v>
      </c>
      <c r="B41" s="5">
        <v>255</v>
      </c>
      <c r="C41" s="537">
        <f t="shared" si="2"/>
        <v>294</v>
      </c>
      <c r="D41">
        <f t="shared" si="3"/>
        <v>-39</v>
      </c>
      <c r="E41">
        <f t="shared" si="4"/>
        <v>39</v>
      </c>
      <c r="F41">
        <f>SUM($E$31:E41)/COUNT($E$31:E41)</f>
        <v>44</v>
      </c>
      <c r="G41" s="537">
        <f>SUM($D$31:D41)/F41</f>
        <v>-2.2727272727272729</v>
      </c>
    </row>
    <row r="42" spans="1:7">
      <c r="A42" s="5">
        <v>13</v>
      </c>
      <c r="B42" s="5">
        <v>215</v>
      </c>
      <c r="C42" s="537">
        <f t="shared" si="2"/>
        <v>255</v>
      </c>
      <c r="D42">
        <f t="shared" si="3"/>
        <v>-40</v>
      </c>
      <c r="E42">
        <f t="shared" si="4"/>
        <v>40</v>
      </c>
      <c r="F42">
        <f>SUM($E$31:E42)/COUNT($E$31:E42)</f>
        <v>43.666666666666664</v>
      </c>
      <c r="G42" s="537">
        <f>SUM($D$31:D42)/F42</f>
        <v>-3.2061068702290076</v>
      </c>
    </row>
    <row r="43" spans="1:7">
      <c r="A43" s="5">
        <v>14</v>
      </c>
      <c r="B43" s="5">
        <v>208</v>
      </c>
      <c r="C43" s="537">
        <f t="shared" si="2"/>
        <v>215</v>
      </c>
      <c r="D43">
        <f t="shared" si="3"/>
        <v>-7</v>
      </c>
      <c r="E43">
        <f t="shared" si="4"/>
        <v>7</v>
      </c>
      <c r="F43">
        <f>SUM($E$31:E43)/COUNT($E$31:E43)</f>
        <v>40.846153846153847</v>
      </c>
      <c r="G43" s="537">
        <f>SUM($D$31:D43)/F43</f>
        <v>-3.5988700564971752</v>
      </c>
    </row>
    <row r="44" spans="1:7">
      <c r="A44" s="5">
        <v>15</v>
      </c>
      <c r="B44" s="5">
        <v>222</v>
      </c>
      <c r="C44" s="537">
        <f t="shared" si="2"/>
        <v>208</v>
      </c>
      <c r="D44">
        <f>B44-C44</f>
        <v>14</v>
      </c>
      <c r="E44">
        <f t="shared" si="4"/>
        <v>14</v>
      </c>
      <c r="F44">
        <f>SUM($E$31:E44)/COUNT($E$31:E44)</f>
        <v>38.928571428571431</v>
      </c>
      <c r="G44" s="537">
        <f>SUM($D$31:D44)/F44</f>
        <v>-3.4165137614678898</v>
      </c>
    </row>
  </sheetData>
  <mergeCells count="5">
    <mergeCell ref="I3:L3"/>
    <mergeCell ref="I4:K4"/>
    <mergeCell ref="I5:K5"/>
    <mergeCell ref="I10:K10"/>
    <mergeCell ref="I11:K11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V57"/>
  <sheetViews>
    <sheetView topLeftCell="L14" workbookViewId="0">
      <selection activeCell="T28" sqref="T28"/>
    </sheetView>
  </sheetViews>
  <sheetFormatPr baseColWidth="10" defaultColWidth="8.83203125" defaultRowHeight="15"/>
  <cols>
    <col min="1" max="1" width="13.1640625" style="8" customWidth="1"/>
    <col min="2" max="2" width="11.6640625" style="8" bestFit="1" customWidth="1"/>
    <col min="3" max="3" width="11.5" style="583" customWidth="1"/>
    <col min="4" max="9" width="9.1640625" style="583"/>
    <col min="10" max="13" width="9.1640625" style="8"/>
    <col min="14" max="14" width="10.6640625" style="8" customWidth="1"/>
    <col min="15" max="21" width="9.1640625" style="8"/>
    <col min="22" max="22" width="15.33203125" style="8" customWidth="1"/>
    <col min="23" max="262" width="9.1640625" style="8"/>
    <col min="263" max="263" width="13.1640625" style="8" customWidth="1"/>
    <col min="264" max="264" width="11.6640625" style="8" bestFit="1" customWidth="1"/>
    <col min="265" max="518" width="9.1640625" style="8"/>
    <col min="519" max="519" width="13.1640625" style="8" customWidth="1"/>
    <col min="520" max="520" width="11.6640625" style="8" bestFit="1" customWidth="1"/>
    <col min="521" max="774" width="9.1640625" style="8"/>
    <col min="775" max="775" width="13.1640625" style="8" customWidth="1"/>
    <col min="776" max="776" width="11.6640625" style="8" bestFit="1" customWidth="1"/>
    <col min="777" max="1030" width="9.1640625" style="8"/>
    <col min="1031" max="1031" width="13.1640625" style="8" customWidth="1"/>
    <col min="1032" max="1032" width="11.6640625" style="8" bestFit="1" customWidth="1"/>
    <col min="1033" max="1286" width="9.1640625" style="8"/>
    <col min="1287" max="1287" width="13.1640625" style="8" customWidth="1"/>
    <col min="1288" max="1288" width="11.6640625" style="8" bestFit="1" customWidth="1"/>
    <col min="1289" max="1542" width="9.1640625" style="8"/>
    <col min="1543" max="1543" width="13.1640625" style="8" customWidth="1"/>
    <col min="1544" max="1544" width="11.6640625" style="8" bestFit="1" customWidth="1"/>
    <col min="1545" max="1798" width="9.1640625" style="8"/>
    <col min="1799" max="1799" width="13.1640625" style="8" customWidth="1"/>
    <col min="1800" max="1800" width="11.6640625" style="8" bestFit="1" customWidth="1"/>
    <col min="1801" max="2054" width="9.1640625" style="8"/>
    <col min="2055" max="2055" width="13.1640625" style="8" customWidth="1"/>
    <col min="2056" max="2056" width="11.6640625" style="8" bestFit="1" customWidth="1"/>
    <col min="2057" max="2310" width="9.1640625" style="8"/>
    <col min="2311" max="2311" width="13.1640625" style="8" customWidth="1"/>
    <col min="2312" max="2312" width="11.6640625" style="8" bestFit="1" customWidth="1"/>
    <col min="2313" max="2566" width="9.1640625" style="8"/>
    <col min="2567" max="2567" width="13.1640625" style="8" customWidth="1"/>
    <col min="2568" max="2568" width="11.6640625" style="8" bestFit="1" customWidth="1"/>
    <col min="2569" max="2822" width="9.1640625" style="8"/>
    <col min="2823" max="2823" width="13.1640625" style="8" customWidth="1"/>
    <col min="2824" max="2824" width="11.6640625" style="8" bestFit="1" customWidth="1"/>
    <col min="2825" max="3078" width="9.1640625" style="8"/>
    <col min="3079" max="3079" width="13.1640625" style="8" customWidth="1"/>
    <col min="3080" max="3080" width="11.6640625" style="8" bestFit="1" customWidth="1"/>
    <col min="3081" max="3334" width="9.1640625" style="8"/>
    <col min="3335" max="3335" width="13.1640625" style="8" customWidth="1"/>
    <col min="3336" max="3336" width="11.6640625" style="8" bestFit="1" customWidth="1"/>
    <col min="3337" max="3590" width="9.1640625" style="8"/>
    <col min="3591" max="3591" width="13.1640625" style="8" customWidth="1"/>
    <col min="3592" max="3592" width="11.6640625" style="8" bestFit="1" customWidth="1"/>
    <col min="3593" max="3846" width="9.1640625" style="8"/>
    <col min="3847" max="3847" width="13.1640625" style="8" customWidth="1"/>
    <col min="3848" max="3848" width="11.6640625" style="8" bestFit="1" customWidth="1"/>
    <col min="3849" max="4102" width="9.1640625" style="8"/>
    <col min="4103" max="4103" width="13.1640625" style="8" customWidth="1"/>
    <col min="4104" max="4104" width="11.6640625" style="8" bestFit="1" customWidth="1"/>
    <col min="4105" max="4358" width="9.1640625" style="8"/>
    <col min="4359" max="4359" width="13.1640625" style="8" customWidth="1"/>
    <col min="4360" max="4360" width="11.6640625" style="8" bestFit="1" customWidth="1"/>
    <col min="4361" max="4614" width="9.1640625" style="8"/>
    <col min="4615" max="4615" width="13.1640625" style="8" customWidth="1"/>
    <col min="4616" max="4616" width="11.6640625" style="8" bestFit="1" customWidth="1"/>
    <col min="4617" max="4870" width="9.1640625" style="8"/>
    <col min="4871" max="4871" width="13.1640625" style="8" customWidth="1"/>
    <col min="4872" max="4872" width="11.6640625" style="8" bestFit="1" customWidth="1"/>
    <col min="4873" max="5126" width="9.1640625" style="8"/>
    <col min="5127" max="5127" width="13.1640625" style="8" customWidth="1"/>
    <col min="5128" max="5128" width="11.6640625" style="8" bestFit="1" customWidth="1"/>
    <col min="5129" max="5382" width="9.1640625" style="8"/>
    <col min="5383" max="5383" width="13.1640625" style="8" customWidth="1"/>
    <col min="5384" max="5384" width="11.6640625" style="8" bestFit="1" customWidth="1"/>
    <col min="5385" max="5638" width="9.1640625" style="8"/>
    <col min="5639" max="5639" width="13.1640625" style="8" customWidth="1"/>
    <col min="5640" max="5640" width="11.6640625" style="8" bestFit="1" customWidth="1"/>
    <col min="5641" max="5894" width="9.1640625" style="8"/>
    <col min="5895" max="5895" width="13.1640625" style="8" customWidth="1"/>
    <col min="5896" max="5896" width="11.6640625" style="8" bestFit="1" customWidth="1"/>
    <col min="5897" max="6150" width="9.1640625" style="8"/>
    <col min="6151" max="6151" width="13.1640625" style="8" customWidth="1"/>
    <col min="6152" max="6152" width="11.6640625" style="8" bestFit="1" customWidth="1"/>
    <col min="6153" max="6406" width="9.1640625" style="8"/>
    <col min="6407" max="6407" width="13.1640625" style="8" customWidth="1"/>
    <col min="6408" max="6408" width="11.6640625" style="8" bestFit="1" customWidth="1"/>
    <col min="6409" max="6662" width="9.1640625" style="8"/>
    <col min="6663" max="6663" width="13.1640625" style="8" customWidth="1"/>
    <col min="6664" max="6664" width="11.6640625" style="8" bestFit="1" customWidth="1"/>
    <col min="6665" max="6918" width="9.1640625" style="8"/>
    <col min="6919" max="6919" width="13.1640625" style="8" customWidth="1"/>
    <col min="6920" max="6920" width="11.6640625" style="8" bestFit="1" customWidth="1"/>
    <col min="6921" max="7174" width="9.1640625" style="8"/>
    <col min="7175" max="7175" width="13.1640625" style="8" customWidth="1"/>
    <col min="7176" max="7176" width="11.6640625" style="8" bestFit="1" customWidth="1"/>
    <col min="7177" max="7430" width="9.1640625" style="8"/>
    <col min="7431" max="7431" width="13.1640625" style="8" customWidth="1"/>
    <col min="7432" max="7432" width="11.6640625" style="8" bestFit="1" customWidth="1"/>
    <col min="7433" max="7686" width="9.1640625" style="8"/>
    <col min="7687" max="7687" width="13.1640625" style="8" customWidth="1"/>
    <col min="7688" max="7688" width="11.6640625" style="8" bestFit="1" customWidth="1"/>
    <col min="7689" max="7942" width="9.1640625" style="8"/>
    <col min="7943" max="7943" width="13.1640625" style="8" customWidth="1"/>
    <col min="7944" max="7944" width="11.6640625" style="8" bestFit="1" customWidth="1"/>
    <col min="7945" max="8198" width="9.1640625" style="8"/>
    <col min="8199" max="8199" width="13.1640625" style="8" customWidth="1"/>
    <col min="8200" max="8200" width="11.6640625" style="8" bestFit="1" customWidth="1"/>
    <col min="8201" max="8454" width="9.1640625" style="8"/>
    <col min="8455" max="8455" width="13.1640625" style="8" customWidth="1"/>
    <col min="8456" max="8456" width="11.6640625" style="8" bestFit="1" customWidth="1"/>
    <col min="8457" max="8710" width="9.1640625" style="8"/>
    <col min="8711" max="8711" width="13.1640625" style="8" customWidth="1"/>
    <col min="8712" max="8712" width="11.6640625" style="8" bestFit="1" customWidth="1"/>
    <col min="8713" max="8966" width="9.1640625" style="8"/>
    <col min="8967" max="8967" width="13.1640625" style="8" customWidth="1"/>
    <col min="8968" max="8968" width="11.6640625" style="8" bestFit="1" customWidth="1"/>
    <col min="8969" max="9222" width="9.1640625" style="8"/>
    <col min="9223" max="9223" width="13.1640625" style="8" customWidth="1"/>
    <col min="9224" max="9224" width="11.6640625" style="8" bestFit="1" customWidth="1"/>
    <col min="9225" max="9478" width="9.1640625" style="8"/>
    <col min="9479" max="9479" width="13.1640625" style="8" customWidth="1"/>
    <col min="9480" max="9480" width="11.6640625" style="8" bestFit="1" customWidth="1"/>
    <col min="9481" max="9734" width="9.1640625" style="8"/>
    <col min="9735" max="9735" width="13.1640625" style="8" customWidth="1"/>
    <col min="9736" max="9736" width="11.6640625" style="8" bestFit="1" customWidth="1"/>
    <col min="9737" max="9990" width="9.1640625" style="8"/>
    <col min="9991" max="9991" width="13.1640625" style="8" customWidth="1"/>
    <col min="9992" max="9992" width="11.6640625" style="8" bestFit="1" customWidth="1"/>
    <col min="9993" max="10246" width="9.1640625" style="8"/>
    <col min="10247" max="10247" width="13.1640625" style="8" customWidth="1"/>
    <col min="10248" max="10248" width="11.6640625" style="8" bestFit="1" customWidth="1"/>
    <col min="10249" max="10502" width="9.1640625" style="8"/>
    <col min="10503" max="10503" width="13.1640625" style="8" customWidth="1"/>
    <col min="10504" max="10504" width="11.6640625" style="8" bestFit="1" customWidth="1"/>
    <col min="10505" max="10758" width="9.1640625" style="8"/>
    <col min="10759" max="10759" width="13.1640625" style="8" customWidth="1"/>
    <col min="10760" max="10760" width="11.6640625" style="8" bestFit="1" customWidth="1"/>
    <col min="10761" max="11014" width="9.1640625" style="8"/>
    <col min="11015" max="11015" width="13.1640625" style="8" customWidth="1"/>
    <col min="11016" max="11016" width="11.6640625" style="8" bestFit="1" customWidth="1"/>
    <col min="11017" max="11270" width="9.1640625" style="8"/>
    <col min="11271" max="11271" width="13.1640625" style="8" customWidth="1"/>
    <col min="11272" max="11272" width="11.6640625" style="8" bestFit="1" customWidth="1"/>
    <col min="11273" max="11526" width="9.1640625" style="8"/>
    <col min="11527" max="11527" width="13.1640625" style="8" customWidth="1"/>
    <col min="11528" max="11528" width="11.6640625" style="8" bestFit="1" customWidth="1"/>
    <col min="11529" max="11782" width="9.1640625" style="8"/>
    <col min="11783" max="11783" width="13.1640625" style="8" customWidth="1"/>
    <col min="11784" max="11784" width="11.6640625" style="8" bestFit="1" customWidth="1"/>
    <col min="11785" max="12038" width="9.1640625" style="8"/>
    <col min="12039" max="12039" width="13.1640625" style="8" customWidth="1"/>
    <col min="12040" max="12040" width="11.6640625" style="8" bestFit="1" customWidth="1"/>
    <col min="12041" max="12294" width="9.1640625" style="8"/>
    <col min="12295" max="12295" width="13.1640625" style="8" customWidth="1"/>
    <col min="12296" max="12296" width="11.6640625" style="8" bestFit="1" customWidth="1"/>
    <col min="12297" max="12550" width="9.1640625" style="8"/>
    <col min="12551" max="12551" width="13.1640625" style="8" customWidth="1"/>
    <col min="12552" max="12552" width="11.6640625" style="8" bestFit="1" customWidth="1"/>
    <col min="12553" max="12806" width="9.1640625" style="8"/>
    <col min="12807" max="12807" width="13.1640625" style="8" customWidth="1"/>
    <col min="12808" max="12808" width="11.6640625" style="8" bestFit="1" customWidth="1"/>
    <col min="12809" max="13062" width="9.1640625" style="8"/>
    <col min="13063" max="13063" width="13.1640625" style="8" customWidth="1"/>
    <col min="13064" max="13064" width="11.6640625" style="8" bestFit="1" customWidth="1"/>
    <col min="13065" max="13318" width="9.1640625" style="8"/>
    <col min="13319" max="13319" width="13.1640625" style="8" customWidth="1"/>
    <col min="13320" max="13320" width="11.6640625" style="8" bestFit="1" customWidth="1"/>
    <col min="13321" max="13574" width="9.1640625" style="8"/>
    <col min="13575" max="13575" width="13.1640625" style="8" customWidth="1"/>
    <col min="13576" max="13576" width="11.6640625" style="8" bestFit="1" customWidth="1"/>
    <col min="13577" max="13830" width="9.1640625" style="8"/>
    <col min="13831" max="13831" width="13.1640625" style="8" customWidth="1"/>
    <col min="13832" max="13832" width="11.6640625" style="8" bestFit="1" customWidth="1"/>
    <col min="13833" max="14086" width="9.1640625" style="8"/>
    <col min="14087" max="14087" width="13.1640625" style="8" customWidth="1"/>
    <col min="14088" max="14088" width="11.6640625" style="8" bestFit="1" customWidth="1"/>
    <col min="14089" max="14342" width="9.1640625" style="8"/>
    <col min="14343" max="14343" width="13.1640625" style="8" customWidth="1"/>
    <col min="14344" max="14344" width="11.6640625" style="8" bestFit="1" customWidth="1"/>
    <col min="14345" max="14598" width="9.1640625" style="8"/>
    <col min="14599" max="14599" width="13.1640625" style="8" customWidth="1"/>
    <col min="14600" max="14600" width="11.6640625" style="8" bestFit="1" customWidth="1"/>
    <col min="14601" max="14854" width="9.1640625" style="8"/>
    <col min="14855" max="14855" width="13.1640625" style="8" customWidth="1"/>
    <col min="14856" max="14856" width="11.6640625" style="8" bestFit="1" customWidth="1"/>
    <col min="14857" max="15110" width="9.1640625" style="8"/>
    <col min="15111" max="15111" width="13.1640625" style="8" customWidth="1"/>
    <col min="15112" max="15112" width="11.6640625" style="8" bestFit="1" customWidth="1"/>
    <col min="15113" max="15366" width="9.1640625" style="8"/>
    <col min="15367" max="15367" width="13.1640625" style="8" customWidth="1"/>
    <col min="15368" max="15368" width="11.6640625" style="8" bestFit="1" customWidth="1"/>
    <col min="15369" max="15622" width="9.1640625" style="8"/>
    <col min="15623" max="15623" width="13.1640625" style="8" customWidth="1"/>
    <col min="15624" max="15624" width="11.6640625" style="8" bestFit="1" customWidth="1"/>
    <col min="15625" max="15878" width="9.1640625" style="8"/>
    <col min="15879" max="15879" width="13.1640625" style="8" customWidth="1"/>
    <col min="15880" max="15880" width="11.6640625" style="8" bestFit="1" customWidth="1"/>
    <col min="15881" max="16134" width="9.1640625" style="8"/>
    <col min="16135" max="16135" width="13.1640625" style="8" customWidth="1"/>
    <col min="16136" max="16136" width="11.6640625" style="8" bestFit="1" customWidth="1"/>
    <col min="16137" max="16384" width="9.1640625" style="8"/>
  </cols>
  <sheetData>
    <row r="1" spans="1:22">
      <c r="A1" s="39" t="s">
        <v>284</v>
      </c>
      <c r="R1" s="8" t="s">
        <v>167</v>
      </c>
    </row>
    <row r="2" spans="1:22" ht="16" thickBot="1">
      <c r="A2" s="39"/>
      <c r="C2" s="239"/>
      <c r="D2" s="239"/>
      <c r="E2" s="239"/>
      <c r="F2" s="239"/>
      <c r="G2" s="239"/>
      <c r="H2" s="239"/>
      <c r="I2" s="239"/>
      <c r="J2" s="283"/>
      <c r="K2" s="283"/>
      <c r="R2" s="584" t="s">
        <v>141</v>
      </c>
    </row>
    <row r="3" spans="1:22">
      <c r="B3" s="585" t="s">
        <v>27</v>
      </c>
      <c r="D3" s="585"/>
      <c r="E3" s="585"/>
      <c r="F3" s="585"/>
      <c r="G3" s="585"/>
      <c r="H3" s="585"/>
      <c r="I3" s="585" t="s">
        <v>27</v>
      </c>
      <c r="K3" s="585"/>
      <c r="R3" s="719" t="s">
        <v>137</v>
      </c>
      <c r="S3" s="720"/>
      <c r="T3" s="720"/>
      <c r="U3" s="720"/>
      <c r="V3" s="586"/>
    </row>
    <row r="4" spans="1:22" ht="16" thickBot="1">
      <c r="B4" s="28">
        <v>0.1</v>
      </c>
      <c r="D4" s="8"/>
      <c r="E4" s="8"/>
      <c r="F4" s="8"/>
      <c r="G4" s="516" t="s">
        <v>20</v>
      </c>
      <c r="H4" s="8"/>
      <c r="I4" s="28">
        <v>0.6</v>
      </c>
      <c r="K4" s="587"/>
      <c r="N4" s="516" t="s">
        <v>20</v>
      </c>
      <c r="R4" s="588"/>
      <c r="S4" s="11"/>
      <c r="T4" s="11"/>
      <c r="U4" s="11"/>
      <c r="V4" s="589"/>
    </row>
    <row r="5" spans="1:22" ht="30" thickBot="1">
      <c r="A5" s="39" t="s">
        <v>39</v>
      </c>
      <c r="B5" s="39" t="s">
        <v>117</v>
      </c>
      <c r="C5" s="518" t="s">
        <v>185</v>
      </c>
      <c r="D5" s="518" t="s">
        <v>37</v>
      </c>
      <c r="E5" s="518" t="s">
        <v>162</v>
      </c>
      <c r="F5" s="518" t="s">
        <v>107</v>
      </c>
      <c r="G5" s="590" t="s">
        <v>123</v>
      </c>
      <c r="H5" s="590"/>
      <c r="I5" s="39" t="s">
        <v>117</v>
      </c>
      <c r="J5" s="518" t="s">
        <v>185</v>
      </c>
      <c r="K5" s="518" t="s">
        <v>37</v>
      </c>
      <c r="L5" s="518" t="s">
        <v>162</v>
      </c>
      <c r="M5" s="518" t="s">
        <v>107</v>
      </c>
      <c r="N5" s="590" t="s">
        <v>123</v>
      </c>
      <c r="R5" s="716" t="s">
        <v>138</v>
      </c>
      <c r="S5" s="717"/>
      <c r="T5" s="717"/>
      <c r="U5" s="591">
        <v>0.1</v>
      </c>
      <c r="V5" s="589"/>
    </row>
    <row r="6" spans="1:22" ht="16" thickBot="1">
      <c r="A6" s="9">
        <v>1</v>
      </c>
      <c r="B6" s="8">
        <v>183</v>
      </c>
      <c r="I6" s="8">
        <v>183</v>
      </c>
      <c r="J6" s="583"/>
      <c r="K6" s="583"/>
      <c r="L6" s="583"/>
      <c r="M6" s="583"/>
      <c r="R6" s="588"/>
      <c r="S6" s="11"/>
      <c r="T6" s="11"/>
      <c r="U6" s="11"/>
      <c r="V6" s="589"/>
    </row>
    <row r="7" spans="1:22">
      <c r="A7" s="9">
        <v>2</v>
      </c>
      <c r="B7" s="8">
        <v>222</v>
      </c>
      <c r="C7" s="583">
        <f>B6</f>
        <v>183</v>
      </c>
      <c r="D7" s="583">
        <f>B7-C7</f>
        <v>39</v>
      </c>
      <c r="E7" s="583">
        <f>ABS(B7-C7)</f>
        <v>39</v>
      </c>
      <c r="F7" s="583">
        <f>SUM($E$7:E7)/COUNT($E$7:E7)</f>
        <v>39</v>
      </c>
      <c r="G7" s="617">
        <f>SUM($D$7:D7)/F7</f>
        <v>1</v>
      </c>
      <c r="I7" s="8">
        <v>222</v>
      </c>
      <c r="J7" s="583">
        <f>B6</f>
        <v>183</v>
      </c>
      <c r="K7" s="583">
        <f>B7-J7</f>
        <v>39</v>
      </c>
      <c r="L7" s="583">
        <f>ABS(K7)</f>
        <v>39</v>
      </c>
      <c r="M7" s="583">
        <f>SUM($L$7:L7)/COUNT($L$7:L7)</f>
        <v>39</v>
      </c>
      <c r="N7" s="323">
        <f>SUM($K$7:K7)/M7</f>
        <v>1</v>
      </c>
      <c r="R7" s="592" t="s">
        <v>121</v>
      </c>
      <c r="S7" s="593">
        <v>53.163268333333349</v>
      </c>
      <c r="T7" s="257"/>
      <c r="U7" s="594"/>
      <c r="V7" s="589"/>
    </row>
    <row r="8" spans="1:22" ht="16" thickBot="1">
      <c r="A8" s="9">
        <v>3</v>
      </c>
      <c r="B8" s="8">
        <v>208</v>
      </c>
      <c r="C8" s="583">
        <f>C7+B4*(B7-C7)</f>
        <v>186.9</v>
      </c>
      <c r="D8" s="583">
        <f t="shared" ref="D8:D12" si="0">B8-C8</f>
        <v>21.099999999999994</v>
      </c>
      <c r="E8" s="583">
        <f t="shared" ref="E8:E12" si="1">ABS(B8-C8)</f>
        <v>21.099999999999994</v>
      </c>
      <c r="F8" s="583">
        <f>SUM($E$7:E8)/COUNT($E$7:E8)</f>
        <v>30.049999999999997</v>
      </c>
      <c r="G8" s="617">
        <f>SUM($D$7:D8)/F8</f>
        <v>2</v>
      </c>
      <c r="I8" s="8">
        <v>208</v>
      </c>
      <c r="J8" s="583">
        <f>J7+I4*(B7-J7)</f>
        <v>206.4</v>
      </c>
      <c r="K8" s="583">
        <f t="shared" ref="K8:K12" si="2">B8-J8</f>
        <v>1.5999999999999943</v>
      </c>
      <c r="L8" s="583">
        <f t="shared" ref="L8:L12" si="3">ABS(K8)</f>
        <v>1.5999999999999943</v>
      </c>
      <c r="M8" s="583">
        <f>SUM($L$7:L8)/COUNT($L$7:L8)</f>
        <v>20.299999999999997</v>
      </c>
      <c r="N8" s="323">
        <f>SUM($K$7:K8)/M8</f>
        <v>2</v>
      </c>
      <c r="R8" s="592" t="s">
        <v>122</v>
      </c>
      <c r="S8" s="595">
        <v>0.21625736271186446</v>
      </c>
      <c r="T8" s="257"/>
      <c r="U8" s="594"/>
      <c r="V8" s="589"/>
    </row>
    <row r="9" spans="1:22" ht="16" thickBot="1">
      <c r="A9" s="9">
        <v>4</v>
      </c>
      <c r="B9" s="8">
        <v>215</v>
      </c>
      <c r="C9" s="583">
        <f>C8+B4*(B8-C8)</f>
        <v>189.01</v>
      </c>
      <c r="D9" s="583">
        <f t="shared" si="0"/>
        <v>25.990000000000009</v>
      </c>
      <c r="E9" s="583">
        <f t="shared" si="1"/>
        <v>25.990000000000009</v>
      </c>
      <c r="F9" s="583">
        <f>SUM($E$7:E9)/COUNT($E$7:E9)</f>
        <v>28.696666666666669</v>
      </c>
      <c r="G9" s="617">
        <f>SUM($D$7:D9)/F9</f>
        <v>3</v>
      </c>
      <c r="I9" s="8">
        <v>215</v>
      </c>
      <c r="J9" s="583">
        <f>J8+I4*(B8-J8)</f>
        <v>207.36</v>
      </c>
      <c r="K9" s="583">
        <f t="shared" si="2"/>
        <v>7.6399999999999864</v>
      </c>
      <c r="L9" s="583">
        <f t="shared" si="3"/>
        <v>7.6399999999999864</v>
      </c>
      <c r="M9" s="583">
        <f>SUM($L$7:L9)/COUNT($L$7:L9)</f>
        <v>16.079999999999995</v>
      </c>
      <c r="N9" s="323">
        <f>SUM($K$7:K9)/M9</f>
        <v>3</v>
      </c>
      <c r="R9" s="588"/>
      <c r="S9" s="11"/>
      <c r="T9" s="11"/>
      <c r="U9" s="11"/>
      <c r="V9" s="589"/>
    </row>
    <row r="10" spans="1:22" ht="15.75" customHeight="1" thickBot="1">
      <c r="A10" s="9">
        <v>5</v>
      </c>
      <c r="B10" s="8">
        <v>255</v>
      </c>
      <c r="C10" s="583">
        <f>C9+B4*(B9-C9)</f>
        <v>191.60899999999998</v>
      </c>
      <c r="D10" s="583">
        <f t="shared" si="0"/>
        <v>63.39100000000002</v>
      </c>
      <c r="E10" s="583">
        <f t="shared" si="1"/>
        <v>63.39100000000002</v>
      </c>
      <c r="F10" s="583">
        <f>SUM($E$7:E10)/COUNT($E$7:E10)</f>
        <v>37.370250000000006</v>
      </c>
      <c r="G10" s="617">
        <f>SUM($D$7:D10)/F10</f>
        <v>4</v>
      </c>
      <c r="I10" s="8">
        <v>255</v>
      </c>
      <c r="J10" s="583">
        <f>J9+I4*(B9-J9)</f>
        <v>211.94400000000002</v>
      </c>
      <c r="K10" s="583">
        <f t="shared" si="2"/>
        <v>43.055999999999983</v>
      </c>
      <c r="L10" s="583">
        <f t="shared" si="3"/>
        <v>43.055999999999983</v>
      </c>
      <c r="M10" s="583">
        <f>SUM($L$7:L10)/COUNT($L$7:L10)</f>
        <v>22.823999999999991</v>
      </c>
      <c r="N10" s="323">
        <f>SUM($K$7:K10)/M10</f>
        <v>4</v>
      </c>
      <c r="R10" s="596" t="s">
        <v>39</v>
      </c>
      <c r="S10" s="596" t="s">
        <v>38</v>
      </c>
      <c r="T10" s="596" t="s">
        <v>185</v>
      </c>
      <c r="U10" s="596" t="s">
        <v>37</v>
      </c>
      <c r="V10" s="597" t="s">
        <v>123</v>
      </c>
    </row>
    <row r="11" spans="1:22">
      <c r="A11" s="9">
        <v>6</v>
      </c>
      <c r="B11" s="8">
        <v>294</v>
      </c>
      <c r="C11" s="583">
        <f>C10+B4*(B10-C10)</f>
        <v>197.94809999999998</v>
      </c>
      <c r="D11" s="583">
        <f t="shared" si="0"/>
        <v>96.051900000000018</v>
      </c>
      <c r="E11" s="583">
        <f t="shared" si="1"/>
        <v>96.051900000000018</v>
      </c>
      <c r="F11" s="583">
        <f>SUM($E$7:E11)/COUNT($E$7:E11)</f>
        <v>49.106580000000008</v>
      </c>
      <c r="G11" s="617">
        <f>SUM($D$7:D11)/F11</f>
        <v>5</v>
      </c>
      <c r="I11" s="8">
        <v>294</v>
      </c>
      <c r="J11" s="583">
        <f>J10+I4*(B10-J10)</f>
        <v>237.77760000000001</v>
      </c>
      <c r="K11" s="583">
        <f t="shared" si="2"/>
        <v>56.222399999999993</v>
      </c>
      <c r="L11" s="583">
        <f t="shared" si="3"/>
        <v>56.222399999999993</v>
      </c>
      <c r="M11" s="583">
        <f>SUM($L$7:L11)/COUNT($L$7:L11)</f>
        <v>29.503679999999992</v>
      </c>
      <c r="N11" s="323">
        <f>SUM($K$7:K11)/M11</f>
        <v>5</v>
      </c>
      <c r="R11" s="598">
        <v>1</v>
      </c>
      <c r="S11" s="599">
        <v>183</v>
      </c>
      <c r="T11" s="600" t="s">
        <v>124</v>
      </c>
      <c r="U11" s="601" t="s">
        <v>124</v>
      </c>
      <c r="V11" s="602" t="s">
        <v>124</v>
      </c>
    </row>
    <row r="12" spans="1:22" ht="15.75" customHeight="1">
      <c r="A12" s="77">
        <v>7</v>
      </c>
      <c r="B12" s="8">
        <v>281</v>
      </c>
      <c r="C12" s="234">
        <f>C11+B4*(B11-C11)</f>
        <v>207.55328999999998</v>
      </c>
      <c r="D12" s="583">
        <f t="shared" si="0"/>
        <v>73.446710000000024</v>
      </c>
      <c r="E12" s="583">
        <f t="shared" si="1"/>
        <v>73.446710000000024</v>
      </c>
      <c r="F12" s="583">
        <f>SUM($E$7:E12)/COUNT($E$7:E12)</f>
        <v>53.163268333333349</v>
      </c>
      <c r="G12" s="617">
        <f>SUM($D$7:D12)/F12</f>
        <v>6</v>
      </c>
      <c r="I12" s="8">
        <v>281</v>
      </c>
      <c r="J12" s="234">
        <f>J11+I4*(B11-J11)</f>
        <v>271.51103999999998</v>
      </c>
      <c r="K12" s="583">
        <f t="shared" si="2"/>
        <v>9.48896000000002</v>
      </c>
      <c r="L12" s="583">
        <f t="shared" si="3"/>
        <v>9.48896000000002</v>
      </c>
      <c r="M12" s="583">
        <f>SUM($L$7:L12)/COUNT($L$7:L12)</f>
        <v>26.167893333333328</v>
      </c>
      <c r="N12" s="323">
        <f>SUM($K$7:K12)/M12</f>
        <v>6</v>
      </c>
      <c r="R12" s="603">
        <v>2</v>
      </c>
      <c r="S12" s="604">
        <v>222</v>
      </c>
      <c r="T12" s="605">
        <v>183</v>
      </c>
      <c r="U12" s="606">
        <v>39</v>
      </c>
      <c r="V12" s="607">
        <v>1</v>
      </c>
    </row>
    <row r="13" spans="1:22">
      <c r="I13" s="8"/>
      <c r="R13" s="603">
        <v>3</v>
      </c>
      <c r="S13" s="604">
        <v>208</v>
      </c>
      <c r="T13" s="605">
        <v>186.9</v>
      </c>
      <c r="U13" s="606">
        <v>21.099999999999994</v>
      </c>
      <c r="V13" s="607">
        <v>2</v>
      </c>
    </row>
    <row r="14" spans="1:22">
      <c r="A14" s="253" t="s">
        <v>158</v>
      </c>
      <c r="B14" s="8">
        <f>SUM(B7:B12)</f>
        <v>1475</v>
      </c>
      <c r="E14" s="583">
        <f>SUM(E7:E12)</f>
        <v>318.97961000000009</v>
      </c>
      <c r="I14" s="8">
        <f>SUM(I7:I12)</f>
        <v>1475</v>
      </c>
      <c r="L14" s="608">
        <f>SUM(L7:L12)</f>
        <v>157.00735999999998</v>
      </c>
      <c r="R14" s="603">
        <v>4</v>
      </c>
      <c r="S14" s="604">
        <v>215</v>
      </c>
      <c r="T14" s="605">
        <v>189.01</v>
      </c>
      <c r="U14" s="606">
        <v>25.990000000000009</v>
      </c>
      <c r="V14" s="607">
        <v>3</v>
      </c>
    </row>
    <row r="15" spans="1:22">
      <c r="R15" s="603">
        <v>5</v>
      </c>
      <c r="S15" s="604">
        <v>255</v>
      </c>
      <c r="T15" s="605">
        <v>191.60899999999998</v>
      </c>
      <c r="U15" s="606">
        <v>63.39100000000002</v>
      </c>
      <c r="V15" s="607">
        <v>4</v>
      </c>
    </row>
    <row r="16" spans="1:22">
      <c r="B16" s="326" t="s">
        <v>27</v>
      </c>
      <c r="C16" s="537" t="s">
        <v>163</v>
      </c>
      <c r="D16" s="616">
        <f>E14/6</f>
        <v>53.163268333333349</v>
      </c>
      <c r="R16" s="603">
        <v>6</v>
      </c>
      <c r="S16" s="604">
        <v>294</v>
      </c>
      <c r="T16" s="605">
        <v>197.94809999999998</v>
      </c>
      <c r="U16" s="606">
        <v>96.051900000000018</v>
      </c>
      <c r="V16" s="607">
        <v>5</v>
      </c>
    </row>
    <row r="17" spans="1:22">
      <c r="B17" s="534"/>
      <c r="C17" s="537" t="s">
        <v>164</v>
      </c>
      <c r="D17" s="620">
        <f>E14/B14</f>
        <v>0.21625736271186446</v>
      </c>
      <c r="R17" s="603">
        <v>7</v>
      </c>
      <c r="S17" s="604">
        <v>281</v>
      </c>
      <c r="T17" s="605">
        <v>207.55328999999998</v>
      </c>
      <c r="U17" s="606">
        <v>73.446710000000024</v>
      </c>
      <c r="V17" s="607">
        <v>6</v>
      </c>
    </row>
    <row r="18" spans="1:22" ht="16" thickBot="1">
      <c r="B18" s="534"/>
      <c r="C18" s="619"/>
      <c r="D18" s="616"/>
      <c r="R18" s="609">
        <v>8</v>
      </c>
      <c r="S18" s="610"/>
      <c r="T18" s="611">
        <v>214.89796099999998</v>
      </c>
      <c r="U18" s="612" t="s">
        <v>124</v>
      </c>
      <c r="V18" s="613" t="s">
        <v>124</v>
      </c>
    </row>
    <row r="19" spans="1:22">
      <c r="B19" s="534"/>
      <c r="C19" s="537" t="s">
        <v>165</v>
      </c>
      <c r="D19" s="616">
        <f>L14/6</f>
        <v>26.167893333333328</v>
      </c>
    </row>
    <row r="20" spans="1:22" ht="16" thickBot="1">
      <c r="B20" s="534"/>
      <c r="C20" s="537" t="s">
        <v>166</v>
      </c>
      <c r="D20" s="620">
        <f>L14/I14</f>
        <v>0.10644566779661016</v>
      </c>
      <c r="R20" s="584" t="s">
        <v>142</v>
      </c>
    </row>
    <row r="21" spans="1:22">
      <c r="B21" s="534"/>
      <c r="D21" s="616"/>
      <c r="R21" s="719" t="s">
        <v>137</v>
      </c>
      <c r="S21" s="720"/>
      <c r="T21" s="720"/>
      <c r="U21" s="720"/>
      <c r="V21" s="586"/>
    </row>
    <row r="22" spans="1:22" ht="13.5" customHeight="1" thickBot="1">
      <c r="A22" s="10"/>
      <c r="B22" s="618" t="s">
        <v>21</v>
      </c>
      <c r="C22" s="718" t="s">
        <v>326</v>
      </c>
      <c r="D22" s="702"/>
      <c r="E22" s="702"/>
      <c r="F22" s="702"/>
      <c r="G22" s="702"/>
      <c r="H22" s="702"/>
      <c r="I22" s="702"/>
      <c r="J22" s="702"/>
      <c r="K22" s="11"/>
      <c r="L22" s="11"/>
      <c r="M22" s="11"/>
      <c r="N22" s="11"/>
      <c r="O22" s="11"/>
      <c r="P22" s="11"/>
      <c r="Q22" s="11"/>
      <c r="R22" s="588"/>
      <c r="S22" s="11"/>
      <c r="T22" s="11"/>
      <c r="U22" s="11"/>
      <c r="V22" s="589"/>
    </row>
    <row r="23" spans="1:22" s="244" customFormat="1" ht="16" thickBot="1">
      <c r="A23" s="288"/>
      <c r="B23" s="288"/>
      <c r="C23" s="288"/>
      <c r="D23" s="288"/>
      <c r="E23" s="288"/>
      <c r="F23" s="288"/>
      <c r="G23" s="288"/>
      <c r="H23" s="288"/>
      <c r="I23" s="288"/>
      <c r="J23" s="288"/>
      <c r="K23" s="202"/>
      <c r="L23" s="87"/>
      <c r="M23" s="288"/>
      <c r="N23" s="288"/>
      <c r="O23" s="288"/>
      <c r="P23" s="288"/>
      <c r="Q23" s="202"/>
      <c r="R23" s="716" t="s">
        <v>138</v>
      </c>
      <c r="S23" s="717"/>
      <c r="T23" s="717"/>
      <c r="U23" s="614">
        <v>0.6</v>
      </c>
      <c r="V23" s="615"/>
    </row>
    <row r="24" spans="1:22" ht="16" thickBot="1">
      <c r="A24" s="63"/>
      <c r="D24" s="63"/>
      <c r="E24" s="63"/>
      <c r="F24" s="63"/>
      <c r="G24" s="63"/>
      <c r="H24" s="63"/>
      <c r="I24" s="63"/>
      <c r="J24" s="63"/>
      <c r="K24" s="63"/>
      <c r="L24" s="11"/>
      <c r="M24" s="63"/>
      <c r="N24" s="63"/>
      <c r="O24" s="63"/>
      <c r="P24" s="63"/>
      <c r="Q24" s="63"/>
      <c r="R24" s="588"/>
      <c r="S24" s="11"/>
      <c r="T24" s="11"/>
      <c r="U24" s="11"/>
      <c r="V24" s="589"/>
    </row>
    <row r="25" spans="1:22">
      <c r="A25" s="676"/>
      <c r="B25" s="676"/>
      <c r="C25" s="676"/>
      <c r="D25" s="287"/>
      <c r="E25" s="287"/>
      <c r="F25" s="287"/>
      <c r="G25" s="287"/>
      <c r="H25" s="287"/>
      <c r="I25" s="287"/>
      <c r="J25" s="64"/>
      <c r="K25" s="63"/>
      <c r="L25" s="11"/>
      <c r="M25" s="676"/>
      <c r="N25" s="676"/>
      <c r="O25" s="676"/>
      <c r="P25" s="64"/>
      <c r="Q25" s="63"/>
      <c r="R25" s="592" t="s">
        <v>121</v>
      </c>
      <c r="S25" s="593">
        <v>26.167893333333328</v>
      </c>
      <c r="T25" s="257"/>
      <c r="U25" s="594"/>
      <c r="V25" s="589"/>
    </row>
    <row r="26" spans="1:22" ht="16" thickBot="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11"/>
      <c r="M26" s="63"/>
      <c r="N26" s="63"/>
      <c r="O26" s="63"/>
      <c r="P26" s="63"/>
      <c r="Q26" s="63"/>
      <c r="R26" s="592" t="s">
        <v>122</v>
      </c>
      <c r="S26" s="595">
        <v>0.10644566779661016</v>
      </c>
      <c r="T26" s="257"/>
      <c r="U26" s="594"/>
      <c r="V26" s="589"/>
    </row>
    <row r="27" spans="1:22" ht="16" thickBot="1">
      <c r="A27" s="65"/>
      <c r="B27" s="66"/>
      <c r="C27" s="67"/>
      <c r="D27" s="67"/>
      <c r="E27" s="67"/>
      <c r="F27" s="67"/>
      <c r="G27" s="67"/>
      <c r="H27" s="67"/>
      <c r="I27" s="67"/>
      <c r="J27" s="68"/>
      <c r="K27" s="63"/>
      <c r="L27" s="11"/>
      <c r="M27" s="65"/>
      <c r="N27" s="66"/>
      <c r="O27" s="67"/>
      <c r="P27" s="68"/>
      <c r="Q27" s="63"/>
      <c r="R27" s="588"/>
      <c r="S27" s="11"/>
      <c r="T27" s="11"/>
      <c r="U27" s="11"/>
      <c r="V27" s="589"/>
    </row>
    <row r="28" spans="1:22" ht="16" thickBot="1">
      <c r="A28" s="65"/>
      <c r="B28" s="69"/>
      <c r="C28" s="67"/>
      <c r="D28" s="67"/>
      <c r="E28" s="67"/>
      <c r="F28" s="67"/>
      <c r="G28" s="67"/>
      <c r="H28" s="67"/>
      <c r="I28" s="67"/>
      <c r="J28" s="68"/>
      <c r="K28" s="63"/>
      <c r="L28" s="11"/>
      <c r="M28" s="65"/>
      <c r="N28" s="69"/>
      <c r="O28" s="67"/>
      <c r="P28" s="68"/>
      <c r="Q28" s="63"/>
      <c r="R28" s="596" t="s">
        <v>39</v>
      </c>
      <c r="S28" s="596" t="s">
        <v>38</v>
      </c>
      <c r="T28" s="596" t="s">
        <v>185</v>
      </c>
      <c r="U28" s="596" t="s">
        <v>37</v>
      </c>
      <c r="V28" s="597" t="s">
        <v>123</v>
      </c>
    </row>
    <row r="29" spans="1:22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11"/>
      <c r="M29" s="63"/>
      <c r="N29" s="63"/>
      <c r="O29" s="63"/>
      <c r="P29" s="63"/>
      <c r="Q29" s="63"/>
      <c r="R29" s="598">
        <v>1</v>
      </c>
      <c r="S29" s="599">
        <v>183</v>
      </c>
      <c r="T29" s="600" t="s">
        <v>124</v>
      </c>
      <c r="U29" s="601" t="s">
        <v>124</v>
      </c>
      <c r="V29" s="602" t="s">
        <v>124</v>
      </c>
    </row>
    <row r="30" spans="1:22">
      <c r="A30" s="287"/>
      <c r="B30" s="287"/>
      <c r="C30" s="287"/>
      <c r="D30" s="287"/>
      <c r="E30" s="287"/>
      <c r="F30" s="287"/>
      <c r="G30" s="287"/>
      <c r="H30" s="287"/>
      <c r="I30" s="287"/>
      <c r="J30" s="287"/>
      <c r="K30" s="71"/>
      <c r="L30" s="11"/>
      <c r="M30" s="287"/>
      <c r="N30" s="287"/>
      <c r="O30" s="287"/>
      <c r="P30" s="287"/>
      <c r="Q30" s="71"/>
      <c r="R30" s="603">
        <v>2</v>
      </c>
      <c r="S30" s="604">
        <v>222</v>
      </c>
      <c r="T30" s="605">
        <v>183</v>
      </c>
      <c r="U30" s="606">
        <v>39</v>
      </c>
      <c r="V30" s="607">
        <v>1</v>
      </c>
    </row>
    <row r="31" spans="1:22">
      <c r="A31" s="287"/>
      <c r="B31" s="72"/>
      <c r="C31" s="73"/>
      <c r="D31" s="73"/>
      <c r="E31" s="73"/>
      <c r="F31" s="73"/>
      <c r="G31" s="73"/>
      <c r="H31" s="73"/>
      <c r="I31" s="73"/>
      <c r="J31" s="73"/>
      <c r="K31" s="73"/>
      <c r="L31" s="11"/>
      <c r="M31" s="287"/>
      <c r="N31" s="72"/>
      <c r="O31" s="73"/>
      <c r="P31" s="73"/>
      <c r="Q31" s="73"/>
      <c r="R31" s="603">
        <v>3</v>
      </c>
      <c r="S31" s="604">
        <v>208</v>
      </c>
      <c r="T31" s="605">
        <v>206.4</v>
      </c>
      <c r="U31" s="606">
        <v>1.5999999999999943</v>
      </c>
      <c r="V31" s="607">
        <v>2</v>
      </c>
    </row>
    <row r="32" spans="1:22">
      <c r="A32" s="287"/>
      <c r="B32" s="72"/>
      <c r="C32" s="73"/>
      <c r="D32" s="73"/>
      <c r="E32" s="73"/>
      <c r="F32" s="73"/>
      <c r="G32" s="73"/>
      <c r="H32" s="73"/>
      <c r="I32" s="73"/>
      <c r="J32" s="73"/>
      <c r="K32" s="73"/>
      <c r="L32" s="11"/>
      <c r="M32" s="287"/>
      <c r="N32" s="72"/>
      <c r="O32" s="73"/>
      <c r="P32" s="73"/>
      <c r="Q32" s="73"/>
      <c r="R32" s="603">
        <v>4</v>
      </c>
      <c r="S32" s="604">
        <v>215</v>
      </c>
      <c r="T32" s="605">
        <v>207.36</v>
      </c>
      <c r="U32" s="606">
        <v>7.6399999999999864</v>
      </c>
      <c r="V32" s="607">
        <v>3</v>
      </c>
    </row>
    <row r="33" spans="1:22">
      <c r="A33" s="287"/>
      <c r="B33" s="72"/>
      <c r="C33" s="73"/>
      <c r="D33" s="73"/>
      <c r="E33" s="73"/>
      <c r="F33" s="73"/>
      <c r="G33" s="73"/>
      <c r="H33" s="73"/>
      <c r="I33" s="73"/>
      <c r="J33" s="73"/>
      <c r="K33" s="73"/>
      <c r="L33" s="11"/>
      <c r="M33" s="287"/>
      <c r="N33" s="72"/>
      <c r="O33" s="73"/>
      <c r="P33" s="73"/>
      <c r="Q33" s="73"/>
      <c r="R33" s="603">
        <v>5</v>
      </c>
      <c r="S33" s="604">
        <v>255</v>
      </c>
      <c r="T33" s="605">
        <v>211.94400000000002</v>
      </c>
      <c r="U33" s="606">
        <v>43.055999999999983</v>
      </c>
      <c r="V33" s="607">
        <v>4</v>
      </c>
    </row>
    <row r="34" spans="1:22">
      <c r="A34" s="287"/>
      <c r="B34" s="72"/>
      <c r="C34" s="73"/>
      <c r="D34" s="73"/>
      <c r="E34" s="73"/>
      <c r="F34" s="73"/>
      <c r="G34" s="73"/>
      <c r="H34" s="73"/>
      <c r="I34" s="73"/>
      <c r="J34" s="73"/>
      <c r="K34" s="73"/>
      <c r="L34" s="11"/>
      <c r="M34" s="287"/>
      <c r="N34" s="72"/>
      <c r="O34" s="73"/>
      <c r="P34" s="73"/>
      <c r="Q34" s="73"/>
      <c r="R34" s="603">
        <v>6</v>
      </c>
      <c r="S34" s="604">
        <v>294</v>
      </c>
      <c r="T34" s="605">
        <v>237.77760000000001</v>
      </c>
      <c r="U34" s="606">
        <v>56.222399999999993</v>
      </c>
      <c r="V34" s="607">
        <v>5</v>
      </c>
    </row>
    <row r="35" spans="1:22" ht="16" thickBot="1">
      <c r="A35" s="287"/>
      <c r="B35" s="72"/>
      <c r="C35" s="73"/>
      <c r="D35" s="73"/>
      <c r="E35" s="73"/>
      <c r="F35" s="73"/>
      <c r="G35" s="73"/>
      <c r="H35" s="73"/>
      <c r="I35" s="73"/>
      <c r="J35" s="73"/>
      <c r="K35" s="73"/>
      <c r="L35" s="11"/>
      <c r="M35" s="287"/>
      <c r="N35" s="72"/>
      <c r="O35" s="73"/>
      <c r="P35" s="73"/>
      <c r="Q35" s="73"/>
      <c r="R35" s="609">
        <v>7</v>
      </c>
      <c r="S35" s="610">
        <v>281</v>
      </c>
      <c r="T35" s="611">
        <v>271.51103999999998</v>
      </c>
      <c r="U35" s="612">
        <v>9.48896000000002</v>
      </c>
      <c r="V35" s="613">
        <v>6</v>
      </c>
    </row>
    <row r="36" spans="1:22">
      <c r="A36" s="287"/>
      <c r="B36" s="72"/>
      <c r="C36" s="73"/>
      <c r="D36" s="73"/>
      <c r="E36" s="73"/>
      <c r="F36" s="73"/>
      <c r="G36" s="73"/>
      <c r="H36" s="73"/>
      <c r="I36" s="73"/>
      <c r="J36" s="73"/>
      <c r="K36" s="73"/>
      <c r="L36" s="11"/>
      <c r="M36" s="287"/>
      <c r="N36" s="72"/>
      <c r="O36" s="73"/>
      <c r="P36" s="73"/>
      <c r="Q36" s="73"/>
      <c r="R36" s="11"/>
    </row>
    <row r="37" spans="1:22">
      <c r="A37" s="287"/>
      <c r="B37" s="74"/>
      <c r="C37" s="73"/>
      <c r="D37" s="73"/>
      <c r="E37" s="73"/>
      <c r="F37" s="73"/>
      <c r="G37" s="73"/>
      <c r="H37" s="73"/>
      <c r="I37" s="73"/>
      <c r="J37" s="73"/>
      <c r="K37" s="73"/>
      <c r="L37" s="11"/>
      <c r="M37" s="287"/>
      <c r="N37" s="74"/>
      <c r="O37" s="73"/>
      <c r="P37" s="73"/>
      <c r="Q37" s="73"/>
      <c r="R37" s="11"/>
    </row>
    <row r="38" spans="1:22">
      <c r="A38" s="11"/>
      <c r="B38" s="11"/>
      <c r="C38" s="62"/>
      <c r="D38" s="62"/>
      <c r="E38" s="62"/>
      <c r="F38" s="62"/>
      <c r="G38" s="62"/>
      <c r="H38" s="62"/>
      <c r="I38" s="62"/>
      <c r="J38" s="11"/>
      <c r="K38" s="11"/>
      <c r="L38" s="11"/>
      <c r="M38" s="11"/>
      <c r="N38" s="11"/>
      <c r="O38" s="11"/>
      <c r="P38" s="11"/>
      <c r="Q38" s="11"/>
      <c r="R38" s="11"/>
    </row>
    <row r="39" spans="1:22">
      <c r="A39" s="677"/>
      <c r="B39" s="677"/>
      <c r="C39" s="677"/>
      <c r="D39" s="677"/>
      <c r="E39" s="677"/>
      <c r="F39" s="677"/>
      <c r="G39" s="677"/>
      <c r="H39" s="677"/>
      <c r="I39" s="677"/>
      <c r="J39" s="677"/>
      <c r="K39" s="63"/>
      <c r="L39" s="11"/>
      <c r="M39" s="677"/>
      <c r="N39" s="677"/>
      <c r="O39" s="677"/>
      <c r="P39" s="677"/>
      <c r="Q39" s="63"/>
      <c r="R39" s="11"/>
    </row>
    <row r="40" spans="1:22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11"/>
      <c r="M40" s="63"/>
      <c r="N40" s="63"/>
      <c r="O40" s="63"/>
      <c r="P40" s="63"/>
      <c r="Q40" s="63"/>
      <c r="R40" s="11"/>
    </row>
    <row r="41" spans="1:22">
      <c r="A41" s="676"/>
      <c r="B41" s="676"/>
      <c r="C41" s="676"/>
      <c r="D41" s="287"/>
      <c r="E41" s="287"/>
      <c r="F41" s="287"/>
      <c r="G41" s="287"/>
      <c r="H41" s="287"/>
      <c r="I41" s="287"/>
      <c r="J41" s="64"/>
      <c r="K41" s="63"/>
      <c r="L41" s="11"/>
      <c r="M41" s="676"/>
      <c r="N41" s="676"/>
      <c r="O41" s="676"/>
      <c r="P41" s="64"/>
      <c r="Q41" s="63"/>
      <c r="R41" s="11"/>
    </row>
    <row r="42" spans="1:22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11"/>
      <c r="M42" s="63"/>
      <c r="N42" s="63"/>
      <c r="O42" s="63"/>
      <c r="P42" s="63"/>
      <c r="Q42" s="63"/>
      <c r="R42" s="11"/>
    </row>
    <row r="43" spans="1:22">
      <c r="A43" s="65"/>
      <c r="B43" s="66"/>
      <c r="C43" s="67"/>
      <c r="D43" s="67"/>
      <c r="E43" s="67"/>
      <c r="F43" s="67"/>
      <c r="G43" s="67"/>
      <c r="H43" s="67"/>
      <c r="I43" s="67"/>
      <c r="J43" s="68"/>
      <c r="K43" s="63"/>
      <c r="L43" s="11"/>
      <c r="M43" s="65"/>
      <c r="N43" s="66"/>
      <c r="O43" s="67"/>
      <c r="P43" s="68"/>
      <c r="Q43" s="63"/>
      <c r="R43" s="11"/>
    </row>
    <row r="44" spans="1:22">
      <c r="A44" s="65"/>
      <c r="B44" s="69"/>
      <c r="C44" s="67"/>
      <c r="D44" s="67"/>
      <c r="E44" s="67"/>
      <c r="F44" s="67"/>
      <c r="G44" s="67"/>
      <c r="H44" s="67"/>
      <c r="I44" s="67"/>
      <c r="J44" s="68"/>
      <c r="K44" s="63"/>
      <c r="L44" s="11"/>
      <c r="M44" s="65"/>
      <c r="N44" s="69"/>
      <c r="O44" s="67"/>
      <c r="P44" s="68"/>
      <c r="Q44" s="63"/>
      <c r="R44" s="11"/>
    </row>
    <row r="45" spans="1:22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11"/>
      <c r="M45" s="63"/>
      <c r="N45" s="63"/>
      <c r="O45" s="63"/>
      <c r="P45" s="63"/>
      <c r="Q45" s="63"/>
      <c r="R45" s="11"/>
    </row>
    <row r="46" spans="1:22">
      <c r="A46" s="287"/>
      <c r="B46" s="287"/>
      <c r="C46" s="287"/>
      <c r="D46" s="287"/>
      <c r="E46" s="287"/>
      <c r="F46" s="287"/>
      <c r="G46" s="287"/>
      <c r="H46" s="287"/>
      <c r="I46" s="287"/>
      <c r="J46" s="287"/>
      <c r="K46" s="71"/>
      <c r="L46" s="11"/>
      <c r="M46" s="287"/>
      <c r="N46" s="287"/>
      <c r="O46" s="287"/>
      <c r="P46" s="287"/>
      <c r="Q46" s="71"/>
      <c r="R46" s="11"/>
    </row>
    <row r="47" spans="1:22">
      <c r="A47" s="287"/>
      <c r="B47" s="72"/>
      <c r="C47" s="73"/>
      <c r="D47" s="73"/>
      <c r="E47" s="73"/>
      <c r="F47" s="73"/>
      <c r="G47" s="73"/>
      <c r="H47" s="73"/>
      <c r="I47" s="73"/>
      <c r="J47" s="73"/>
      <c r="K47" s="73"/>
      <c r="L47" s="11"/>
      <c r="M47" s="287"/>
      <c r="N47" s="72"/>
      <c r="O47" s="73"/>
      <c r="P47" s="73"/>
      <c r="Q47" s="73"/>
      <c r="R47" s="11"/>
    </row>
    <row r="48" spans="1:22">
      <c r="A48" s="287"/>
      <c r="B48" s="72"/>
      <c r="C48" s="73"/>
      <c r="D48" s="73"/>
      <c r="E48" s="73"/>
      <c r="F48" s="73"/>
      <c r="G48" s="73"/>
      <c r="H48" s="73"/>
      <c r="I48" s="73"/>
      <c r="J48" s="73"/>
      <c r="K48" s="73"/>
      <c r="L48" s="11"/>
      <c r="M48" s="287"/>
      <c r="N48" s="72"/>
      <c r="O48" s="73"/>
      <c r="P48" s="73"/>
      <c r="Q48" s="73"/>
      <c r="R48" s="11"/>
    </row>
    <row r="49" spans="1:18">
      <c r="A49" s="287"/>
      <c r="B49" s="72"/>
      <c r="C49" s="73"/>
      <c r="D49" s="73"/>
      <c r="E49" s="73"/>
      <c r="F49" s="73"/>
      <c r="G49" s="73"/>
      <c r="H49" s="73"/>
      <c r="I49" s="73"/>
      <c r="J49" s="73"/>
      <c r="K49" s="73"/>
      <c r="L49" s="11"/>
      <c r="M49" s="287"/>
      <c r="N49" s="72"/>
      <c r="O49" s="73"/>
      <c r="P49" s="73"/>
      <c r="Q49" s="73"/>
      <c r="R49" s="11"/>
    </row>
    <row r="50" spans="1:18">
      <c r="A50" s="287"/>
      <c r="B50" s="72"/>
      <c r="C50" s="73"/>
      <c r="D50" s="73"/>
      <c r="E50" s="73"/>
      <c r="F50" s="73"/>
      <c r="G50" s="73"/>
      <c r="H50" s="73"/>
      <c r="I50" s="73"/>
      <c r="J50" s="73"/>
      <c r="K50" s="73"/>
      <c r="L50" s="11"/>
      <c r="M50" s="287"/>
      <c r="N50" s="72"/>
      <c r="O50" s="73"/>
      <c r="P50" s="73"/>
      <c r="Q50" s="73"/>
      <c r="R50" s="11"/>
    </row>
    <row r="51" spans="1:18">
      <c r="A51" s="287"/>
      <c r="B51" s="72"/>
      <c r="C51" s="73"/>
      <c r="D51" s="73"/>
      <c r="E51" s="73"/>
      <c r="F51" s="73"/>
      <c r="G51" s="73"/>
      <c r="H51" s="73"/>
      <c r="I51" s="73"/>
      <c r="J51" s="73"/>
      <c r="K51" s="73"/>
      <c r="L51" s="11"/>
      <c r="M51" s="287"/>
      <c r="N51" s="72"/>
      <c r="O51" s="73"/>
      <c r="P51" s="73"/>
      <c r="Q51" s="73"/>
      <c r="R51" s="11"/>
    </row>
    <row r="52" spans="1:18">
      <c r="A52" s="287"/>
      <c r="B52" s="72"/>
      <c r="C52" s="73"/>
      <c r="D52" s="73"/>
      <c r="E52" s="73"/>
      <c r="F52" s="73"/>
      <c r="G52" s="73"/>
      <c r="H52" s="73"/>
      <c r="I52" s="73"/>
      <c r="J52" s="73"/>
      <c r="K52" s="73"/>
      <c r="L52" s="11"/>
      <c r="M52" s="287"/>
      <c r="N52" s="72"/>
      <c r="O52" s="73"/>
      <c r="P52" s="73"/>
      <c r="Q52" s="73"/>
      <c r="R52" s="11"/>
    </row>
    <row r="53" spans="1:18">
      <c r="A53" s="287"/>
      <c r="B53" s="74"/>
      <c r="C53" s="73"/>
      <c r="D53" s="73"/>
      <c r="E53" s="73"/>
      <c r="F53" s="73"/>
      <c r="G53" s="73"/>
      <c r="H53" s="73"/>
      <c r="I53" s="73"/>
      <c r="J53" s="73"/>
      <c r="K53" s="73"/>
      <c r="L53" s="11"/>
      <c r="M53" s="287"/>
      <c r="N53" s="74"/>
      <c r="O53" s="73"/>
      <c r="P53" s="73"/>
      <c r="Q53" s="73"/>
      <c r="R53" s="11"/>
    </row>
    <row r="54" spans="1:18">
      <c r="A54" s="11"/>
      <c r="B54" s="11"/>
      <c r="C54" s="62"/>
      <c r="D54" s="62"/>
      <c r="E54" s="62"/>
      <c r="F54" s="62"/>
      <c r="G54" s="62"/>
      <c r="H54" s="62"/>
      <c r="I54" s="62"/>
      <c r="J54" s="11"/>
      <c r="K54" s="11"/>
      <c r="L54" s="11"/>
      <c r="M54" s="11"/>
      <c r="N54" s="11"/>
      <c r="O54" s="11"/>
      <c r="P54" s="11"/>
      <c r="Q54" s="11"/>
      <c r="R54" s="11"/>
    </row>
    <row r="55" spans="1:18">
      <c r="A55" s="11"/>
      <c r="B55" s="11"/>
      <c r="C55" s="62"/>
      <c r="D55" s="62"/>
      <c r="E55" s="62"/>
      <c r="F55" s="62"/>
      <c r="G55" s="62"/>
      <c r="H55" s="62"/>
      <c r="I55" s="62"/>
      <c r="J55" s="11"/>
      <c r="K55" s="11"/>
      <c r="L55" s="11"/>
      <c r="M55" s="11"/>
      <c r="N55" s="11"/>
      <c r="O55" s="11"/>
      <c r="P55" s="11"/>
      <c r="Q55" s="11"/>
      <c r="R55" s="11"/>
    </row>
    <row r="56" spans="1:18">
      <c r="A56" s="11"/>
      <c r="B56" s="11"/>
      <c r="C56" s="62"/>
      <c r="D56" s="62"/>
      <c r="E56" s="62"/>
      <c r="F56" s="62"/>
      <c r="G56" s="62"/>
      <c r="H56" s="62"/>
      <c r="I56" s="62"/>
      <c r="J56" s="11"/>
      <c r="K56" s="11"/>
      <c r="L56" s="11"/>
      <c r="M56" s="11"/>
      <c r="N56" s="11"/>
      <c r="O56" s="11"/>
      <c r="P56" s="11"/>
      <c r="Q56" s="11"/>
      <c r="R56" s="11"/>
    </row>
    <row r="57" spans="1:18">
      <c r="A57" s="11"/>
      <c r="B57" s="11"/>
      <c r="C57" s="62"/>
      <c r="D57" s="62"/>
      <c r="E57" s="62"/>
      <c r="F57" s="62"/>
      <c r="G57" s="62"/>
      <c r="H57" s="62"/>
      <c r="I57" s="62"/>
      <c r="J57" s="11"/>
      <c r="K57" s="11"/>
      <c r="L57" s="11"/>
      <c r="M57" s="11"/>
      <c r="N57" s="11"/>
      <c r="O57" s="11"/>
      <c r="P57" s="11"/>
      <c r="Q57" s="11"/>
      <c r="R57" s="11"/>
    </row>
  </sheetData>
  <mergeCells count="11">
    <mergeCell ref="A41:C41"/>
    <mergeCell ref="M41:O41"/>
    <mergeCell ref="A25:C25"/>
    <mergeCell ref="M25:O25"/>
    <mergeCell ref="A39:J39"/>
    <mergeCell ref="M39:P39"/>
    <mergeCell ref="R23:T23"/>
    <mergeCell ref="C22:J22"/>
    <mergeCell ref="R3:U3"/>
    <mergeCell ref="R5:T5"/>
    <mergeCell ref="R21:U21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H82"/>
  <sheetViews>
    <sheetView topLeftCell="J1" workbookViewId="0">
      <selection activeCell="AF14" sqref="AF14"/>
    </sheetView>
  </sheetViews>
  <sheetFormatPr baseColWidth="10" defaultColWidth="8.83203125" defaultRowHeight="15"/>
  <cols>
    <col min="3" max="3" width="10.83203125" bestFit="1" customWidth="1"/>
    <col min="4" max="4" width="14" customWidth="1"/>
    <col min="5" max="6" width="11" customWidth="1"/>
    <col min="7" max="8" width="11.1640625" customWidth="1"/>
    <col min="9" max="9" width="12" customWidth="1"/>
    <col min="10" max="10" width="10.5" customWidth="1"/>
    <col min="14" max="14" width="9.5" bestFit="1" customWidth="1"/>
    <col min="15" max="15" width="10.5" customWidth="1"/>
    <col min="16" max="16" width="9.5" bestFit="1" customWidth="1"/>
  </cols>
  <sheetData>
    <row r="1" spans="1:34">
      <c r="A1" s="6" t="s">
        <v>285</v>
      </c>
      <c r="G1" s="59"/>
      <c r="H1" s="59"/>
      <c r="R1" s="6" t="s">
        <v>167</v>
      </c>
    </row>
    <row r="2" spans="1:34">
      <c r="G2" s="76" t="s">
        <v>172</v>
      </c>
      <c r="H2" s="76"/>
    </row>
    <row r="3" spans="1:34" ht="16" thickBot="1">
      <c r="G3" s="75">
        <v>0.3</v>
      </c>
      <c r="H3" s="75"/>
    </row>
    <row r="4" spans="1:34" ht="18" customHeight="1" thickBot="1">
      <c r="A4" t="s">
        <v>39</v>
      </c>
      <c r="B4" s="232" t="s">
        <v>26</v>
      </c>
      <c r="C4" s="232" t="s">
        <v>22</v>
      </c>
      <c r="D4" s="232" t="s">
        <v>168</v>
      </c>
      <c r="E4" s="78" t="s">
        <v>17</v>
      </c>
      <c r="F4" s="78" t="s">
        <v>162</v>
      </c>
      <c r="G4" s="77" t="s">
        <v>169</v>
      </c>
      <c r="H4" s="78" t="s">
        <v>162</v>
      </c>
      <c r="I4" s="77" t="s">
        <v>53</v>
      </c>
      <c r="J4" s="78" t="s">
        <v>162</v>
      </c>
      <c r="R4" s="657" t="s">
        <v>119</v>
      </c>
      <c r="S4" s="658"/>
      <c r="T4" s="658"/>
      <c r="U4" s="658"/>
      <c r="V4" s="175"/>
      <c r="X4" s="657" t="s">
        <v>137</v>
      </c>
      <c r="Y4" s="658"/>
      <c r="Z4" s="658"/>
      <c r="AA4" s="658"/>
      <c r="AB4" s="175"/>
      <c r="AD4" s="657" t="s">
        <v>144</v>
      </c>
      <c r="AE4" s="658"/>
      <c r="AF4" s="658"/>
      <c r="AG4" s="658"/>
      <c r="AH4" s="175"/>
    </row>
    <row r="5" spans="1:34" ht="16" thickBot="1">
      <c r="A5">
        <v>1</v>
      </c>
      <c r="B5" s="5">
        <v>1</v>
      </c>
      <c r="C5" s="5" t="s">
        <v>4</v>
      </c>
      <c r="D5" s="5">
        <v>806</v>
      </c>
      <c r="E5" s="199"/>
      <c r="F5" s="199"/>
      <c r="G5" s="236"/>
      <c r="H5" s="236"/>
      <c r="I5" s="237">
        <f>$B$62+A5*$B$63</f>
        <v>890.45573294629901</v>
      </c>
      <c r="J5">
        <f>ABS(D5-I5)</f>
        <v>84.455732946299008</v>
      </c>
      <c r="R5" s="176"/>
      <c r="S5" s="177"/>
      <c r="T5" s="177"/>
      <c r="U5" s="177"/>
      <c r="V5" s="178"/>
      <c r="X5" s="176"/>
      <c r="Y5" s="177"/>
      <c r="Z5" s="177"/>
      <c r="AA5" s="177"/>
      <c r="AB5" s="178"/>
      <c r="AD5" s="688" t="s">
        <v>145</v>
      </c>
      <c r="AE5" s="689"/>
      <c r="AF5" s="690"/>
      <c r="AG5" s="206">
        <v>6.8131990096474002</v>
      </c>
      <c r="AH5" s="178"/>
    </row>
    <row r="6" spans="1:34" ht="16" thickBot="1">
      <c r="A6">
        <v>2</v>
      </c>
      <c r="B6" s="5">
        <v>1</v>
      </c>
      <c r="C6" s="5" t="s">
        <v>5</v>
      </c>
      <c r="D6" s="5">
        <v>814</v>
      </c>
      <c r="E6" s="199"/>
      <c r="F6" s="199"/>
      <c r="G6" s="156">
        <f>D5</f>
        <v>806</v>
      </c>
      <c r="H6" s="156">
        <f>ABS(D6-G6)</f>
        <v>8</v>
      </c>
      <c r="I6" s="237">
        <f t="shared" ref="I6:I57" si="0">$B$62+A6*$B$63</f>
        <v>897.26893195594641</v>
      </c>
      <c r="J6">
        <f t="shared" ref="J6:J56" si="1">ABS(D6-I6)</f>
        <v>83.268931955946414</v>
      </c>
      <c r="L6" s="325" t="s">
        <v>27</v>
      </c>
      <c r="M6" s="622">
        <f>E57</f>
        <v>1257.2</v>
      </c>
      <c r="N6" s="8"/>
      <c r="O6" s="8"/>
      <c r="P6" s="8"/>
      <c r="R6" s="659" t="s">
        <v>120</v>
      </c>
      <c r="S6" s="660"/>
      <c r="T6" s="660"/>
      <c r="U6" s="161">
        <v>5</v>
      </c>
      <c r="V6" s="178"/>
      <c r="X6" s="659" t="s">
        <v>138</v>
      </c>
      <c r="Y6" s="660"/>
      <c r="Z6" s="660"/>
      <c r="AA6" s="161">
        <v>0.3</v>
      </c>
      <c r="AB6" s="178"/>
      <c r="AD6" s="688" t="s">
        <v>146</v>
      </c>
      <c r="AE6" s="689"/>
      <c r="AF6" s="690"/>
      <c r="AG6" s="206">
        <v>883.64253393665149</v>
      </c>
      <c r="AH6" s="178"/>
    </row>
    <row r="7" spans="1:34" ht="16" thickBot="1">
      <c r="A7">
        <v>3</v>
      </c>
      <c r="B7" s="5">
        <v>1</v>
      </c>
      <c r="C7" s="5" t="s">
        <v>6</v>
      </c>
      <c r="D7" s="5">
        <v>826</v>
      </c>
      <c r="E7" s="37"/>
      <c r="F7" s="37"/>
      <c r="G7" s="156">
        <f>G6+$G$3*(D6-G6)</f>
        <v>808.4</v>
      </c>
      <c r="H7" s="156">
        <f t="shared" ref="H7:H56" si="2">ABS(D7-G7)</f>
        <v>17.600000000000023</v>
      </c>
      <c r="I7" s="237">
        <f t="shared" si="0"/>
        <v>904.08213096559382</v>
      </c>
      <c r="J7">
        <f t="shared" si="1"/>
        <v>78.082130965593819</v>
      </c>
      <c r="L7" s="325"/>
      <c r="M7" s="253"/>
      <c r="N7" s="8"/>
      <c r="O7" s="8"/>
      <c r="P7" s="8"/>
      <c r="R7" s="176"/>
      <c r="S7" s="177"/>
      <c r="T7" s="177"/>
      <c r="U7" s="177"/>
      <c r="V7" s="178"/>
      <c r="X7" s="176"/>
      <c r="Y7" s="177"/>
      <c r="Z7" s="177"/>
      <c r="AA7" s="177"/>
      <c r="AB7" s="178"/>
      <c r="AD7" s="176"/>
      <c r="AE7" s="177"/>
      <c r="AF7" s="177"/>
      <c r="AG7" s="177"/>
      <c r="AH7" s="178"/>
    </row>
    <row r="8" spans="1:34" ht="16">
      <c r="A8">
        <v>4</v>
      </c>
      <c r="B8" s="5">
        <v>1</v>
      </c>
      <c r="C8" s="5" t="s">
        <v>7</v>
      </c>
      <c r="D8" s="5">
        <v>820</v>
      </c>
      <c r="E8" s="37"/>
      <c r="F8" s="37"/>
      <c r="G8" s="156">
        <f t="shared" ref="G8:G57" si="3">G7+$G$3*(D7-G7)</f>
        <v>813.68</v>
      </c>
      <c r="H8" s="156">
        <f t="shared" si="2"/>
        <v>6.32000000000005</v>
      </c>
      <c r="I8" s="237">
        <f t="shared" si="0"/>
        <v>910.89532997524122</v>
      </c>
      <c r="J8">
        <f t="shared" si="1"/>
        <v>90.895329975241225</v>
      </c>
      <c r="L8" s="325" t="s">
        <v>20</v>
      </c>
      <c r="M8" s="623">
        <f>G57</f>
        <v>1284.8433068428255</v>
      </c>
      <c r="N8" s="8"/>
      <c r="O8" s="8"/>
      <c r="P8" s="8"/>
      <c r="R8" s="179" t="s">
        <v>121</v>
      </c>
      <c r="S8" s="162">
        <v>112.07659574468086</v>
      </c>
      <c r="T8" s="217"/>
      <c r="U8" s="181"/>
      <c r="V8" s="178"/>
      <c r="X8" s="179" t="s">
        <v>121</v>
      </c>
      <c r="Y8" s="162">
        <v>93.538896191407531</v>
      </c>
      <c r="Z8" s="217"/>
      <c r="AA8" s="181"/>
      <c r="AB8" s="178"/>
      <c r="AD8" s="179" t="s">
        <v>121</v>
      </c>
      <c r="AE8" s="162">
        <v>102.267096388628</v>
      </c>
      <c r="AF8" s="217" t="s">
        <v>147</v>
      </c>
      <c r="AG8" s="207">
        <v>0.43909989355102014</v>
      </c>
      <c r="AH8" s="178"/>
    </row>
    <row r="9" spans="1:34" ht="16" thickBot="1">
      <c r="A9">
        <v>5</v>
      </c>
      <c r="B9" s="5">
        <v>1</v>
      </c>
      <c r="C9" s="5" t="s">
        <v>8</v>
      </c>
      <c r="D9" s="5">
        <v>1013</v>
      </c>
      <c r="E9" s="37"/>
      <c r="F9" s="37"/>
      <c r="G9" s="156">
        <f t="shared" si="3"/>
        <v>815.57600000000002</v>
      </c>
      <c r="H9" s="156">
        <f t="shared" si="2"/>
        <v>197.42399999999998</v>
      </c>
      <c r="I9" s="237">
        <f t="shared" si="0"/>
        <v>917.70852898488863</v>
      </c>
      <c r="J9">
        <f t="shared" si="1"/>
        <v>95.29147101511137</v>
      </c>
      <c r="L9" s="325"/>
      <c r="M9" s="253"/>
      <c r="N9" s="8"/>
      <c r="O9" s="8"/>
      <c r="P9" s="8"/>
      <c r="R9" s="179" t="s">
        <v>122</v>
      </c>
      <c r="S9" s="163">
        <v>0.10316692453827925</v>
      </c>
      <c r="T9" s="217"/>
      <c r="U9" s="181"/>
      <c r="V9" s="178"/>
      <c r="X9" s="179" t="s">
        <v>122</v>
      </c>
      <c r="Y9" s="163">
        <v>8.7480446449090157E-2</v>
      </c>
      <c r="Z9" s="217"/>
      <c r="AA9" s="181"/>
      <c r="AB9" s="178"/>
      <c r="AD9" s="179" t="s">
        <v>122</v>
      </c>
      <c r="AE9" s="163">
        <v>9.6098323253616974E-2</v>
      </c>
      <c r="AF9" s="217" t="s">
        <v>148</v>
      </c>
      <c r="AG9" s="208">
        <v>3.9159002717666647E-3</v>
      </c>
      <c r="AH9" s="178"/>
    </row>
    <row r="10" spans="1:34" ht="16" thickBot="1">
      <c r="A10">
        <v>6</v>
      </c>
      <c r="B10" s="5">
        <v>1</v>
      </c>
      <c r="C10" s="5" t="s">
        <v>9</v>
      </c>
      <c r="D10" s="5">
        <v>904</v>
      </c>
      <c r="E10" s="37">
        <f t="shared" ref="E10:E57" si="4">AVERAGE(D5:D9)</f>
        <v>855.8</v>
      </c>
      <c r="F10" s="37">
        <f>ABS(D10-E10)</f>
        <v>48.200000000000045</v>
      </c>
      <c r="G10" s="156">
        <f t="shared" si="3"/>
        <v>874.80320000000006</v>
      </c>
      <c r="H10" s="156">
        <f t="shared" si="2"/>
        <v>29.196799999999939</v>
      </c>
      <c r="I10" s="237">
        <f t="shared" si="0"/>
        <v>924.52172799453604</v>
      </c>
      <c r="J10">
        <f t="shared" si="1"/>
        <v>20.521727994536036</v>
      </c>
      <c r="L10" s="325" t="s">
        <v>21</v>
      </c>
      <c r="M10" s="321">
        <f>I57</f>
        <v>1244.7420814479638</v>
      </c>
      <c r="N10" s="8"/>
      <c r="O10" s="8"/>
      <c r="P10" s="8"/>
      <c r="R10" s="176"/>
      <c r="S10" s="177"/>
      <c r="T10" s="177"/>
      <c r="U10" s="177"/>
      <c r="V10" s="178"/>
      <c r="X10" s="176"/>
      <c r="Y10" s="177"/>
      <c r="Z10" s="177"/>
      <c r="AA10" s="177"/>
      <c r="AB10" s="178"/>
      <c r="AD10" s="179"/>
      <c r="AE10" s="209"/>
      <c r="AF10" s="217"/>
      <c r="AG10" s="210"/>
      <c r="AH10" s="178"/>
    </row>
    <row r="11" spans="1:34" ht="30" thickBot="1">
      <c r="A11">
        <v>7</v>
      </c>
      <c r="B11" s="5">
        <v>2</v>
      </c>
      <c r="C11" s="5" t="s">
        <v>10</v>
      </c>
      <c r="D11" s="5">
        <v>900</v>
      </c>
      <c r="E11" s="37">
        <f t="shared" si="4"/>
        <v>875.4</v>
      </c>
      <c r="F11" s="37">
        <f t="shared" ref="F11:F56" si="5">ABS(D11-E11)</f>
        <v>24.600000000000023</v>
      </c>
      <c r="G11" s="156">
        <f t="shared" si="3"/>
        <v>883.56224000000009</v>
      </c>
      <c r="H11" s="156">
        <f t="shared" si="2"/>
        <v>16.437759999999912</v>
      </c>
      <c r="I11" s="237">
        <f t="shared" si="0"/>
        <v>931.33492700418344</v>
      </c>
      <c r="J11">
        <f t="shared" si="1"/>
        <v>31.334927004183442</v>
      </c>
      <c r="L11" s="325"/>
      <c r="M11" s="253"/>
      <c r="N11" s="8"/>
      <c r="O11" s="8"/>
      <c r="P11" s="8"/>
      <c r="R11" s="164" t="s">
        <v>39</v>
      </c>
      <c r="S11" s="164" t="s">
        <v>38</v>
      </c>
      <c r="T11" s="164" t="s">
        <v>185</v>
      </c>
      <c r="U11" s="164" t="s">
        <v>37</v>
      </c>
      <c r="V11" s="165" t="s">
        <v>123</v>
      </c>
      <c r="X11" s="164" t="s">
        <v>39</v>
      </c>
      <c r="Y11" s="164" t="s">
        <v>38</v>
      </c>
      <c r="Z11" s="164" t="s">
        <v>185</v>
      </c>
      <c r="AA11" s="164" t="s">
        <v>37</v>
      </c>
      <c r="AB11" s="165" t="s">
        <v>123</v>
      </c>
      <c r="AD11" s="659" t="s">
        <v>149</v>
      </c>
      <c r="AE11" s="660"/>
      <c r="AF11" s="691"/>
      <c r="AG11" s="211">
        <v>53</v>
      </c>
      <c r="AH11" s="178"/>
    </row>
    <row r="12" spans="1:34" ht="16" thickBot="1">
      <c r="A12">
        <v>8</v>
      </c>
      <c r="B12" s="5">
        <v>2</v>
      </c>
      <c r="C12" s="5" t="s">
        <v>23</v>
      </c>
      <c r="D12" s="5">
        <v>1111</v>
      </c>
      <c r="E12" s="37">
        <f t="shared" si="4"/>
        <v>892.6</v>
      </c>
      <c r="F12" s="37">
        <f t="shared" si="5"/>
        <v>218.39999999999998</v>
      </c>
      <c r="G12" s="156">
        <f t="shared" si="3"/>
        <v>888.4935680000001</v>
      </c>
      <c r="H12" s="156">
        <f t="shared" si="2"/>
        <v>222.5064319999999</v>
      </c>
      <c r="I12" s="237">
        <f t="shared" si="0"/>
        <v>938.14812601383073</v>
      </c>
      <c r="J12">
        <f t="shared" si="1"/>
        <v>172.85187398616927</v>
      </c>
      <c r="L12" s="325" t="s">
        <v>25</v>
      </c>
      <c r="M12" s="8"/>
      <c r="N12" s="253" t="s">
        <v>17</v>
      </c>
      <c r="O12" s="253" t="s">
        <v>169</v>
      </c>
      <c r="P12" s="253" t="s">
        <v>53</v>
      </c>
      <c r="R12" s="166">
        <v>1</v>
      </c>
      <c r="S12" s="200">
        <v>806</v>
      </c>
      <c r="T12" s="168" t="s">
        <v>124</v>
      </c>
      <c r="U12" s="169" t="s">
        <v>124</v>
      </c>
      <c r="V12" s="170" t="s">
        <v>124</v>
      </c>
      <c r="X12" s="166">
        <v>1</v>
      </c>
      <c r="Y12" s="200">
        <v>806</v>
      </c>
      <c r="Z12" s="168" t="s">
        <v>124</v>
      </c>
      <c r="AA12" s="194" t="s">
        <v>124</v>
      </c>
      <c r="AB12" s="170" t="s">
        <v>124</v>
      </c>
      <c r="AD12" s="659" t="str">
        <f xml:space="preserve"> "Prediction of period " &amp; AG11 &amp; " ="</f>
        <v>Prediction of period 53 =</v>
      </c>
      <c r="AE12" s="660"/>
      <c r="AF12" s="660"/>
      <c r="AG12" s="212">
        <v>1244.7420814479638</v>
      </c>
      <c r="AH12" s="178"/>
    </row>
    <row r="13" spans="1:34" ht="16" thickBot="1">
      <c r="A13">
        <v>9</v>
      </c>
      <c r="B13" s="5">
        <v>2</v>
      </c>
      <c r="C13" s="5" t="s">
        <v>24</v>
      </c>
      <c r="D13" s="5">
        <v>1119</v>
      </c>
      <c r="E13" s="37">
        <f t="shared" si="4"/>
        <v>949.6</v>
      </c>
      <c r="F13" s="37">
        <f t="shared" si="5"/>
        <v>169.39999999999998</v>
      </c>
      <c r="G13" s="156">
        <f t="shared" si="3"/>
        <v>955.24549760000002</v>
      </c>
      <c r="H13" s="156">
        <f t="shared" si="2"/>
        <v>163.75450239999998</v>
      </c>
      <c r="I13" s="237">
        <f t="shared" si="0"/>
        <v>944.96132502347814</v>
      </c>
      <c r="J13">
        <f t="shared" si="1"/>
        <v>174.03867497652186</v>
      </c>
      <c r="M13" s="253" t="s">
        <v>107</v>
      </c>
      <c r="N13" s="240">
        <f>(F59/COUNT(F10:F56))</f>
        <v>112.07659574468086</v>
      </c>
      <c r="O13" s="240">
        <f>H59/COUNT(H6:H56)</f>
        <v>93.538896191407531</v>
      </c>
      <c r="P13" s="240">
        <f>J59/COUNT(J5:J56)</f>
        <v>102.26709638862803</v>
      </c>
      <c r="R13" s="171">
        <v>2</v>
      </c>
      <c r="S13" s="167">
        <v>814</v>
      </c>
      <c r="T13" s="172" t="s">
        <v>124</v>
      </c>
      <c r="U13" s="173" t="s">
        <v>124</v>
      </c>
      <c r="V13" s="174" t="s">
        <v>124</v>
      </c>
      <c r="X13" s="171">
        <v>2</v>
      </c>
      <c r="Y13" s="167">
        <v>814</v>
      </c>
      <c r="Z13" s="172">
        <v>806</v>
      </c>
      <c r="AA13" s="195">
        <v>8</v>
      </c>
      <c r="AB13" s="174">
        <v>1</v>
      </c>
      <c r="AD13" s="176"/>
      <c r="AE13" s="177"/>
      <c r="AF13" s="177"/>
      <c r="AG13" s="177"/>
      <c r="AH13" s="178"/>
    </row>
    <row r="14" spans="1:34" ht="30" thickBot="1">
      <c r="A14">
        <v>10</v>
      </c>
      <c r="B14" s="5">
        <v>2</v>
      </c>
      <c r="C14" s="5" t="s">
        <v>14</v>
      </c>
      <c r="D14" s="5">
        <v>902</v>
      </c>
      <c r="E14" s="37">
        <f t="shared" si="4"/>
        <v>1009.4</v>
      </c>
      <c r="F14" s="37">
        <f t="shared" si="5"/>
        <v>107.39999999999998</v>
      </c>
      <c r="G14" s="156">
        <f t="shared" si="3"/>
        <v>1004.37184832</v>
      </c>
      <c r="H14" s="156">
        <f t="shared" si="2"/>
        <v>102.37184832000003</v>
      </c>
      <c r="I14" s="237">
        <f t="shared" si="0"/>
        <v>951.77452403312554</v>
      </c>
      <c r="J14">
        <f t="shared" si="1"/>
        <v>49.774524033125545</v>
      </c>
      <c r="M14" s="253" t="s">
        <v>111</v>
      </c>
      <c r="N14" s="621">
        <f>F59/(D59-SUM(D5:D9))</f>
        <v>0.10316692453827925</v>
      </c>
      <c r="O14" s="621">
        <f>H59/(D59-SUM(D5))</f>
        <v>8.7480446449090157E-2</v>
      </c>
      <c r="P14" s="621">
        <f>J59/D59</f>
        <v>9.6098323253617002E-2</v>
      </c>
      <c r="R14" s="171">
        <v>3</v>
      </c>
      <c r="S14" s="167">
        <v>826</v>
      </c>
      <c r="T14" s="172" t="s">
        <v>124</v>
      </c>
      <c r="U14" s="173" t="s">
        <v>124</v>
      </c>
      <c r="V14" s="174" t="s">
        <v>124</v>
      </c>
      <c r="X14" s="171">
        <v>3</v>
      </c>
      <c r="Y14" s="167">
        <v>826</v>
      </c>
      <c r="Z14" s="172">
        <v>808.4</v>
      </c>
      <c r="AA14" s="195">
        <v>17.600000000000023</v>
      </c>
      <c r="AB14" s="174">
        <v>2</v>
      </c>
      <c r="AD14" s="164" t="s">
        <v>39</v>
      </c>
      <c r="AE14" s="164" t="s">
        <v>38</v>
      </c>
      <c r="AF14" s="164" t="s">
        <v>185</v>
      </c>
      <c r="AG14" s="164" t="s">
        <v>37</v>
      </c>
      <c r="AH14" s="165" t="s">
        <v>123</v>
      </c>
    </row>
    <row r="15" spans="1:34">
      <c r="A15">
        <v>11</v>
      </c>
      <c r="B15" s="5">
        <v>2</v>
      </c>
      <c r="C15" s="5" t="s">
        <v>15</v>
      </c>
      <c r="D15" s="5">
        <v>908</v>
      </c>
      <c r="E15" s="37">
        <f t="shared" si="4"/>
        <v>987.2</v>
      </c>
      <c r="F15" s="37">
        <f t="shared" si="5"/>
        <v>79.200000000000045</v>
      </c>
      <c r="G15" s="156">
        <f t="shared" si="3"/>
        <v>973.66029382400006</v>
      </c>
      <c r="H15" s="156">
        <f t="shared" si="2"/>
        <v>65.660293824000064</v>
      </c>
      <c r="I15" s="237">
        <f t="shared" si="0"/>
        <v>958.58772304277295</v>
      </c>
      <c r="J15">
        <f t="shared" si="1"/>
        <v>50.58772304277295</v>
      </c>
      <c r="M15" s="8"/>
      <c r="N15" s="8"/>
      <c r="O15" s="8"/>
      <c r="P15" s="8"/>
      <c r="R15" s="171">
        <v>4</v>
      </c>
      <c r="S15" s="167">
        <v>820</v>
      </c>
      <c r="T15" s="172" t="s">
        <v>124</v>
      </c>
      <c r="U15" s="173" t="s">
        <v>124</v>
      </c>
      <c r="V15" s="174" t="s">
        <v>124</v>
      </c>
      <c r="X15" s="171">
        <v>4</v>
      </c>
      <c r="Y15" s="167">
        <v>820</v>
      </c>
      <c r="Z15" s="172">
        <v>813.68</v>
      </c>
      <c r="AA15" s="195">
        <v>6.32000000000005</v>
      </c>
      <c r="AB15" s="174">
        <v>3</v>
      </c>
      <c r="AD15" s="166">
        <v>1</v>
      </c>
      <c r="AE15" s="200">
        <v>806</v>
      </c>
      <c r="AF15" s="168">
        <v>890.45573294629889</v>
      </c>
      <c r="AG15" s="194">
        <v>-84.455732946298895</v>
      </c>
      <c r="AH15" s="213">
        <v>-1</v>
      </c>
    </row>
    <row r="16" spans="1:34">
      <c r="A16">
        <v>12</v>
      </c>
      <c r="B16" s="5">
        <v>2</v>
      </c>
      <c r="C16" s="5" t="s">
        <v>16</v>
      </c>
      <c r="D16" s="5">
        <v>904</v>
      </c>
      <c r="E16" s="37">
        <f t="shared" si="4"/>
        <v>988</v>
      </c>
      <c r="F16" s="37">
        <f t="shared" si="5"/>
        <v>84</v>
      </c>
      <c r="G16" s="156">
        <f t="shared" si="3"/>
        <v>953.96220567680007</v>
      </c>
      <c r="H16" s="156">
        <f t="shared" si="2"/>
        <v>49.962205676800068</v>
      </c>
      <c r="I16" s="237">
        <f t="shared" si="0"/>
        <v>965.40092205242036</v>
      </c>
      <c r="J16">
        <f t="shared" si="1"/>
        <v>61.400922052420356</v>
      </c>
      <c r="M16" s="721" t="s">
        <v>171</v>
      </c>
      <c r="N16" s="722"/>
      <c r="O16" s="722"/>
      <c r="P16" s="722"/>
      <c r="R16" s="171">
        <v>5</v>
      </c>
      <c r="S16" s="167">
        <v>1013</v>
      </c>
      <c r="T16" s="172" t="s">
        <v>124</v>
      </c>
      <c r="U16" s="173" t="s">
        <v>124</v>
      </c>
      <c r="V16" s="174" t="s">
        <v>124</v>
      </c>
      <c r="X16" s="171">
        <v>5</v>
      </c>
      <c r="Y16" s="167">
        <v>1013</v>
      </c>
      <c r="Z16" s="172">
        <v>815.57600000000002</v>
      </c>
      <c r="AA16" s="195">
        <v>197.42399999999998</v>
      </c>
      <c r="AB16" s="174">
        <v>4</v>
      </c>
      <c r="AD16" s="171">
        <v>2</v>
      </c>
      <c r="AE16" s="167">
        <v>814</v>
      </c>
      <c r="AF16" s="172">
        <v>897.2689319559463</v>
      </c>
      <c r="AG16" s="195">
        <v>-83.2689319559463</v>
      </c>
      <c r="AH16" s="214">
        <v>-2</v>
      </c>
    </row>
    <row r="17" spans="1:34">
      <c r="A17">
        <v>13</v>
      </c>
      <c r="B17" s="5">
        <v>2</v>
      </c>
      <c r="C17" s="5" t="s">
        <v>4</v>
      </c>
      <c r="D17" s="5">
        <v>962</v>
      </c>
      <c r="E17" s="37">
        <f t="shared" si="4"/>
        <v>988.8</v>
      </c>
      <c r="F17" s="37">
        <f t="shared" si="5"/>
        <v>26.799999999999955</v>
      </c>
      <c r="G17" s="156">
        <f t="shared" si="3"/>
        <v>938.97354397376</v>
      </c>
      <c r="H17" s="156">
        <f t="shared" si="2"/>
        <v>23.026456026239998</v>
      </c>
      <c r="I17" s="237">
        <f t="shared" si="0"/>
        <v>972.21412106206776</v>
      </c>
      <c r="J17">
        <f t="shared" si="1"/>
        <v>10.214121062067761</v>
      </c>
      <c r="M17" s="722"/>
      <c r="N17" s="722"/>
      <c r="O17" s="722"/>
      <c r="P17" s="722"/>
      <c r="R17" s="171">
        <v>6</v>
      </c>
      <c r="S17" s="167">
        <v>904</v>
      </c>
      <c r="T17" s="172">
        <v>855.8</v>
      </c>
      <c r="U17" s="173">
        <v>48.200000000000045</v>
      </c>
      <c r="V17" s="174">
        <v>1</v>
      </c>
      <c r="X17" s="171">
        <v>6</v>
      </c>
      <c r="Y17" s="167">
        <v>904</v>
      </c>
      <c r="Z17" s="172">
        <v>874.80320000000006</v>
      </c>
      <c r="AA17" s="195">
        <v>29.196799999999939</v>
      </c>
      <c r="AB17" s="174">
        <v>5</v>
      </c>
      <c r="AD17" s="171">
        <v>3</v>
      </c>
      <c r="AE17" s="167">
        <v>826</v>
      </c>
      <c r="AF17" s="172">
        <v>904.08213096559371</v>
      </c>
      <c r="AG17" s="195">
        <v>-78.082130965593706</v>
      </c>
      <c r="AH17" s="214">
        <v>-3</v>
      </c>
    </row>
    <row r="18" spans="1:34">
      <c r="A18">
        <v>14</v>
      </c>
      <c r="B18" s="5">
        <v>2</v>
      </c>
      <c r="C18" s="5" t="s">
        <v>5</v>
      </c>
      <c r="D18" s="5">
        <v>963</v>
      </c>
      <c r="E18" s="37">
        <f t="shared" si="4"/>
        <v>959</v>
      </c>
      <c r="F18" s="37">
        <f t="shared" si="5"/>
        <v>4</v>
      </c>
      <c r="G18" s="156">
        <f t="shared" si="3"/>
        <v>945.88148078163204</v>
      </c>
      <c r="H18" s="156">
        <f t="shared" si="2"/>
        <v>17.118519218367965</v>
      </c>
      <c r="I18" s="237">
        <f t="shared" si="0"/>
        <v>979.02732007171517</v>
      </c>
      <c r="J18">
        <f t="shared" si="1"/>
        <v>16.027320071715167</v>
      </c>
      <c r="M18" s="722"/>
      <c r="N18" s="722"/>
      <c r="O18" s="722"/>
      <c r="P18" s="722"/>
      <c r="R18" s="171">
        <v>7</v>
      </c>
      <c r="S18" s="167">
        <v>900</v>
      </c>
      <c r="T18" s="172">
        <v>875.4</v>
      </c>
      <c r="U18" s="173">
        <v>24.600000000000023</v>
      </c>
      <c r="V18" s="174">
        <v>2</v>
      </c>
      <c r="X18" s="171">
        <v>7</v>
      </c>
      <c r="Y18" s="167">
        <v>900</v>
      </c>
      <c r="Z18" s="172">
        <v>883.56224000000009</v>
      </c>
      <c r="AA18" s="195">
        <v>16.437759999999912</v>
      </c>
      <c r="AB18" s="174">
        <v>6</v>
      </c>
      <c r="AD18" s="171">
        <v>4</v>
      </c>
      <c r="AE18" s="167">
        <v>820</v>
      </c>
      <c r="AF18" s="172">
        <v>910.89532997524111</v>
      </c>
      <c r="AG18" s="195">
        <v>-90.895329975241111</v>
      </c>
      <c r="AH18" s="214">
        <v>-4</v>
      </c>
    </row>
    <row r="19" spans="1:34">
      <c r="A19">
        <v>15</v>
      </c>
      <c r="B19" s="5">
        <v>2</v>
      </c>
      <c r="C19" s="5" t="s">
        <v>6</v>
      </c>
      <c r="D19" s="5">
        <v>974</v>
      </c>
      <c r="E19" s="37">
        <f t="shared" si="4"/>
        <v>927.8</v>
      </c>
      <c r="F19" s="37">
        <f t="shared" si="5"/>
        <v>46.200000000000045</v>
      </c>
      <c r="G19" s="156">
        <f t="shared" si="3"/>
        <v>951.01703654714242</v>
      </c>
      <c r="H19" s="156">
        <f t="shared" si="2"/>
        <v>22.982963452857575</v>
      </c>
      <c r="I19" s="237">
        <f t="shared" si="0"/>
        <v>985.84051908136257</v>
      </c>
      <c r="J19">
        <f t="shared" si="1"/>
        <v>11.840519081362572</v>
      </c>
      <c r="R19" s="171">
        <v>8</v>
      </c>
      <c r="S19" s="167">
        <v>1111</v>
      </c>
      <c r="T19" s="172">
        <v>892.6</v>
      </c>
      <c r="U19" s="173">
        <v>218.39999999999998</v>
      </c>
      <c r="V19" s="174">
        <v>3</v>
      </c>
      <c r="X19" s="171">
        <v>8</v>
      </c>
      <c r="Y19" s="167">
        <v>1111</v>
      </c>
      <c r="Z19" s="172">
        <v>888.4935680000001</v>
      </c>
      <c r="AA19" s="195">
        <v>222.5064319999999</v>
      </c>
      <c r="AB19" s="174">
        <v>7</v>
      </c>
      <c r="AD19" s="171">
        <v>5</v>
      </c>
      <c r="AE19" s="167">
        <v>1013</v>
      </c>
      <c r="AF19" s="172">
        <v>917.70852898488852</v>
      </c>
      <c r="AG19" s="195">
        <v>95.291471015111483</v>
      </c>
      <c r="AH19" s="214">
        <v>-2.7941462163293971</v>
      </c>
    </row>
    <row r="20" spans="1:34">
      <c r="A20">
        <v>16</v>
      </c>
      <c r="B20" s="5">
        <v>2</v>
      </c>
      <c r="C20" s="5" t="s">
        <v>7</v>
      </c>
      <c r="D20" s="5">
        <v>976</v>
      </c>
      <c r="E20" s="37">
        <f t="shared" si="4"/>
        <v>942.2</v>
      </c>
      <c r="F20" s="37">
        <f t="shared" si="5"/>
        <v>33.799999999999955</v>
      </c>
      <c r="G20" s="156">
        <f t="shared" si="3"/>
        <v>957.91192558299974</v>
      </c>
      <c r="H20" s="156">
        <f t="shared" si="2"/>
        <v>18.088074417000257</v>
      </c>
      <c r="I20" s="237">
        <f t="shared" si="0"/>
        <v>992.65371809100998</v>
      </c>
      <c r="J20">
        <f t="shared" si="1"/>
        <v>16.653718091009978</v>
      </c>
      <c r="R20" s="171">
        <v>9</v>
      </c>
      <c r="S20" s="167">
        <v>1119</v>
      </c>
      <c r="T20" s="172">
        <v>949.6</v>
      </c>
      <c r="U20" s="173">
        <v>169.39999999999998</v>
      </c>
      <c r="V20" s="174">
        <v>4</v>
      </c>
      <c r="X20" s="171">
        <v>9</v>
      </c>
      <c r="Y20" s="167">
        <v>1119</v>
      </c>
      <c r="Z20" s="172">
        <v>955.24549760000002</v>
      </c>
      <c r="AA20" s="195">
        <v>163.75450239999998</v>
      </c>
      <c r="AB20" s="174">
        <v>8</v>
      </c>
      <c r="AD20" s="171">
        <v>6</v>
      </c>
      <c r="AE20" s="167">
        <v>904</v>
      </c>
      <c r="AF20" s="172">
        <v>924.52172799453592</v>
      </c>
      <c r="AG20" s="195">
        <v>-20.521727994535922</v>
      </c>
      <c r="AH20" s="214">
        <v>-3.4730189468091655</v>
      </c>
    </row>
    <row r="21" spans="1:34">
      <c r="A21">
        <v>17</v>
      </c>
      <c r="B21" s="5">
        <v>2</v>
      </c>
      <c r="C21" s="5" t="s">
        <v>8</v>
      </c>
      <c r="D21" s="5">
        <v>1172</v>
      </c>
      <c r="E21" s="37">
        <f t="shared" si="4"/>
        <v>955.8</v>
      </c>
      <c r="F21" s="37">
        <f t="shared" si="5"/>
        <v>216.20000000000005</v>
      </c>
      <c r="G21" s="156">
        <f t="shared" si="3"/>
        <v>963.33834790809988</v>
      </c>
      <c r="H21" s="156">
        <f t="shared" si="2"/>
        <v>208.66165209190012</v>
      </c>
      <c r="I21" s="237">
        <f t="shared" si="0"/>
        <v>999.46691710065738</v>
      </c>
      <c r="J21">
        <f t="shared" si="1"/>
        <v>172.53308289934262</v>
      </c>
      <c r="R21" s="171">
        <v>10</v>
      </c>
      <c r="S21" s="167">
        <v>902</v>
      </c>
      <c r="T21" s="172">
        <v>1009.4</v>
      </c>
      <c r="U21" s="173">
        <v>-107.39999999999998</v>
      </c>
      <c r="V21" s="174">
        <v>3.1091549295774654</v>
      </c>
      <c r="X21" s="171">
        <v>10</v>
      </c>
      <c r="Y21" s="167">
        <v>902</v>
      </c>
      <c r="Z21" s="172">
        <v>1004.37184832</v>
      </c>
      <c r="AA21" s="195">
        <v>-102.37184832000003</v>
      </c>
      <c r="AB21" s="174">
        <v>6.5868702222307389</v>
      </c>
      <c r="AD21" s="171">
        <v>7</v>
      </c>
      <c r="AE21" s="167">
        <v>900</v>
      </c>
      <c r="AF21" s="172">
        <v>931.33492700418333</v>
      </c>
      <c r="AG21" s="195">
        <v>-31.334927004183328</v>
      </c>
      <c r="AH21" s="214">
        <v>-4.242782060995828</v>
      </c>
    </row>
    <row r="22" spans="1:34">
      <c r="A22">
        <v>18</v>
      </c>
      <c r="B22" s="5">
        <v>2</v>
      </c>
      <c r="C22" s="5" t="s">
        <v>9</v>
      </c>
      <c r="D22" s="5">
        <v>1179</v>
      </c>
      <c r="E22" s="37">
        <f t="shared" si="4"/>
        <v>1009.4</v>
      </c>
      <c r="F22" s="37">
        <f t="shared" si="5"/>
        <v>169.60000000000002</v>
      </c>
      <c r="G22" s="156">
        <f t="shared" si="3"/>
        <v>1025.9368435356698</v>
      </c>
      <c r="H22" s="156">
        <f t="shared" si="2"/>
        <v>153.06315646433018</v>
      </c>
      <c r="I22" s="237">
        <f t="shared" si="0"/>
        <v>1006.2801161103048</v>
      </c>
      <c r="J22">
        <f t="shared" si="1"/>
        <v>172.71988388969521</v>
      </c>
      <c r="R22" s="171">
        <v>11</v>
      </c>
      <c r="S22" s="167">
        <v>908</v>
      </c>
      <c r="T22" s="172">
        <v>987.2</v>
      </c>
      <c r="U22" s="173">
        <v>-79.200000000000045</v>
      </c>
      <c r="V22" s="174">
        <v>2.5401730531520395</v>
      </c>
      <c r="X22" s="171">
        <v>11</v>
      </c>
      <c r="Y22" s="167">
        <v>908</v>
      </c>
      <c r="Z22" s="172">
        <v>973.66029382400006</v>
      </c>
      <c r="AA22" s="195">
        <v>-65.660293824000064</v>
      </c>
      <c r="AB22" s="174">
        <v>5.9474764422360762</v>
      </c>
      <c r="AD22" s="171">
        <v>8</v>
      </c>
      <c r="AE22" s="167">
        <v>1111</v>
      </c>
      <c r="AF22" s="172">
        <v>938.14812601383073</v>
      </c>
      <c r="AG22" s="195">
        <v>172.85187398616927</v>
      </c>
      <c r="AH22" s="214">
        <v>-1.4669108699586206</v>
      </c>
    </row>
    <row r="23" spans="1:34">
      <c r="A23">
        <v>19</v>
      </c>
      <c r="B23" s="5">
        <v>3</v>
      </c>
      <c r="C23" s="5" t="s">
        <v>10</v>
      </c>
      <c r="D23" s="5">
        <v>1168</v>
      </c>
      <c r="E23" s="37">
        <f t="shared" si="4"/>
        <v>1052.8</v>
      </c>
      <c r="F23" s="37">
        <f t="shared" si="5"/>
        <v>115.20000000000005</v>
      </c>
      <c r="G23" s="156">
        <f t="shared" si="3"/>
        <v>1071.8557904749689</v>
      </c>
      <c r="H23" s="156">
        <f t="shared" si="2"/>
        <v>96.144209525031101</v>
      </c>
      <c r="I23" s="237">
        <f t="shared" si="0"/>
        <v>1013.0933151199522</v>
      </c>
      <c r="J23">
        <f t="shared" si="1"/>
        <v>154.90668488004781</v>
      </c>
      <c r="R23" s="171">
        <v>12</v>
      </c>
      <c r="S23" s="167">
        <v>904</v>
      </c>
      <c r="T23" s="172">
        <v>988</v>
      </c>
      <c r="U23" s="173">
        <v>-84</v>
      </c>
      <c r="V23" s="174">
        <v>1.8189277899343543</v>
      </c>
      <c r="X23" s="171">
        <v>12</v>
      </c>
      <c r="Y23" s="167">
        <v>904</v>
      </c>
      <c r="Z23" s="172">
        <v>953.96220567680007</v>
      </c>
      <c r="AA23" s="195">
        <v>-49.962205676800068</v>
      </c>
      <c r="AB23" s="174">
        <v>5.5453923384659412</v>
      </c>
      <c r="AD23" s="171">
        <v>9</v>
      </c>
      <c r="AE23" s="167">
        <v>1119</v>
      </c>
      <c r="AF23" s="172">
        <v>944.96132502347814</v>
      </c>
      <c r="AG23" s="195">
        <v>174.03867497652186</v>
      </c>
      <c r="AH23" s="214">
        <v>0.58093830439999095</v>
      </c>
    </row>
    <row r="24" spans="1:34">
      <c r="A24">
        <v>20</v>
      </c>
      <c r="B24" s="5">
        <v>3</v>
      </c>
      <c r="C24" s="5" t="s">
        <v>23</v>
      </c>
      <c r="D24" s="5">
        <v>1159</v>
      </c>
      <c r="E24" s="37">
        <f t="shared" si="4"/>
        <v>1093.8</v>
      </c>
      <c r="F24" s="37">
        <f t="shared" si="5"/>
        <v>65.200000000000045</v>
      </c>
      <c r="G24" s="156">
        <f t="shared" si="3"/>
        <v>1100.6990533324783</v>
      </c>
      <c r="H24" s="156">
        <f t="shared" si="2"/>
        <v>58.300946667521657</v>
      </c>
      <c r="I24" s="237">
        <f t="shared" si="0"/>
        <v>1019.9065141295996</v>
      </c>
      <c r="J24">
        <f t="shared" si="1"/>
        <v>139.0934858704004</v>
      </c>
      <c r="R24" s="171">
        <v>13</v>
      </c>
      <c r="S24" s="167">
        <v>962</v>
      </c>
      <c r="T24" s="172">
        <v>988.8</v>
      </c>
      <c r="U24" s="173">
        <v>-26.799999999999955</v>
      </c>
      <c r="V24" s="174">
        <v>1.7224274406332458</v>
      </c>
      <c r="X24" s="171">
        <v>13</v>
      </c>
      <c r="Y24" s="167">
        <v>962</v>
      </c>
      <c r="Z24" s="172">
        <v>938.97354397376</v>
      </c>
      <c r="AA24" s="195">
        <v>23.026456026239998</v>
      </c>
      <c r="AB24" s="174">
        <v>6.2013802914037637</v>
      </c>
      <c r="AD24" s="171">
        <v>10</v>
      </c>
      <c r="AE24" s="167">
        <v>902</v>
      </c>
      <c r="AF24" s="172">
        <v>951.77452403312554</v>
      </c>
      <c r="AG24" s="195">
        <v>-49.774524033125545</v>
      </c>
      <c r="AH24" s="214">
        <v>4.3709802592266409E-2</v>
      </c>
    </row>
    <row r="25" spans="1:34">
      <c r="A25">
        <v>21</v>
      </c>
      <c r="B25" s="5">
        <v>3</v>
      </c>
      <c r="C25" s="5" t="s">
        <v>24</v>
      </c>
      <c r="D25" s="5">
        <v>1165</v>
      </c>
      <c r="E25" s="37">
        <f t="shared" si="4"/>
        <v>1130.8</v>
      </c>
      <c r="F25" s="37">
        <f t="shared" si="5"/>
        <v>34.200000000000045</v>
      </c>
      <c r="G25" s="156">
        <f t="shared" si="3"/>
        <v>1118.1893373327348</v>
      </c>
      <c r="H25" s="156">
        <f t="shared" si="2"/>
        <v>46.810662667265206</v>
      </c>
      <c r="I25" s="237">
        <f t="shared" si="0"/>
        <v>1026.719713139247</v>
      </c>
      <c r="J25">
        <f t="shared" si="1"/>
        <v>138.28028686075299</v>
      </c>
      <c r="R25" s="171">
        <v>14</v>
      </c>
      <c r="S25" s="167">
        <v>963</v>
      </c>
      <c r="T25" s="172">
        <v>959</v>
      </c>
      <c r="U25" s="173">
        <v>4</v>
      </c>
      <c r="V25" s="174">
        <v>1.9748031496062997</v>
      </c>
      <c r="X25" s="171">
        <v>14</v>
      </c>
      <c r="Y25" s="167">
        <v>963</v>
      </c>
      <c r="Z25" s="172">
        <v>945.88148078163204</v>
      </c>
      <c r="AA25" s="195">
        <v>17.118519218367965</v>
      </c>
      <c r="AB25" s="174">
        <v>6.8351276582962388</v>
      </c>
      <c r="AD25" s="171">
        <v>11</v>
      </c>
      <c r="AE25" s="167">
        <v>908</v>
      </c>
      <c r="AF25" s="172">
        <v>958.58772304277295</v>
      </c>
      <c r="AG25" s="195">
        <v>-50.58772304277295</v>
      </c>
      <c r="AH25" s="214">
        <v>-0.5521720592590611</v>
      </c>
    </row>
    <row r="26" spans="1:34">
      <c r="A26">
        <v>22</v>
      </c>
      <c r="B26" s="5">
        <v>3</v>
      </c>
      <c r="C26" s="5" t="s">
        <v>14</v>
      </c>
      <c r="D26" s="5">
        <v>1175</v>
      </c>
      <c r="E26" s="37">
        <f t="shared" si="4"/>
        <v>1168.5999999999999</v>
      </c>
      <c r="F26" s="37">
        <f t="shared" si="5"/>
        <v>6.4000000000000909</v>
      </c>
      <c r="G26" s="156">
        <f t="shared" si="3"/>
        <v>1132.2325361329144</v>
      </c>
      <c r="H26" s="156">
        <f t="shared" si="2"/>
        <v>42.767463867085553</v>
      </c>
      <c r="I26" s="237">
        <f t="shared" si="0"/>
        <v>1033.5329121488944</v>
      </c>
      <c r="J26">
        <f t="shared" si="1"/>
        <v>141.46708785110559</v>
      </c>
      <c r="R26" s="171">
        <v>15</v>
      </c>
      <c r="S26" s="167">
        <v>974</v>
      </c>
      <c r="T26" s="172">
        <v>927.8</v>
      </c>
      <c r="U26" s="173">
        <v>46.200000000000045</v>
      </c>
      <c r="V26" s="174">
        <v>2.6404355357584763</v>
      </c>
      <c r="X26" s="171">
        <v>15</v>
      </c>
      <c r="Y26" s="167">
        <v>974</v>
      </c>
      <c r="Z26" s="172">
        <v>951.01703654714242</v>
      </c>
      <c r="AA26" s="195">
        <v>22.982963452857575</v>
      </c>
      <c r="AB26" s="174">
        <v>7.5228254555966414</v>
      </c>
      <c r="AD26" s="171">
        <v>12</v>
      </c>
      <c r="AE26" s="167">
        <v>904</v>
      </c>
      <c r="AF26" s="172">
        <v>965.40092205242036</v>
      </c>
      <c r="AG26" s="195">
        <v>-61.400922052420356</v>
      </c>
      <c r="AH26" s="214">
        <v>-1.307480069803528</v>
      </c>
    </row>
    <row r="27" spans="1:34">
      <c r="A27">
        <v>23</v>
      </c>
      <c r="B27" s="5">
        <v>3</v>
      </c>
      <c r="C27" s="5" t="s">
        <v>15</v>
      </c>
      <c r="D27" s="5">
        <v>929</v>
      </c>
      <c r="E27" s="37">
        <f t="shared" si="4"/>
        <v>1169.2</v>
      </c>
      <c r="F27" s="37">
        <f t="shared" si="5"/>
        <v>240.20000000000005</v>
      </c>
      <c r="G27" s="156">
        <f t="shared" si="3"/>
        <v>1145.0627752930402</v>
      </c>
      <c r="H27" s="156">
        <f t="shared" si="2"/>
        <v>216.0627752930402</v>
      </c>
      <c r="I27" s="237">
        <f t="shared" si="0"/>
        <v>1040.3461111585418</v>
      </c>
      <c r="J27">
        <f t="shared" si="1"/>
        <v>111.34611115854182</v>
      </c>
      <c r="R27" s="171">
        <v>16</v>
      </c>
      <c r="S27" s="167">
        <v>976</v>
      </c>
      <c r="T27" s="172">
        <v>942.2</v>
      </c>
      <c r="U27" s="173">
        <v>33.799999999999955</v>
      </c>
      <c r="V27" s="174">
        <v>3.2294536817102144</v>
      </c>
      <c r="X27" s="171">
        <v>16</v>
      </c>
      <c r="Y27" s="167">
        <v>976</v>
      </c>
      <c r="Z27" s="172">
        <v>957.91192558299974</v>
      </c>
      <c r="AA27" s="195">
        <v>18.088074417000257</v>
      </c>
      <c r="AB27" s="174">
        <v>8.1908673854283265</v>
      </c>
      <c r="AD27" s="171">
        <v>13</v>
      </c>
      <c r="AE27" s="167">
        <v>962</v>
      </c>
      <c r="AF27" s="172">
        <v>972.21412106206765</v>
      </c>
      <c r="AG27" s="195">
        <v>-10.214121062067647</v>
      </c>
      <c r="AH27" s="214">
        <v>-1.5344319380507263</v>
      </c>
    </row>
    <row r="28" spans="1:34">
      <c r="A28">
        <v>24</v>
      </c>
      <c r="B28" s="5">
        <v>3</v>
      </c>
      <c r="C28" s="5" t="s">
        <v>16</v>
      </c>
      <c r="D28" s="5">
        <v>940</v>
      </c>
      <c r="E28" s="37">
        <f t="shared" si="4"/>
        <v>1119.2</v>
      </c>
      <c r="F28" s="37">
        <f t="shared" si="5"/>
        <v>179.20000000000005</v>
      </c>
      <c r="G28" s="156">
        <f t="shared" si="3"/>
        <v>1080.2439427051281</v>
      </c>
      <c r="H28" s="156">
        <f t="shared" si="2"/>
        <v>140.24394270512812</v>
      </c>
      <c r="I28" s="237">
        <f t="shared" si="0"/>
        <v>1047.1593101681892</v>
      </c>
      <c r="J28">
        <f t="shared" si="1"/>
        <v>107.15931016818922</v>
      </c>
      <c r="R28" s="171">
        <v>17</v>
      </c>
      <c r="S28" s="167">
        <v>1172</v>
      </c>
      <c r="T28" s="172">
        <v>955.8</v>
      </c>
      <c r="U28" s="173">
        <v>216.20000000000005</v>
      </c>
      <c r="V28" s="174">
        <v>5.2549612549612554</v>
      </c>
      <c r="X28" s="171">
        <v>17</v>
      </c>
      <c r="Y28" s="167">
        <v>1172</v>
      </c>
      <c r="Z28" s="172">
        <v>963.33834790809988</v>
      </c>
      <c r="AA28" s="195">
        <v>208.66165209190012</v>
      </c>
      <c r="AB28" s="174">
        <v>10.033230289883029</v>
      </c>
      <c r="AD28" s="171">
        <v>14</v>
      </c>
      <c r="AE28" s="167">
        <v>963</v>
      </c>
      <c r="AF28" s="172">
        <v>979.02732007171505</v>
      </c>
      <c r="AG28" s="195">
        <v>-16.027320071715053</v>
      </c>
      <c r="AH28" s="214">
        <v>-1.8467216394798476</v>
      </c>
    </row>
    <row r="29" spans="1:34">
      <c r="A29">
        <v>25</v>
      </c>
      <c r="B29" s="5">
        <v>3</v>
      </c>
      <c r="C29" s="5" t="s">
        <v>4</v>
      </c>
      <c r="D29" s="5">
        <v>947</v>
      </c>
      <c r="E29" s="37">
        <f t="shared" si="4"/>
        <v>1073.5999999999999</v>
      </c>
      <c r="F29" s="37">
        <f t="shared" si="5"/>
        <v>126.59999999999991</v>
      </c>
      <c r="G29" s="156">
        <f t="shared" si="3"/>
        <v>1038.1707598935898</v>
      </c>
      <c r="H29" s="156">
        <f t="shared" si="2"/>
        <v>91.170759893589775</v>
      </c>
      <c r="I29" s="237">
        <f t="shared" si="0"/>
        <v>1053.9725091778366</v>
      </c>
      <c r="J29">
        <f t="shared" si="1"/>
        <v>106.97250917783663</v>
      </c>
      <c r="R29" s="171">
        <v>18</v>
      </c>
      <c r="S29" s="167">
        <v>1179</v>
      </c>
      <c r="T29" s="172">
        <v>1009.4</v>
      </c>
      <c r="U29" s="173">
        <v>169.60000000000002</v>
      </c>
      <c r="V29" s="174">
        <v>6.7022316338165826</v>
      </c>
      <c r="X29" s="171">
        <v>18</v>
      </c>
      <c r="Y29" s="167">
        <v>1179</v>
      </c>
      <c r="Z29" s="172">
        <v>1025.9368435356698</v>
      </c>
      <c r="AA29" s="195">
        <v>153.06315646433018</v>
      </c>
      <c r="AB29" s="174">
        <v>11.394229424959354</v>
      </c>
      <c r="AD29" s="171">
        <v>15</v>
      </c>
      <c r="AE29" s="167">
        <v>974</v>
      </c>
      <c r="AF29" s="172">
        <v>985.84051908136246</v>
      </c>
      <c r="AG29" s="195">
        <v>-11.840519081362459</v>
      </c>
      <c r="AH29" s="214">
        <v>-2.1282343266270556</v>
      </c>
    </row>
    <row r="30" spans="1:34">
      <c r="A30">
        <v>26</v>
      </c>
      <c r="B30" s="5">
        <v>3</v>
      </c>
      <c r="C30" s="5" t="s">
        <v>5</v>
      </c>
      <c r="D30" s="5">
        <v>953</v>
      </c>
      <c r="E30" s="37">
        <f t="shared" si="4"/>
        <v>1031.2</v>
      </c>
      <c r="F30" s="37">
        <f t="shared" si="5"/>
        <v>78.200000000000045</v>
      </c>
      <c r="G30" s="156">
        <f t="shared" si="3"/>
        <v>1010.8195319255128</v>
      </c>
      <c r="H30" s="156">
        <f t="shared" si="2"/>
        <v>57.81953192551282</v>
      </c>
      <c r="I30" s="237">
        <f t="shared" si="0"/>
        <v>1060.785708187484</v>
      </c>
      <c r="J30">
        <f t="shared" si="1"/>
        <v>107.78570818748403</v>
      </c>
      <c r="R30" s="171">
        <v>19</v>
      </c>
      <c r="S30" s="167">
        <v>1168</v>
      </c>
      <c r="T30" s="172">
        <v>1052.8</v>
      </c>
      <c r="U30" s="173">
        <v>115.20000000000005</v>
      </c>
      <c r="V30" s="174">
        <v>7.7995532390171265</v>
      </c>
      <c r="X30" s="171">
        <v>19</v>
      </c>
      <c r="Y30" s="167">
        <v>1168</v>
      </c>
      <c r="Z30" s="172">
        <v>1071.8557904749689</v>
      </c>
      <c r="AA30" s="195">
        <v>96.144209525031101</v>
      </c>
      <c r="AB30" s="174">
        <v>12.466832058263044</v>
      </c>
      <c r="AD30" s="171">
        <v>16</v>
      </c>
      <c r="AE30" s="167">
        <v>976</v>
      </c>
      <c r="AF30" s="172">
        <v>992.65371809100986</v>
      </c>
      <c r="AG30" s="195">
        <v>-16.653718091009864</v>
      </c>
      <c r="AH30" s="214">
        <v>-2.4884559490467955</v>
      </c>
    </row>
    <row r="31" spans="1:34">
      <c r="A31">
        <v>27</v>
      </c>
      <c r="B31" s="5">
        <v>3</v>
      </c>
      <c r="C31" s="5" t="s">
        <v>6</v>
      </c>
      <c r="D31" s="5">
        <v>1016</v>
      </c>
      <c r="E31" s="37">
        <f t="shared" si="4"/>
        <v>988.8</v>
      </c>
      <c r="F31" s="37">
        <f t="shared" si="5"/>
        <v>27.200000000000045</v>
      </c>
      <c r="G31" s="156">
        <f t="shared" si="3"/>
        <v>993.47367234785895</v>
      </c>
      <c r="H31" s="156">
        <f t="shared" si="2"/>
        <v>22.526327652141049</v>
      </c>
      <c r="I31" s="237">
        <f t="shared" si="0"/>
        <v>1067.5989071971314</v>
      </c>
      <c r="J31">
        <f t="shared" si="1"/>
        <v>51.598907197131439</v>
      </c>
      <c r="R31" s="171">
        <v>20</v>
      </c>
      <c r="S31" s="167">
        <v>1159</v>
      </c>
      <c r="T31" s="172">
        <v>1093.8</v>
      </c>
      <c r="U31" s="173">
        <v>65.200000000000045</v>
      </c>
      <c r="V31" s="174">
        <v>8.664252236898168</v>
      </c>
      <c r="X31" s="171">
        <v>20</v>
      </c>
      <c r="Y31" s="167">
        <v>1159</v>
      </c>
      <c r="Z31" s="172">
        <v>1100.6990533324783</v>
      </c>
      <c r="AA31" s="195">
        <v>58.300946667521657</v>
      </c>
      <c r="AB31" s="174">
        <v>13.390035197604963</v>
      </c>
      <c r="AD31" s="171">
        <v>17</v>
      </c>
      <c r="AE31" s="167">
        <v>1172</v>
      </c>
      <c r="AF31" s="172">
        <v>999.46691710065727</v>
      </c>
      <c r="AG31" s="195">
        <v>172.53308289934273</v>
      </c>
      <c r="AH31" s="214">
        <v>0.13459644081367639</v>
      </c>
    </row>
    <row r="32" spans="1:34">
      <c r="A32">
        <v>28</v>
      </c>
      <c r="B32" s="5">
        <v>3</v>
      </c>
      <c r="C32" s="5" t="s">
        <v>7</v>
      </c>
      <c r="D32" s="5">
        <v>1017</v>
      </c>
      <c r="E32" s="37">
        <f t="shared" si="4"/>
        <v>957</v>
      </c>
      <c r="F32" s="37">
        <f t="shared" si="5"/>
        <v>60</v>
      </c>
      <c r="G32" s="156">
        <f t="shared" si="3"/>
        <v>1000.2315706435013</v>
      </c>
      <c r="H32" s="156">
        <f t="shared" si="2"/>
        <v>16.7684293564987</v>
      </c>
      <c r="I32" s="237">
        <f t="shared" si="0"/>
        <v>1074.4121062067788</v>
      </c>
      <c r="J32">
        <f t="shared" si="1"/>
        <v>57.412106206778844</v>
      </c>
      <c r="R32" s="171">
        <v>21</v>
      </c>
      <c r="S32" s="167">
        <v>1165</v>
      </c>
      <c r="T32" s="172">
        <v>1130.8</v>
      </c>
      <c r="U32" s="173">
        <v>34.200000000000045</v>
      </c>
      <c r="V32" s="174">
        <v>9.4021075984470333</v>
      </c>
      <c r="X32" s="171">
        <v>21</v>
      </c>
      <c r="Y32" s="167">
        <v>1165</v>
      </c>
      <c r="Z32" s="172">
        <v>1118.1893373327348</v>
      </c>
      <c r="AA32" s="195">
        <v>46.810662667265206</v>
      </c>
      <c r="AB32" s="174">
        <v>14.276224605218545</v>
      </c>
      <c r="AD32" s="171">
        <v>18</v>
      </c>
      <c r="AE32" s="167">
        <v>1179</v>
      </c>
      <c r="AF32" s="172">
        <v>1006.2801161103047</v>
      </c>
      <c r="AG32" s="195">
        <v>172.71988388969532</v>
      </c>
      <c r="AH32" s="214">
        <v>2.3574936178232981</v>
      </c>
    </row>
    <row r="33" spans="1:34">
      <c r="A33">
        <v>29</v>
      </c>
      <c r="B33" s="5">
        <v>3</v>
      </c>
      <c r="C33" s="5" t="s">
        <v>8</v>
      </c>
      <c r="D33" s="5">
        <v>1035</v>
      </c>
      <c r="E33" s="37">
        <f t="shared" si="4"/>
        <v>974.6</v>
      </c>
      <c r="F33" s="37">
        <f t="shared" si="5"/>
        <v>60.399999999999977</v>
      </c>
      <c r="G33" s="156">
        <f t="shared" si="3"/>
        <v>1005.2620994504509</v>
      </c>
      <c r="H33" s="156">
        <f t="shared" si="2"/>
        <v>29.737900549549067</v>
      </c>
      <c r="I33" s="237">
        <f t="shared" si="0"/>
        <v>1081.2253052164262</v>
      </c>
      <c r="J33">
        <f t="shared" si="1"/>
        <v>46.22530521642625</v>
      </c>
      <c r="R33" s="171">
        <v>22</v>
      </c>
      <c r="S33" s="167">
        <v>1175</v>
      </c>
      <c r="T33" s="172">
        <v>1168.5999999999999</v>
      </c>
      <c r="U33" s="173">
        <v>6.4000000000000909</v>
      </c>
      <c r="V33" s="174">
        <v>10.02070679182772</v>
      </c>
      <c r="X33" s="171">
        <v>22</v>
      </c>
      <c r="Y33" s="167">
        <v>1175</v>
      </c>
      <c r="Z33" s="172">
        <v>1132.2325361329144</v>
      </c>
      <c r="AA33" s="195">
        <v>42.767463867085553</v>
      </c>
      <c r="AB33" s="174">
        <v>15.154147227531524</v>
      </c>
      <c r="AD33" s="171">
        <v>19</v>
      </c>
      <c r="AE33" s="167">
        <v>1168</v>
      </c>
      <c r="AF33" s="172">
        <v>1013.0933151199521</v>
      </c>
      <c r="AG33" s="195">
        <v>154.90668488004792</v>
      </c>
      <c r="AH33" s="214">
        <v>4.1413982960700002</v>
      </c>
    </row>
    <row r="34" spans="1:34">
      <c r="A34">
        <v>30</v>
      </c>
      <c r="B34" s="5">
        <v>3</v>
      </c>
      <c r="C34" s="5" t="s">
        <v>9</v>
      </c>
      <c r="D34" s="5">
        <v>1273</v>
      </c>
      <c r="E34" s="37">
        <f t="shared" si="4"/>
        <v>993.6</v>
      </c>
      <c r="F34" s="37">
        <f t="shared" si="5"/>
        <v>279.39999999999998</v>
      </c>
      <c r="G34" s="156">
        <f t="shared" si="3"/>
        <v>1014.1834696153156</v>
      </c>
      <c r="H34" s="156">
        <f t="shared" si="2"/>
        <v>258.81653038468437</v>
      </c>
      <c r="I34" s="237">
        <f t="shared" si="0"/>
        <v>1088.0385042260737</v>
      </c>
      <c r="J34">
        <f t="shared" si="1"/>
        <v>184.96149577392634</v>
      </c>
      <c r="R34" s="171">
        <v>23</v>
      </c>
      <c r="S34" s="167">
        <v>929</v>
      </c>
      <c r="T34" s="172">
        <v>1169.2</v>
      </c>
      <c r="U34" s="173">
        <v>-240.20000000000005</v>
      </c>
      <c r="V34" s="174">
        <v>6.5413854351687402</v>
      </c>
      <c r="X34" s="171">
        <v>23</v>
      </c>
      <c r="Y34" s="167">
        <v>929</v>
      </c>
      <c r="Z34" s="172">
        <v>1145.0627752930402</v>
      </c>
      <c r="AA34" s="195">
        <v>-216.0627752930402</v>
      </c>
      <c r="AB34" s="174">
        <v>11.284107997102581</v>
      </c>
      <c r="AD34" s="171">
        <v>20</v>
      </c>
      <c r="AE34" s="167">
        <v>1159</v>
      </c>
      <c r="AF34" s="172">
        <v>1019.9065141295995</v>
      </c>
      <c r="AG34" s="195">
        <v>139.09348587040051</v>
      </c>
      <c r="AH34" s="214">
        <v>5.6493278032833238</v>
      </c>
    </row>
    <row r="35" spans="1:34">
      <c r="A35">
        <v>31</v>
      </c>
      <c r="B35" s="5">
        <v>4</v>
      </c>
      <c r="C35" s="5" t="s">
        <v>10</v>
      </c>
      <c r="D35" s="5">
        <v>1015</v>
      </c>
      <c r="E35" s="37">
        <f t="shared" si="4"/>
        <v>1058.8</v>
      </c>
      <c r="F35" s="37">
        <f t="shared" si="5"/>
        <v>43.799999999999955</v>
      </c>
      <c r="G35" s="156">
        <f t="shared" si="3"/>
        <v>1091.828428730721</v>
      </c>
      <c r="H35" s="156">
        <f t="shared" si="2"/>
        <v>76.828428730721043</v>
      </c>
      <c r="I35" s="237">
        <f t="shared" si="0"/>
        <v>1094.8517032357208</v>
      </c>
      <c r="J35">
        <f t="shared" si="1"/>
        <v>79.851703235720834</v>
      </c>
      <c r="R35" s="171">
        <v>24</v>
      </c>
      <c r="S35" s="167">
        <v>940</v>
      </c>
      <c r="T35" s="172">
        <v>1119.2</v>
      </c>
      <c r="U35" s="173">
        <v>-179.20000000000005</v>
      </c>
      <c r="V35" s="174">
        <v>4.419976447917783</v>
      </c>
      <c r="X35" s="171">
        <v>24</v>
      </c>
      <c r="Y35" s="167">
        <v>940</v>
      </c>
      <c r="Z35" s="172">
        <v>1080.2439427051281</v>
      </c>
      <c r="AA35" s="195">
        <v>-140.24394270512812</v>
      </c>
      <c r="AB35" s="174">
        <v>9.2586294255148491</v>
      </c>
      <c r="AD35" s="171">
        <v>21</v>
      </c>
      <c r="AE35" s="167">
        <v>1165</v>
      </c>
      <c r="AF35" s="172">
        <v>1026.7197131392468</v>
      </c>
      <c r="AG35" s="195">
        <v>138.28028686075322</v>
      </c>
      <c r="AH35" s="214">
        <v>7.0736544349382813</v>
      </c>
    </row>
    <row r="36" spans="1:34">
      <c r="A36">
        <v>32</v>
      </c>
      <c r="B36" s="5">
        <v>4</v>
      </c>
      <c r="C36" s="5" t="s">
        <v>23</v>
      </c>
      <c r="D36" s="5">
        <v>1013</v>
      </c>
      <c r="E36" s="37">
        <f t="shared" si="4"/>
        <v>1071.2</v>
      </c>
      <c r="F36" s="37">
        <f t="shared" si="5"/>
        <v>58.200000000000045</v>
      </c>
      <c r="G36" s="156">
        <f t="shared" si="3"/>
        <v>1068.7799001115047</v>
      </c>
      <c r="H36" s="156">
        <f t="shared" si="2"/>
        <v>55.77990011150473</v>
      </c>
      <c r="I36" s="237">
        <f t="shared" si="0"/>
        <v>1101.6649022453685</v>
      </c>
      <c r="J36">
        <f t="shared" si="1"/>
        <v>88.664902245368467</v>
      </c>
      <c r="R36" s="171">
        <v>25</v>
      </c>
      <c r="S36" s="167">
        <v>947</v>
      </c>
      <c r="T36" s="172">
        <v>1073.5999999999999</v>
      </c>
      <c r="U36" s="173">
        <v>-126.59999999999991</v>
      </c>
      <c r="V36" s="174">
        <v>3.0880288750751981</v>
      </c>
      <c r="X36" s="171">
        <v>25</v>
      </c>
      <c r="Y36" s="167">
        <v>947</v>
      </c>
      <c r="Z36" s="172">
        <v>1038.1707598935898</v>
      </c>
      <c r="AA36" s="195">
        <v>-91.170759893589775</v>
      </c>
      <c r="AB36" s="174">
        <v>8.1371418425225617</v>
      </c>
      <c r="AD36" s="171">
        <v>22</v>
      </c>
      <c r="AE36" s="167">
        <v>1175</v>
      </c>
      <c r="AF36" s="172">
        <v>1033.5329121488944</v>
      </c>
      <c r="AG36" s="195">
        <v>141.46708785110559</v>
      </c>
      <c r="AH36" s="214">
        <v>8.4601811218662579</v>
      </c>
    </row>
    <row r="37" spans="1:34">
      <c r="A37">
        <v>33</v>
      </c>
      <c r="B37" s="5">
        <v>4</v>
      </c>
      <c r="C37" s="5" t="s">
        <v>24</v>
      </c>
      <c r="D37" s="5">
        <v>1015</v>
      </c>
      <c r="E37" s="37">
        <f t="shared" si="4"/>
        <v>1070.5999999999999</v>
      </c>
      <c r="F37" s="37">
        <f t="shared" si="5"/>
        <v>55.599999999999909</v>
      </c>
      <c r="G37" s="156">
        <f t="shared" si="3"/>
        <v>1052.0459300780533</v>
      </c>
      <c r="H37" s="156">
        <f t="shared" si="2"/>
        <v>37.045930078053289</v>
      </c>
      <c r="I37" s="237">
        <f t="shared" si="0"/>
        <v>1108.4781012550156</v>
      </c>
      <c r="J37">
        <f t="shared" si="1"/>
        <v>93.478101255015645</v>
      </c>
      <c r="R37" s="171">
        <v>26</v>
      </c>
      <c r="S37" s="167">
        <v>953</v>
      </c>
      <c r="T37" s="172">
        <v>1031.2</v>
      </c>
      <c r="U37" s="173">
        <v>-78.200000000000045</v>
      </c>
      <c r="V37" s="174">
        <v>2.3279305354558635</v>
      </c>
      <c r="X37" s="171">
        <v>26</v>
      </c>
      <c r="Y37" s="167">
        <v>953</v>
      </c>
      <c r="Z37" s="172">
        <v>1010.8195319255128</v>
      </c>
      <c r="AA37" s="195">
        <v>-57.81953192551282</v>
      </c>
      <c r="AB37" s="174">
        <v>7.5418025906612298</v>
      </c>
      <c r="AD37" s="171">
        <v>23</v>
      </c>
      <c r="AE37" s="167">
        <v>929</v>
      </c>
      <c r="AF37" s="172">
        <v>1040.3461111585416</v>
      </c>
      <c r="AG37" s="195">
        <v>-111.34611115854159</v>
      </c>
      <c r="AH37" s="214">
        <v>7.138048819697012</v>
      </c>
    </row>
    <row r="38" spans="1:34">
      <c r="A38">
        <v>34</v>
      </c>
      <c r="B38" s="5">
        <v>4</v>
      </c>
      <c r="C38" s="5" t="s">
        <v>14</v>
      </c>
      <c r="D38" s="5">
        <v>973</v>
      </c>
      <c r="E38" s="37">
        <f t="shared" si="4"/>
        <v>1070.2</v>
      </c>
      <c r="F38" s="37">
        <f t="shared" si="5"/>
        <v>97.200000000000045</v>
      </c>
      <c r="G38" s="156">
        <f t="shared" si="3"/>
        <v>1040.9321510546374</v>
      </c>
      <c r="H38" s="156">
        <f t="shared" si="2"/>
        <v>67.932151054637416</v>
      </c>
      <c r="I38" s="237">
        <f t="shared" si="0"/>
        <v>1115.2913002646633</v>
      </c>
      <c r="J38">
        <f t="shared" si="1"/>
        <v>142.29130026466328</v>
      </c>
      <c r="R38" s="171">
        <v>27</v>
      </c>
      <c r="S38" s="167">
        <v>1016</v>
      </c>
      <c r="T38" s="172">
        <v>988.8</v>
      </c>
      <c r="U38" s="173">
        <v>27.200000000000045</v>
      </c>
      <c r="V38" s="174">
        <v>2.6921245595657584</v>
      </c>
      <c r="X38" s="171">
        <v>27</v>
      </c>
      <c r="Y38" s="167">
        <v>1016</v>
      </c>
      <c r="Z38" s="172">
        <v>993.47367234785895</v>
      </c>
      <c r="AA38" s="195">
        <v>22.526327652141049</v>
      </c>
      <c r="AB38" s="174">
        <v>8.0387925934746658</v>
      </c>
      <c r="AD38" s="171">
        <v>24</v>
      </c>
      <c r="AE38" s="167">
        <v>940</v>
      </c>
      <c r="AF38" s="172">
        <v>1047.1593101681892</v>
      </c>
      <c r="AG38" s="195">
        <v>-107.15931016818922</v>
      </c>
      <c r="AH38" s="214">
        <v>5.9058902282832255</v>
      </c>
    </row>
    <row r="39" spans="1:34">
      <c r="A39">
        <v>35</v>
      </c>
      <c r="B39" s="5">
        <v>4</v>
      </c>
      <c r="C39" s="5" t="s">
        <v>15</v>
      </c>
      <c r="D39" s="5">
        <v>973</v>
      </c>
      <c r="E39" s="37">
        <f t="shared" si="4"/>
        <v>1057.8</v>
      </c>
      <c r="F39" s="37">
        <f t="shared" si="5"/>
        <v>84.799999999999955</v>
      </c>
      <c r="G39" s="156">
        <f t="shared" si="3"/>
        <v>1020.5525057382462</v>
      </c>
      <c r="H39" s="156">
        <f t="shared" si="2"/>
        <v>47.552505738246168</v>
      </c>
      <c r="I39" s="237">
        <f t="shared" si="0"/>
        <v>1122.1044992743105</v>
      </c>
      <c r="J39">
        <f t="shared" si="1"/>
        <v>149.10449927431046</v>
      </c>
      <c r="R39" s="171">
        <v>28</v>
      </c>
      <c r="S39" s="167">
        <v>1017</v>
      </c>
      <c r="T39" s="172">
        <v>957</v>
      </c>
      <c r="U39" s="173">
        <v>60</v>
      </c>
      <c r="V39" s="174">
        <v>3.3751504490324993</v>
      </c>
      <c r="X39" s="171">
        <v>28</v>
      </c>
      <c r="Y39" s="167">
        <v>1017</v>
      </c>
      <c r="Z39" s="172">
        <v>1000.2315706435013</v>
      </c>
      <c r="AA39" s="195">
        <v>16.7684293564987</v>
      </c>
      <c r="AB39" s="174">
        <v>8.4961513865240317</v>
      </c>
      <c r="AD39" s="171">
        <v>25</v>
      </c>
      <c r="AE39" s="167">
        <v>947</v>
      </c>
      <c r="AF39" s="172">
        <v>1053.9725091778364</v>
      </c>
      <c r="AG39" s="195">
        <v>-106.9725091778364</v>
      </c>
      <c r="AH39" s="214">
        <v>4.697861564405116</v>
      </c>
    </row>
    <row r="40" spans="1:34">
      <c r="A40">
        <v>36</v>
      </c>
      <c r="B40" s="5">
        <v>4</v>
      </c>
      <c r="C40" s="5" t="s">
        <v>16</v>
      </c>
      <c r="D40" s="5">
        <v>961</v>
      </c>
      <c r="E40" s="37">
        <f t="shared" si="4"/>
        <v>997.8</v>
      </c>
      <c r="F40" s="37">
        <f t="shared" si="5"/>
        <v>36.799999999999955</v>
      </c>
      <c r="G40" s="156">
        <f t="shared" si="3"/>
        <v>1006.2867540167723</v>
      </c>
      <c r="H40" s="156">
        <f t="shared" si="2"/>
        <v>45.286754016772306</v>
      </c>
      <c r="I40" s="237">
        <f t="shared" si="0"/>
        <v>1128.9176982839579</v>
      </c>
      <c r="J40">
        <f t="shared" si="1"/>
        <v>167.91769828395786</v>
      </c>
      <c r="R40" s="171">
        <v>29</v>
      </c>
      <c r="S40" s="167">
        <v>1035</v>
      </c>
      <c r="T40" s="172">
        <v>974.6</v>
      </c>
      <c r="U40" s="173">
        <v>60.399999999999977</v>
      </c>
      <c r="V40" s="174">
        <v>4.0788975952445305</v>
      </c>
      <c r="X40" s="171">
        <v>29</v>
      </c>
      <c r="Y40" s="167">
        <v>1035</v>
      </c>
      <c r="Z40" s="172">
        <v>1005.2620994504509</v>
      </c>
      <c r="AA40" s="195">
        <v>29.737900549549067</v>
      </c>
      <c r="AB40" s="174">
        <v>9.0774148565372457</v>
      </c>
      <c r="AD40" s="171">
        <v>26</v>
      </c>
      <c r="AE40" s="167">
        <v>953</v>
      </c>
      <c r="AF40" s="172">
        <v>1060.7857081874838</v>
      </c>
      <c r="AG40" s="195">
        <v>-107.78570818748381</v>
      </c>
      <c r="AH40" s="214">
        <v>3.4983869996742532</v>
      </c>
    </row>
    <row r="41" spans="1:34">
      <c r="A41">
        <v>37</v>
      </c>
      <c r="B41" s="5">
        <v>4</v>
      </c>
      <c r="C41" s="5" t="s">
        <v>4</v>
      </c>
      <c r="D41" s="5">
        <v>968</v>
      </c>
      <c r="E41" s="37">
        <f t="shared" si="4"/>
        <v>987</v>
      </c>
      <c r="F41" s="37">
        <f t="shared" si="5"/>
        <v>19</v>
      </c>
      <c r="G41" s="156">
        <f t="shared" si="3"/>
        <v>992.70072781174065</v>
      </c>
      <c r="H41" s="156">
        <f t="shared" si="2"/>
        <v>24.700727811740649</v>
      </c>
      <c r="I41" s="237">
        <f t="shared" si="0"/>
        <v>1135.7308972936053</v>
      </c>
      <c r="J41">
        <f t="shared" si="1"/>
        <v>167.73089729360527</v>
      </c>
      <c r="R41" s="171">
        <v>30</v>
      </c>
      <c r="S41" s="167">
        <v>1273</v>
      </c>
      <c r="T41" s="172">
        <v>993.6</v>
      </c>
      <c r="U41" s="173">
        <v>279.39999999999998</v>
      </c>
      <c r="V41" s="174">
        <v>6.5680000000000005</v>
      </c>
      <c r="X41" s="171">
        <v>30</v>
      </c>
      <c r="Y41" s="167">
        <v>1273</v>
      </c>
      <c r="Z41" s="172">
        <v>1014.1834696153156</v>
      </c>
      <c r="AA41" s="195">
        <v>258.81653038468437</v>
      </c>
      <c r="AB41" s="174">
        <v>11.515680861665693</v>
      </c>
      <c r="AD41" s="171">
        <v>27</v>
      </c>
      <c r="AE41" s="167">
        <v>1016</v>
      </c>
      <c r="AF41" s="172">
        <v>1067.5989071971312</v>
      </c>
      <c r="AG41" s="195">
        <v>-51.598907197131211</v>
      </c>
      <c r="AH41" s="214">
        <v>2.9880770188095878</v>
      </c>
    </row>
    <row r="42" spans="1:34">
      <c r="A42">
        <v>38</v>
      </c>
      <c r="B42" s="5">
        <v>4</v>
      </c>
      <c r="C42" s="5" t="s">
        <v>5</v>
      </c>
      <c r="D42" s="5">
        <v>1227</v>
      </c>
      <c r="E42" s="37">
        <f t="shared" si="4"/>
        <v>978</v>
      </c>
      <c r="F42" s="37">
        <f t="shared" si="5"/>
        <v>249</v>
      </c>
      <c r="G42" s="156">
        <f t="shared" si="3"/>
        <v>985.29050946821849</v>
      </c>
      <c r="H42" s="156">
        <f t="shared" si="2"/>
        <v>241.70949053178151</v>
      </c>
      <c r="I42" s="237">
        <f t="shared" si="0"/>
        <v>1142.5440963032527</v>
      </c>
      <c r="J42">
        <f t="shared" si="1"/>
        <v>84.455903696747328</v>
      </c>
      <c r="R42" s="171">
        <v>31</v>
      </c>
      <c r="S42" s="167">
        <v>1015</v>
      </c>
      <c r="T42" s="172">
        <v>1058.8</v>
      </c>
      <c r="U42" s="173">
        <v>-43.799999999999955</v>
      </c>
      <c r="V42" s="174">
        <v>6.2654296721440366</v>
      </c>
      <c r="X42" s="171">
        <v>31</v>
      </c>
      <c r="Y42" s="167">
        <v>1015</v>
      </c>
      <c r="Z42" s="172">
        <v>1091.828428730721</v>
      </c>
      <c r="AA42" s="195">
        <v>-76.828428730721043</v>
      </c>
      <c r="AB42" s="174">
        <v>10.612341925003165</v>
      </c>
      <c r="AD42" s="171">
        <v>28</v>
      </c>
      <c r="AE42" s="167">
        <v>1017</v>
      </c>
      <c r="AF42" s="172">
        <v>1074.4121062067786</v>
      </c>
      <c r="AG42" s="195">
        <v>-57.412106206778617</v>
      </c>
      <c r="AH42" s="214">
        <v>2.386992901901229</v>
      </c>
    </row>
    <row r="43" spans="1:34">
      <c r="A43">
        <v>39</v>
      </c>
      <c r="B43" s="5">
        <v>4</v>
      </c>
      <c r="C43" s="5" t="s">
        <v>6</v>
      </c>
      <c r="D43" s="5">
        <v>1232</v>
      </c>
      <c r="E43" s="37">
        <f t="shared" si="4"/>
        <v>1020.4</v>
      </c>
      <c r="F43" s="37">
        <f t="shared" si="5"/>
        <v>211.60000000000002</v>
      </c>
      <c r="G43" s="156">
        <f t="shared" si="3"/>
        <v>1057.8033566277529</v>
      </c>
      <c r="H43" s="156">
        <f t="shared" si="2"/>
        <v>174.19664337224708</v>
      </c>
      <c r="I43" s="237">
        <f t="shared" si="0"/>
        <v>1149.3572953129001</v>
      </c>
      <c r="J43">
        <f t="shared" si="1"/>
        <v>82.642704687099922</v>
      </c>
      <c r="R43" s="171">
        <v>32</v>
      </c>
      <c r="S43" s="167">
        <v>1013</v>
      </c>
      <c r="T43" s="172">
        <v>1071.2</v>
      </c>
      <c r="U43" s="173">
        <v>-58.200000000000045</v>
      </c>
      <c r="V43" s="174">
        <v>5.7569561875480408</v>
      </c>
      <c r="X43" s="171">
        <v>32</v>
      </c>
      <c r="Y43" s="167">
        <v>1013</v>
      </c>
      <c r="Z43" s="172">
        <v>1068.7799001115047</v>
      </c>
      <c r="AA43" s="195">
        <v>-55.77990011150473</v>
      </c>
      <c r="AB43" s="174">
        <v>10.04155740558744</v>
      </c>
      <c r="AD43" s="171">
        <v>29</v>
      </c>
      <c r="AE43" s="167">
        <v>1035</v>
      </c>
      <c r="AF43" s="172">
        <v>1081.225305216426</v>
      </c>
      <c r="AG43" s="195">
        <v>-46.225305216426023</v>
      </c>
      <c r="AH43" s="214">
        <v>1.9027858914770532</v>
      </c>
    </row>
    <row r="44" spans="1:34">
      <c r="A44">
        <v>40</v>
      </c>
      <c r="B44" s="5">
        <v>4</v>
      </c>
      <c r="C44" s="5" t="s">
        <v>7</v>
      </c>
      <c r="D44" s="5">
        <v>1234</v>
      </c>
      <c r="E44" s="37">
        <f t="shared" si="4"/>
        <v>1072.2</v>
      </c>
      <c r="F44" s="37">
        <f t="shared" si="5"/>
        <v>161.79999999999995</v>
      </c>
      <c r="G44" s="156">
        <f t="shared" si="3"/>
        <v>1110.0623496394271</v>
      </c>
      <c r="H44" s="156">
        <f t="shared" si="2"/>
        <v>123.93765036057289</v>
      </c>
      <c r="I44" s="237">
        <f t="shared" si="0"/>
        <v>1156.1704943225475</v>
      </c>
      <c r="J44">
        <f t="shared" si="1"/>
        <v>77.829505677452516</v>
      </c>
      <c r="R44" s="171">
        <v>33</v>
      </c>
      <c r="S44" s="167">
        <v>1015</v>
      </c>
      <c r="T44" s="172">
        <v>1070.5999999999999</v>
      </c>
      <c r="U44" s="173">
        <v>-55.599999999999909</v>
      </c>
      <c r="V44" s="174">
        <v>5.2594822396146927</v>
      </c>
      <c r="X44" s="171">
        <v>33</v>
      </c>
      <c r="Y44" s="167">
        <v>1015</v>
      </c>
      <c r="Z44" s="172">
        <v>1052.0459300780533</v>
      </c>
      <c r="AA44" s="195">
        <v>-37.045930078053289</v>
      </c>
      <c r="AB44" s="174">
        <v>9.7545523631503173</v>
      </c>
      <c r="AD44" s="171">
        <v>30</v>
      </c>
      <c r="AE44" s="167">
        <v>1273</v>
      </c>
      <c r="AF44" s="172">
        <v>1088.0385042260734</v>
      </c>
      <c r="AG44" s="195">
        <v>184.96149577392657</v>
      </c>
      <c r="AH44" s="214">
        <v>3.8608559486758356</v>
      </c>
    </row>
    <row r="45" spans="1:34">
      <c r="A45">
        <v>41</v>
      </c>
      <c r="B45" s="5">
        <v>4</v>
      </c>
      <c r="C45" s="5" t="s">
        <v>8</v>
      </c>
      <c r="D45" s="5">
        <v>1388</v>
      </c>
      <c r="E45" s="37">
        <f t="shared" si="4"/>
        <v>1124.4000000000001</v>
      </c>
      <c r="F45" s="37">
        <f t="shared" si="5"/>
        <v>263.59999999999991</v>
      </c>
      <c r="G45" s="156">
        <f t="shared" si="3"/>
        <v>1147.2436447475989</v>
      </c>
      <c r="H45" s="156">
        <f t="shared" si="2"/>
        <v>240.75635525240114</v>
      </c>
      <c r="I45" s="237">
        <f t="shared" si="0"/>
        <v>1162.9836933321949</v>
      </c>
      <c r="J45">
        <f t="shared" si="1"/>
        <v>225.01630666780511</v>
      </c>
      <c r="R45" s="171">
        <v>34</v>
      </c>
      <c r="S45" s="167">
        <v>973</v>
      </c>
      <c r="T45" s="172">
        <v>1070.2</v>
      </c>
      <c r="U45" s="173">
        <v>-97.200000000000045</v>
      </c>
      <c r="V45" s="174">
        <v>4.2318861623348356</v>
      </c>
      <c r="X45" s="171">
        <v>34</v>
      </c>
      <c r="Y45" s="167">
        <v>973</v>
      </c>
      <c r="Z45" s="172">
        <v>1040.9321510546374</v>
      </c>
      <c r="AA45" s="195">
        <v>-67.932151054637416</v>
      </c>
      <c r="AB45" s="174">
        <v>8.9500937338843212</v>
      </c>
      <c r="AD45" s="171">
        <v>31</v>
      </c>
      <c r="AE45" s="167">
        <v>1015</v>
      </c>
      <c r="AF45" s="172">
        <v>1094.8517032357208</v>
      </c>
      <c r="AG45" s="195">
        <v>-79.851703235720834</v>
      </c>
      <c r="AH45" s="214">
        <v>2.9986228187565422</v>
      </c>
    </row>
    <row r="46" spans="1:34">
      <c r="A46">
        <v>42</v>
      </c>
      <c r="B46" s="5">
        <v>4</v>
      </c>
      <c r="C46" s="5" t="s">
        <v>9</v>
      </c>
      <c r="D46" s="5">
        <v>1390</v>
      </c>
      <c r="E46" s="37">
        <f t="shared" si="4"/>
        <v>1209.8</v>
      </c>
      <c r="F46" s="37">
        <f t="shared" si="5"/>
        <v>180.20000000000005</v>
      </c>
      <c r="G46" s="156">
        <f t="shared" si="3"/>
        <v>1219.4705513233191</v>
      </c>
      <c r="H46" s="156">
        <f t="shared" si="2"/>
        <v>170.52944867668089</v>
      </c>
      <c r="I46" s="237">
        <f t="shared" si="0"/>
        <v>1169.7968923418423</v>
      </c>
      <c r="J46">
        <f t="shared" si="1"/>
        <v>220.20310765815771</v>
      </c>
      <c r="R46" s="171">
        <v>35</v>
      </c>
      <c r="S46" s="167">
        <v>973</v>
      </c>
      <c r="T46" s="172">
        <v>1057.8</v>
      </c>
      <c r="U46" s="173">
        <v>-84.799999999999955</v>
      </c>
      <c r="V46" s="174">
        <v>3.3511762220031014</v>
      </c>
      <c r="X46" s="171">
        <v>35</v>
      </c>
      <c r="Y46" s="167">
        <v>973</v>
      </c>
      <c r="Z46" s="172">
        <v>1020.5525057382462</v>
      </c>
      <c r="AA46" s="195">
        <v>-47.552505738246168</v>
      </c>
      <c r="AB46" s="174">
        <v>8.455693311195148</v>
      </c>
      <c r="AD46" s="171">
        <v>32</v>
      </c>
      <c r="AE46" s="167">
        <v>1013</v>
      </c>
      <c r="AF46" s="172">
        <v>1101.6649022453682</v>
      </c>
      <c r="AG46" s="195">
        <v>-88.664902245368239</v>
      </c>
      <c r="AH46" s="214">
        <v>2.0253757930669636</v>
      </c>
    </row>
    <row r="47" spans="1:34">
      <c r="A47">
        <v>43</v>
      </c>
      <c r="B47" s="5">
        <v>5</v>
      </c>
      <c r="C47" s="5" t="s">
        <v>10</v>
      </c>
      <c r="D47" s="5">
        <v>1112</v>
      </c>
      <c r="E47" s="37">
        <f t="shared" si="4"/>
        <v>1294.2</v>
      </c>
      <c r="F47" s="37">
        <f t="shared" si="5"/>
        <v>182.20000000000005</v>
      </c>
      <c r="G47" s="156">
        <f t="shared" si="3"/>
        <v>1270.6293859263233</v>
      </c>
      <c r="H47" s="156">
        <f t="shared" si="2"/>
        <v>158.62938592632327</v>
      </c>
      <c r="I47" s="237">
        <f t="shared" si="0"/>
        <v>1176.6100913514897</v>
      </c>
      <c r="J47">
        <f t="shared" si="1"/>
        <v>64.6100913514897</v>
      </c>
      <c r="R47" s="171">
        <v>36</v>
      </c>
      <c r="S47" s="167">
        <v>961</v>
      </c>
      <c r="T47" s="172">
        <v>997.8</v>
      </c>
      <c r="U47" s="173">
        <v>-36.799999999999955</v>
      </c>
      <c r="V47" s="174">
        <v>3.0219719093311115</v>
      </c>
      <c r="X47" s="171">
        <v>36</v>
      </c>
      <c r="Y47" s="167">
        <v>961</v>
      </c>
      <c r="Z47" s="172">
        <v>1006.2867540167723</v>
      </c>
      <c r="AA47" s="195">
        <v>-45.286754016772306</v>
      </c>
      <c r="AB47" s="174">
        <v>7.9793363768109824</v>
      </c>
      <c r="AD47" s="171">
        <v>33</v>
      </c>
      <c r="AE47" s="167">
        <v>1015</v>
      </c>
      <c r="AF47" s="172">
        <v>1108.4781012550156</v>
      </c>
      <c r="AG47" s="195">
        <v>-93.478101255015645</v>
      </c>
      <c r="AH47" s="214">
        <v>0.99594594467761222</v>
      </c>
    </row>
    <row r="48" spans="1:34">
      <c r="A48">
        <v>44</v>
      </c>
      <c r="B48" s="5">
        <v>5</v>
      </c>
      <c r="C48" s="5" t="s">
        <v>23</v>
      </c>
      <c r="D48" s="5">
        <v>1130</v>
      </c>
      <c r="E48" s="37">
        <f t="shared" si="4"/>
        <v>1271.2</v>
      </c>
      <c r="F48" s="37">
        <f t="shared" si="5"/>
        <v>141.20000000000005</v>
      </c>
      <c r="G48" s="156">
        <f t="shared" si="3"/>
        <v>1223.0405701484262</v>
      </c>
      <c r="H48" s="156">
        <f t="shared" si="2"/>
        <v>93.040570148426241</v>
      </c>
      <c r="I48" s="237">
        <f t="shared" si="0"/>
        <v>1183.4232903611371</v>
      </c>
      <c r="J48">
        <f t="shared" si="1"/>
        <v>53.423290361137106</v>
      </c>
      <c r="R48" s="171">
        <v>37</v>
      </c>
      <c r="S48" s="167">
        <v>968</v>
      </c>
      <c r="T48" s="172">
        <v>987</v>
      </c>
      <c r="U48" s="173">
        <v>-19</v>
      </c>
      <c r="V48" s="174">
        <v>2.8889963390205184</v>
      </c>
      <c r="X48" s="171">
        <v>37</v>
      </c>
      <c r="Y48" s="167">
        <v>968</v>
      </c>
      <c r="Z48" s="172">
        <v>992.70072781174065</v>
      </c>
      <c r="AA48" s="195">
        <v>-24.700727811740649</v>
      </c>
      <c r="AB48" s="174">
        <v>7.8108880849339268</v>
      </c>
      <c r="AD48" s="171">
        <v>34</v>
      </c>
      <c r="AE48" s="167">
        <v>973</v>
      </c>
      <c r="AF48" s="172">
        <v>1115.2913002646631</v>
      </c>
      <c r="AG48" s="195">
        <v>-142.29130026466305</v>
      </c>
      <c r="AH48" s="214">
        <v>-0.5590941848571106</v>
      </c>
    </row>
    <row r="49" spans="1:34">
      <c r="A49">
        <v>45</v>
      </c>
      <c r="B49" s="5">
        <v>5</v>
      </c>
      <c r="C49" s="5" t="s">
        <v>24</v>
      </c>
      <c r="D49" s="5">
        <v>1136</v>
      </c>
      <c r="E49" s="37">
        <f t="shared" si="4"/>
        <v>1250.8</v>
      </c>
      <c r="F49" s="37">
        <f t="shared" si="5"/>
        <v>114.79999999999995</v>
      </c>
      <c r="G49" s="156">
        <f t="shared" si="3"/>
        <v>1195.1283991038983</v>
      </c>
      <c r="H49" s="156">
        <f t="shared" si="2"/>
        <v>59.128399103898346</v>
      </c>
      <c r="I49" s="237">
        <f t="shared" si="0"/>
        <v>1190.2364893707845</v>
      </c>
      <c r="J49">
        <f t="shared" si="1"/>
        <v>54.236489370784511</v>
      </c>
      <c r="R49" s="171">
        <v>38</v>
      </c>
      <c r="S49" s="167">
        <v>1227</v>
      </c>
      <c r="T49" s="172">
        <v>978</v>
      </c>
      <c r="U49" s="173">
        <v>249</v>
      </c>
      <c r="V49" s="174">
        <v>5.3565704108892023</v>
      </c>
      <c r="X49" s="171">
        <v>38</v>
      </c>
      <c r="Y49" s="167">
        <v>1227</v>
      </c>
      <c r="Z49" s="172">
        <v>985.29050946821849</v>
      </c>
      <c r="AA49" s="195">
        <v>241.70949053178151</v>
      </c>
      <c r="AB49" s="174">
        <v>10.365113905390897</v>
      </c>
      <c r="AD49" s="171">
        <v>35</v>
      </c>
      <c r="AE49" s="167">
        <v>973</v>
      </c>
      <c r="AF49" s="172">
        <v>1122.1044992743105</v>
      </c>
      <c r="AG49" s="195">
        <v>-149.10449927431046</v>
      </c>
      <c r="AH49" s="214">
        <v>-2.1342076016408194</v>
      </c>
    </row>
    <row r="50" spans="1:34">
      <c r="A50">
        <v>46</v>
      </c>
      <c r="B50" s="5">
        <v>5</v>
      </c>
      <c r="C50" s="5" t="s">
        <v>14</v>
      </c>
      <c r="D50" s="5">
        <v>1125</v>
      </c>
      <c r="E50" s="37">
        <f t="shared" si="4"/>
        <v>1231.2</v>
      </c>
      <c r="F50" s="37">
        <f t="shared" si="5"/>
        <v>106.20000000000005</v>
      </c>
      <c r="G50" s="156">
        <f t="shared" si="3"/>
        <v>1177.389879372729</v>
      </c>
      <c r="H50" s="156">
        <f t="shared" si="2"/>
        <v>52.389879372728956</v>
      </c>
      <c r="I50" s="237">
        <f t="shared" si="0"/>
        <v>1197.0496883804319</v>
      </c>
      <c r="J50">
        <f t="shared" si="1"/>
        <v>72.049688380431917</v>
      </c>
      <c r="R50" s="171">
        <v>39</v>
      </c>
      <c r="S50" s="167">
        <v>1232</v>
      </c>
      <c r="T50" s="172">
        <v>1020.4</v>
      </c>
      <c r="U50" s="173">
        <v>211.60000000000002</v>
      </c>
      <c r="V50" s="174">
        <v>7.314660309892731</v>
      </c>
      <c r="X50" s="171">
        <v>39</v>
      </c>
      <c r="Y50" s="167">
        <v>1232</v>
      </c>
      <c r="Z50" s="172">
        <v>1057.8033566277529</v>
      </c>
      <c r="AA50" s="195">
        <v>174.19664337224708</v>
      </c>
      <c r="AB50" s="174">
        <v>12.148261303255866</v>
      </c>
      <c r="AD50" s="171">
        <v>36</v>
      </c>
      <c r="AE50" s="167">
        <v>961</v>
      </c>
      <c r="AF50" s="172">
        <v>1128.9176982839579</v>
      </c>
      <c r="AG50" s="195">
        <v>-167.91769828395786</v>
      </c>
      <c r="AH50" s="214">
        <v>-3.8352920490409685</v>
      </c>
    </row>
    <row r="51" spans="1:34">
      <c r="A51">
        <v>47</v>
      </c>
      <c r="B51" s="5">
        <v>5</v>
      </c>
      <c r="C51" s="5" t="s">
        <v>15</v>
      </c>
      <c r="D51" s="5">
        <v>1130</v>
      </c>
      <c r="E51" s="37">
        <f t="shared" si="4"/>
        <v>1178.5999999999999</v>
      </c>
      <c r="F51" s="37">
        <f t="shared" si="5"/>
        <v>48.599999999999909</v>
      </c>
      <c r="G51" s="156">
        <f t="shared" si="3"/>
        <v>1161.6729155609103</v>
      </c>
      <c r="H51" s="156">
        <f t="shared" si="2"/>
        <v>31.672915560910269</v>
      </c>
      <c r="I51" s="237">
        <f t="shared" si="0"/>
        <v>1203.8628873900793</v>
      </c>
      <c r="J51">
        <f t="shared" si="1"/>
        <v>73.862887390079322</v>
      </c>
      <c r="R51" s="171">
        <v>40</v>
      </c>
      <c r="S51" s="167">
        <v>1234</v>
      </c>
      <c r="T51" s="172">
        <v>1072.2</v>
      </c>
      <c r="U51" s="173">
        <v>161.79999999999995</v>
      </c>
      <c r="V51" s="174">
        <v>8.7932798908408678</v>
      </c>
      <c r="X51" s="171">
        <v>40</v>
      </c>
      <c r="Y51" s="167">
        <v>1234</v>
      </c>
      <c r="Z51" s="172">
        <v>1110.0623496394271</v>
      </c>
      <c r="AA51" s="195">
        <v>123.93765036057289</v>
      </c>
      <c r="AB51" s="174">
        <v>13.466132683387103</v>
      </c>
      <c r="AD51" s="171">
        <v>37</v>
      </c>
      <c r="AE51" s="167">
        <v>968</v>
      </c>
      <c r="AF51" s="172">
        <v>1135.7308972936053</v>
      </c>
      <c r="AG51" s="195">
        <v>-167.73089729360527</v>
      </c>
      <c r="AH51" s="214">
        <v>-5.4698723209226916</v>
      </c>
    </row>
    <row r="52" spans="1:34">
      <c r="A52">
        <v>48</v>
      </c>
      <c r="B52" s="5">
        <v>5</v>
      </c>
      <c r="C52" s="5" t="s">
        <v>16</v>
      </c>
      <c r="D52" s="5">
        <v>1084</v>
      </c>
      <c r="E52" s="37">
        <f t="shared" si="4"/>
        <v>1126.5999999999999</v>
      </c>
      <c r="F52" s="37">
        <f t="shared" si="5"/>
        <v>42.599999999999909</v>
      </c>
      <c r="G52" s="156">
        <f t="shared" si="3"/>
        <v>1152.1710408926372</v>
      </c>
      <c r="H52" s="156">
        <f t="shared" si="2"/>
        <v>68.171040892637166</v>
      </c>
      <c r="I52" s="237">
        <f t="shared" si="0"/>
        <v>1210.6760863997267</v>
      </c>
      <c r="J52">
        <f t="shared" si="1"/>
        <v>126.67608639972673</v>
      </c>
      <c r="R52" s="171">
        <v>41</v>
      </c>
      <c r="S52" s="167">
        <v>1388</v>
      </c>
      <c r="T52" s="172">
        <v>1124.4000000000001</v>
      </c>
      <c r="U52" s="173">
        <v>263.59999999999991</v>
      </c>
      <c r="V52" s="174">
        <v>10.923573279737663</v>
      </c>
      <c r="X52" s="171">
        <v>41</v>
      </c>
      <c r="Y52" s="167">
        <v>1388</v>
      </c>
      <c r="Z52" s="172">
        <v>1147.2436447475989</v>
      </c>
      <c r="AA52" s="195">
        <v>240.75635525240114</v>
      </c>
      <c r="AB52" s="174">
        <v>15.594994219661736</v>
      </c>
      <c r="AD52" s="171">
        <v>38</v>
      </c>
      <c r="AE52" s="167">
        <v>1227</v>
      </c>
      <c r="AF52" s="172">
        <v>1142.5440963032527</v>
      </c>
      <c r="AG52" s="195">
        <v>84.455903696747328</v>
      </c>
      <c r="AH52" s="214">
        <v>-4.6256308189112456</v>
      </c>
    </row>
    <row r="53" spans="1:34">
      <c r="A53">
        <v>49</v>
      </c>
      <c r="B53" s="5">
        <v>5</v>
      </c>
      <c r="C53" s="5" t="s">
        <v>4</v>
      </c>
      <c r="D53" s="5">
        <v>1086</v>
      </c>
      <c r="E53" s="37">
        <f t="shared" si="4"/>
        <v>1121</v>
      </c>
      <c r="F53" s="37">
        <f t="shared" si="5"/>
        <v>35</v>
      </c>
      <c r="G53" s="156">
        <f t="shared" si="3"/>
        <v>1131.7197286248461</v>
      </c>
      <c r="H53" s="156">
        <f t="shared" si="2"/>
        <v>45.719728624846084</v>
      </c>
      <c r="I53" s="237">
        <f t="shared" si="0"/>
        <v>1217.4892854093741</v>
      </c>
      <c r="J53">
        <f t="shared" si="1"/>
        <v>131.48928540937413</v>
      </c>
      <c r="R53" s="171">
        <v>42</v>
      </c>
      <c r="S53" s="167">
        <v>1390</v>
      </c>
      <c r="T53" s="172">
        <v>1209.8</v>
      </c>
      <c r="U53" s="173">
        <v>180.20000000000005</v>
      </c>
      <c r="V53" s="174">
        <v>12.399333602584814</v>
      </c>
      <c r="X53" s="171">
        <v>42</v>
      </c>
      <c r="Y53" s="167">
        <v>1390</v>
      </c>
      <c r="Z53" s="172">
        <v>1219.4705513233191</v>
      </c>
      <c r="AA53" s="195">
        <v>170.52944867668089</v>
      </c>
      <c r="AB53" s="174">
        <v>17.136050081037467</v>
      </c>
      <c r="AD53" s="171">
        <v>39</v>
      </c>
      <c r="AE53" s="167">
        <v>1232</v>
      </c>
      <c r="AF53" s="172">
        <v>1149.3572953129001</v>
      </c>
      <c r="AG53" s="195">
        <v>82.642704687099922</v>
      </c>
      <c r="AH53" s="214">
        <v>-3.7948940306021979</v>
      </c>
    </row>
    <row r="54" spans="1:34">
      <c r="A54">
        <v>50</v>
      </c>
      <c r="B54" s="5">
        <v>5</v>
      </c>
      <c r="C54" s="5" t="s">
        <v>5</v>
      </c>
      <c r="D54" s="5">
        <v>1374</v>
      </c>
      <c r="E54" s="37">
        <f t="shared" si="4"/>
        <v>1112.2</v>
      </c>
      <c r="F54" s="37">
        <f t="shared" si="5"/>
        <v>261.79999999999995</v>
      </c>
      <c r="G54" s="156">
        <f t="shared" si="3"/>
        <v>1118.0038100373922</v>
      </c>
      <c r="H54" s="156">
        <f t="shared" si="2"/>
        <v>255.99618996260779</v>
      </c>
      <c r="I54" s="237">
        <f t="shared" si="0"/>
        <v>1224.3024844190215</v>
      </c>
      <c r="J54">
        <f t="shared" si="1"/>
        <v>149.69751558097846</v>
      </c>
      <c r="R54" s="171">
        <v>43</v>
      </c>
      <c r="S54" s="167">
        <v>1112</v>
      </c>
      <c r="T54" s="172">
        <v>1294.2</v>
      </c>
      <c r="U54" s="173">
        <v>-182.20000000000005</v>
      </c>
      <c r="V54" s="174">
        <v>10.503692263140113</v>
      </c>
      <c r="X54" s="171">
        <v>43</v>
      </c>
      <c r="Y54" s="167">
        <v>1112</v>
      </c>
      <c r="Z54" s="172">
        <v>1270.6293859263233</v>
      </c>
      <c r="AA54" s="195">
        <v>-158.62938592632327</v>
      </c>
      <c r="AB54" s="174">
        <v>15.109268116301982</v>
      </c>
      <c r="AD54" s="171">
        <v>40</v>
      </c>
      <c r="AE54" s="167">
        <v>1234</v>
      </c>
      <c r="AF54" s="172">
        <v>1156.1704943225475</v>
      </c>
      <c r="AG54" s="195">
        <v>77.829505677452516</v>
      </c>
      <c r="AH54" s="214">
        <v>-3.0103197584304486</v>
      </c>
    </row>
    <row r="55" spans="1:34">
      <c r="A55">
        <v>51</v>
      </c>
      <c r="B55" s="5">
        <v>5</v>
      </c>
      <c r="C55" s="5" t="s">
        <v>6</v>
      </c>
      <c r="D55" s="5">
        <v>1369</v>
      </c>
      <c r="E55" s="37">
        <f t="shared" si="4"/>
        <v>1159.8</v>
      </c>
      <c r="F55" s="37">
        <f t="shared" si="5"/>
        <v>209.20000000000005</v>
      </c>
      <c r="G55" s="156">
        <f t="shared" si="3"/>
        <v>1194.8026670261745</v>
      </c>
      <c r="H55" s="156">
        <f t="shared" si="2"/>
        <v>174.1973329738255</v>
      </c>
      <c r="I55" s="237">
        <f t="shared" si="0"/>
        <v>1231.1156834286689</v>
      </c>
      <c r="J55">
        <f t="shared" si="1"/>
        <v>137.88431657133106</v>
      </c>
      <c r="R55" s="171">
        <v>44</v>
      </c>
      <c r="S55" s="167">
        <v>1130</v>
      </c>
      <c r="T55" s="172">
        <v>1271.2</v>
      </c>
      <c r="U55" s="173">
        <v>-141.20000000000005</v>
      </c>
      <c r="V55" s="174">
        <v>9.1397432905484255</v>
      </c>
      <c r="X55" s="171">
        <v>44</v>
      </c>
      <c r="Y55" s="167">
        <v>1130</v>
      </c>
      <c r="Z55" s="172">
        <v>1223.0405701484262</v>
      </c>
      <c r="AA55" s="195">
        <v>-93.040570148426241</v>
      </c>
      <c r="AB55" s="174">
        <v>14.094330011208251</v>
      </c>
      <c r="AD55" s="171">
        <v>41</v>
      </c>
      <c r="AE55" s="167">
        <v>1388</v>
      </c>
      <c r="AF55" s="172">
        <v>1162.9836933321949</v>
      </c>
      <c r="AG55" s="195">
        <v>225.01630666780511</v>
      </c>
      <c r="AH55" s="214">
        <v>-0.66529574643534806</v>
      </c>
    </row>
    <row r="56" spans="1:34">
      <c r="A56">
        <v>52</v>
      </c>
      <c r="B56" s="5">
        <v>5</v>
      </c>
      <c r="C56" s="5" t="s">
        <v>7</v>
      </c>
      <c r="D56" s="5">
        <v>1373</v>
      </c>
      <c r="E56" s="37">
        <f t="shared" si="4"/>
        <v>1208.5999999999999</v>
      </c>
      <c r="F56" s="37">
        <f t="shared" si="5"/>
        <v>164.40000000000009</v>
      </c>
      <c r="G56" s="156">
        <f t="shared" si="3"/>
        <v>1247.0618669183223</v>
      </c>
      <c r="H56" s="156">
        <f t="shared" si="2"/>
        <v>125.93813308167773</v>
      </c>
      <c r="I56" s="237">
        <f t="shared" si="0"/>
        <v>1237.9288824383164</v>
      </c>
      <c r="J56">
        <f t="shared" si="1"/>
        <v>135.07111756168365</v>
      </c>
      <c r="R56" s="171">
        <v>45</v>
      </c>
      <c r="S56" s="167">
        <v>1136</v>
      </c>
      <c r="T56" s="172">
        <v>1250.8</v>
      </c>
      <c r="U56" s="173">
        <v>-114.79999999999995</v>
      </c>
      <c r="V56" s="174">
        <v>8.0858220828219469</v>
      </c>
      <c r="X56" s="171">
        <v>45</v>
      </c>
      <c r="Y56" s="167">
        <v>1136</v>
      </c>
      <c r="Z56" s="172">
        <v>1195.1283991038983</v>
      </c>
      <c r="AA56" s="195">
        <v>-59.128399103898346</v>
      </c>
      <c r="AB56" s="174">
        <v>13.562029724091468</v>
      </c>
      <c r="AD56" s="171">
        <v>42</v>
      </c>
      <c r="AE56" s="167">
        <v>1390</v>
      </c>
      <c r="AF56" s="172">
        <v>1169.7968923418423</v>
      </c>
      <c r="AG56" s="195">
        <v>220.20310765815771</v>
      </c>
      <c r="AH56" s="214">
        <v>1.494640317465723</v>
      </c>
    </row>
    <row r="57" spans="1:34">
      <c r="A57">
        <v>53</v>
      </c>
      <c r="B57" s="9">
        <v>5</v>
      </c>
      <c r="C57" s="77" t="s">
        <v>8</v>
      </c>
      <c r="E57" s="550">
        <f t="shared" si="4"/>
        <v>1257.2</v>
      </c>
      <c r="F57" s="550"/>
      <c r="G57" s="624">
        <f t="shared" si="3"/>
        <v>1284.8433068428255</v>
      </c>
      <c r="H57" s="624"/>
      <c r="I57" s="625">
        <f t="shared" si="0"/>
        <v>1244.7420814479638</v>
      </c>
      <c r="J57" s="523"/>
      <c r="R57" s="171">
        <v>46</v>
      </c>
      <c r="S57" s="167">
        <v>1125</v>
      </c>
      <c r="T57" s="172">
        <v>1231.2</v>
      </c>
      <c r="U57" s="173">
        <v>-106.20000000000005</v>
      </c>
      <c r="V57" s="174">
        <v>7.1263204616067481</v>
      </c>
      <c r="X57" s="171">
        <v>46</v>
      </c>
      <c r="Y57" s="167">
        <v>1125</v>
      </c>
      <c r="Z57" s="172">
        <v>1177.389879372729</v>
      </c>
      <c r="AA57" s="195">
        <v>-52.389879372728956</v>
      </c>
      <c r="AB57" s="174">
        <v>13.112241913945164</v>
      </c>
      <c r="AD57" s="171">
        <v>43</v>
      </c>
      <c r="AE57" s="167">
        <v>1112</v>
      </c>
      <c r="AF57" s="172">
        <v>1176.6100913514897</v>
      </c>
      <c r="AG57" s="195">
        <v>-64.6100913514897</v>
      </c>
      <c r="AH57" s="214">
        <v>0.87387861105106279</v>
      </c>
    </row>
    <row r="58" spans="1:34">
      <c r="E58" s="523"/>
      <c r="F58" s="523"/>
      <c r="G58" s="523"/>
      <c r="H58" s="523"/>
      <c r="I58" s="523"/>
      <c r="J58" s="523"/>
      <c r="R58" s="171">
        <v>47</v>
      </c>
      <c r="S58" s="167">
        <v>1130</v>
      </c>
      <c r="T58" s="172">
        <v>1178.5999999999999</v>
      </c>
      <c r="U58" s="173">
        <v>-48.599999999999909</v>
      </c>
      <c r="V58" s="174">
        <v>6.7740745619812968</v>
      </c>
      <c r="X58" s="171">
        <v>47</v>
      </c>
      <c r="Y58" s="167">
        <v>1130</v>
      </c>
      <c r="Z58" s="172">
        <v>1161.6729155609103</v>
      </c>
      <c r="AA58" s="195">
        <v>-31.672915560910269</v>
      </c>
      <c r="AB58" s="174">
        <v>12.944777666723791</v>
      </c>
      <c r="AD58" s="171">
        <v>44</v>
      </c>
      <c r="AE58" s="167">
        <v>1130</v>
      </c>
      <c r="AF58" s="172">
        <v>1183.4232903611371</v>
      </c>
      <c r="AG58" s="195">
        <v>-53.423290361137106</v>
      </c>
      <c r="AH58" s="214">
        <v>0.35364731920625558</v>
      </c>
    </row>
    <row r="59" spans="1:34">
      <c r="A59" s="6" t="s">
        <v>158</v>
      </c>
      <c r="D59">
        <f>SUM(D5:D56)</f>
        <v>55338</v>
      </c>
      <c r="F59" s="26">
        <f>SUM(F10:F56)</f>
        <v>5267.6</v>
      </c>
      <c r="H59" s="155">
        <f>SUM(H6:H56)</f>
        <v>4770.4837057617842</v>
      </c>
      <c r="J59">
        <f>SUM(J5:J56)</f>
        <v>5317.8890122086577</v>
      </c>
      <c r="R59" s="171">
        <v>48</v>
      </c>
      <c r="S59" s="167">
        <v>1084</v>
      </c>
      <c r="T59" s="172">
        <v>1126.5999999999999</v>
      </c>
      <c r="U59" s="173">
        <v>-42.599999999999909</v>
      </c>
      <c r="V59" s="174">
        <v>6.4726355172713861</v>
      </c>
      <c r="X59" s="171">
        <v>48</v>
      </c>
      <c r="Y59" s="167">
        <v>1084</v>
      </c>
      <c r="Z59" s="172">
        <v>1152.1710408926372</v>
      </c>
      <c r="AA59" s="195">
        <v>-68.171040892637166</v>
      </c>
      <c r="AB59" s="174">
        <v>12.241286882679526</v>
      </c>
      <c r="AD59" s="171">
        <v>45</v>
      </c>
      <c r="AE59" s="167">
        <v>1136</v>
      </c>
      <c r="AF59" s="172">
        <v>1190.2364893707845</v>
      </c>
      <c r="AG59" s="195">
        <v>-54.236489370784511</v>
      </c>
      <c r="AH59" s="214">
        <v>-0.18611571328806642</v>
      </c>
    </row>
    <row r="60" spans="1:34">
      <c r="R60" s="171">
        <v>49</v>
      </c>
      <c r="S60" s="167">
        <v>1086</v>
      </c>
      <c r="T60" s="172">
        <v>1121</v>
      </c>
      <c r="U60" s="173">
        <v>-35</v>
      </c>
      <c r="V60" s="174">
        <v>6.2406631838003577</v>
      </c>
      <c r="X60" s="171">
        <v>49</v>
      </c>
      <c r="Y60" s="167">
        <v>1086</v>
      </c>
      <c r="Z60" s="172">
        <v>1131.7197286248461</v>
      </c>
      <c r="AA60" s="195">
        <v>-45.719728624846084</v>
      </c>
      <c r="AB60" s="174">
        <v>11.845381927458805</v>
      </c>
      <c r="AD60" s="171">
        <v>46</v>
      </c>
      <c r="AE60" s="167">
        <v>1125</v>
      </c>
      <c r="AF60" s="172">
        <v>1197.0496883804319</v>
      </c>
      <c r="AG60" s="195">
        <v>-72.049688380431917</v>
      </c>
      <c r="AH60" s="214">
        <v>-0.91355378570981272</v>
      </c>
    </row>
    <row r="61" spans="1:34">
      <c r="A61" t="s">
        <v>170</v>
      </c>
      <c r="R61" s="171">
        <v>50</v>
      </c>
      <c r="S61" s="167">
        <v>1374</v>
      </c>
      <c r="T61" s="172">
        <v>1112.2</v>
      </c>
      <c r="U61" s="173">
        <v>261.79999999999995</v>
      </c>
      <c r="V61" s="174">
        <v>8.4483040457703336</v>
      </c>
      <c r="X61" s="171">
        <v>50</v>
      </c>
      <c r="Y61" s="167">
        <v>1374</v>
      </c>
      <c r="Z61" s="172">
        <v>1118.0038100373922</v>
      </c>
      <c r="AA61" s="195">
        <v>255.99618996260779</v>
      </c>
      <c r="AB61" s="174">
        <v>14.20570215318339</v>
      </c>
      <c r="AD61" s="171">
        <v>47</v>
      </c>
      <c r="AE61" s="167">
        <v>1130</v>
      </c>
      <c r="AF61" s="172">
        <v>1203.8628873900793</v>
      </c>
      <c r="AG61" s="195">
        <v>-73.862887390079322</v>
      </c>
      <c r="AH61" s="214">
        <v>-1.6671982545055217</v>
      </c>
    </row>
    <row r="62" spans="1:34">
      <c r="A62" t="s">
        <v>63</v>
      </c>
      <c r="B62">
        <f>B81</f>
        <v>883.6425339366516</v>
      </c>
      <c r="R62" s="171">
        <v>51</v>
      </c>
      <c r="S62" s="167">
        <v>1369</v>
      </c>
      <c r="T62" s="172">
        <v>1159.8</v>
      </c>
      <c r="U62" s="173">
        <v>209.20000000000005</v>
      </c>
      <c r="V62" s="174">
        <v>10.167737889951406</v>
      </c>
      <c r="X62" s="171">
        <v>51</v>
      </c>
      <c r="Y62" s="167">
        <v>1369</v>
      </c>
      <c r="Z62" s="172">
        <v>1194.8026670261745</v>
      </c>
      <c r="AA62" s="195">
        <v>174.1973329738255</v>
      </c>
      <c r="AB62" s="174">
        <v>15.827234333850004</v>
      </c>
      <c r="AD62" s="171">
        <v>48</v>
      </c>
      <c r="AE62" s="167">
        <v>1084</v>
      </c>
      <c r="AF62" s="172">
        <v>1210.6760863997267</v>
      </c>
      <c r="AG62" s="195">
        <v>-126.67608639972673</v>
      </c>
      <c r="AH62" s="214">
        <v>-2.9337948763037773</v>
      </c>
    </row>
    <row r="63" spans="1:34">
      <c r="A63" t="s">
        <v>151</v>
      </c>
      <c r="B63">
        <f>B82</f>
        <v>6.8131990096473984</v>
      </c>
      <c r="R63" s="171">
        <v>52</v>
      </c>
      <c r="S63" s="167">
        <v>1373</v>
      </c>
      <c r="T63" s="172">
        <v>1208.5999999999999</v>
      </c>
      <c r="U63" s="173">
        <v>164.40000000000009</v>
      </c>
      <c r="V63" s="174">
        <v>11.531399498822998</v>
      </c>
      <c r="X63" s="171">
        <v>52</v>
      </c>
      <c r="Y63" s="167">
        <v>1373</v>
      </c>
      <c r="Z63" s="172">
        <v>1247.0618669183223</v>
      </c>
      <c r="AA63" s="195">
        <v>125.93813308167773</v>
      </c>
      <c r="AB63" s="174">
        <v>17.063963988591215</v>
      </c>
      <c r="AD63" s="171">
        <v>49</v>
      </c>
      <c r="AE63" s="167">
        <v>1086</v>
      </c>
      <c r="AF63" s="172">
        <v>1217.4892854093741</v>
      </c>
      <c r="AG63" s="195">
        <v>-131.48928540937413</v>
      </c>
      <c r="AH63" s="214">
        <v>-4.2306426639272985</v>
      </c>
    </row>
    <row r="64" spans="1:34" ht="16" thickBot="1">
      <c r="R64" s="182">
        <v>53</v>
      </c>
      <c r="S64" s="183"/>
      <c r="T64" s="184">
        <v>1257.2</v>
      </c>
      <c r="U64" s="185" t="s">
        <v>124</v>
      </c>
      <c r="V64" s="186" t="s">
        <v>124</v>
      </c>
      <c r="X64" s="182">
        <v>53</v>
      </c>
      <c r="Y64" s="183"/>
      <c r="Z64" s="184">
        <v>1284.8433068428255</v>
      </c>
      <c r="AA64" s="198" t="s">
        <v>124</v>
      </c>
      <c r="AB64" s="186" t="s">
        <v>124</v>
      </c>
      <c r="AD64" s="171">
        <v>50</v>
      </c>
      <c r="AE64" s="167">
        <v>1374</v>
      </c>
      <c r="AF64" s="172">
        <v>1224.3024844190215</v>
      </c>
      <c r="AG64" s="195">
        <v>149.69751558097846</v>
      </c>
      <c r="AH64" s="214">
        <v>-2.705243091001472</v>
      </c>
    </row>
    <row r="65" spans="1:34">
      <c r="A65" t="s">
        <v>40</v>
      </c>
      <c r="AD65" s="171">
        <v>51</v>
      </c>
      <c r="AE65" s="167">
        <v>1369</v>
      </c>
      <c r="AF65" s="172">
        <v>1231.1156834286689</v>
      </c>
      <c r="AG65" s="195">
        <v>137.88431657133106</v>
      </c>
      <c r="AH65" s="214">
        <v>-1.3291277323790298</v>
      </c>
    </row>
    <row r="66" spans="1:34" ht="16" thickBot="1">
      <c r="AD66" s="171">
        <v>52</v>
      </c>
      <c r="AE66" s="167">
        <v>1373</v>
      </c>
      <c r="AF66" s="172">
        <v>1237.9288824383164</v>
      </c>
      <c r="AG66" s="195">
        <v>135.07111756168365</v>
      </c>
      <c r="AH66" s="214">
        <v>5.335996037181299E-14</v>
      </c>
    </row>
    <row r="67" spans="1:34" ht="16" thickBot="1">
      <c r="A67" s="105" t="s">
        <v>41</v>
      </c>
      <c r="B67" s="105"/>
      <c r="AD67" s="182">
        <v>53</v>
      </c>
      <c r="AE67" s="183"/>
      <c r="AF67" s="184">
        <v>1244.7420814479638</v>
      </c>
      <c r="AG67" s="198" t="s">
        <v>124</v>
      </c>
      <c r="AH67" s="218"/>
    </row>
    <row r="68" spans="1:34">
      <c r="A68" s="87" t="s">
        <v>42</v>
      </c>
      <c r="B68" s="87">
        <v>0.66264612996004146</v>
      </c>
    </row>
    <row r="69" spans="1:34">
      <c r="A69" s="87" t="s">
        <v>43</v>
      </c>
      <c r="B69" s="87">
        <v>0.43909989355102014</v>
      </c>
    </row>
    <row r="70" spans="1:34">
      <c r="A70" s="87" t="s">
        <v>44</v>
      </c>
      <c r="B70" s="87">
        <v>0.42788189142204053</v>
      </c>
    </row>
    <row r="71" spans="1:34">
      <c r="A71" s="87" t="s">
        <v>45</v>
      </c>
      <c r="B71" s="87">
        <v>117.85858953476286</v>
      </c>
    </row>
    <row r="72" spans="1:34" ht="16" thickBot="1">
      <c r="A72" s="88" t="s">
        <v>46</v>
      </c>
      <c r="B72" s="88">
        <v>52</v>
      </c>
    </row>
    <row r="74" spans="1:34" ht="16" thickBot="1">
      <c r="A74" t="s">
        <v>47</v>
      </c>
    </row>
    <row r="75" spans="1:34">
      <c r="A75" s="104"/>
      <c r="B75" s="104" t="s">
        <v>48</v>
      </c>
      <c r="C75" s="104" t="s">
        <v>49</v>
      </c>
      <c r="D75" s="104" t="s">
        <v>50</v>
      </c>
      <c r="E75" s="104" t="s">
        <v>51</v>
      </c>
      <c r="F75" s="104"/>
      <c r="G75" s="104" t="s">
        <v>52</v>
      </c>
      <c r="H75" s="238"/>
    </row>
    <row r="76" spans="1:34">
      <c r="A76" s="87" t="s">
        <v>53</v>
      </c>
      <c r="B76" s="87">
        <v>1</v>
      </c>
      <c r="C76" s="87">
        <v>543713.72056689137</v>
      </c>
      <c r="D76" s="87">
        <v>543713.72056689137</v>
      </c>
      <c r="E76" s="87">
        <v>39.142432716846088</v>
      </c>
      <c r="F76" s="87"/>
      <c r="G76" s="87">
        <v>8.73045733512479E-8</v>
      </c>
      <c r="H76" s="87"/>
    </row>
    <row r="77" spans="1:34">
      <c r="A77" s="87" t="s">
        <v>54</v>
      </c>
      <c r="B77" s="87">
        <v>50</v>
      </c>
      <c r="C77" s="87">
        <v>694532.35635618563</v>
      </c>
      <c r="D77" s="87">
        <v>13890.647127123713</v>
      </c>
      <c r="E77" s="87"/>
      <c r="F77" s="87"/>
      <c r="G77" s="87"/>
      <c r="H77" s="87"/>
    </row>
    <row r="78" spans="1:34" ht="16" thickBot="1">
      <c r="A78" s="88" t="s">
        <v>55</v>
      </c>
      <c r="B78" s="88">
        <v>51</v>
      </c>
      <c r="C78" s="88">
        <v>1238246.076923077</v>
      </c>
      <c r="D78" s="88"/>
      <c r="E78" s="88"/>
      <c r="F78" s="88"/>
      <c r="G78" s="88"/>
      <c r="H78" s="87"/>
    </row>
    <row r="79" spans="1:34" ht="16" thickBot="1"/>
    <row r="80" spans="1:34">
      <c r="A80" s="104"/>
      <c r="B80" s="104" t="s">
        <v>56</v>
      </c>
      <c r="C80" s="104" t="s">
        <v>45</v>
      </c>
      <c r="D80" s="104" t="s">
        <v>57</v>
      </c>
      <c r="E80" s="104" t="s">
        <v>58</v>
      </c>
      <c r="F80" s="104"/>
      <c r="G80" s="104" t="s">
        <v>59</v>
      </c>
      <c r="H80" s="104"/>
      <c r="I80" s="104" t="s">
        <v>60</v>
      </c>
      <c r="J80" s="104" t="s">
        <v>61</v>
      </c>
      <c r="K80" s="104" t="s">
        <v>62</v>
      </c>
    </row>
    <row r="81" spans="1:11">
      <c r="A81" s="87" t="s">
        <v>63</v>
      </c>
      <c r="B81" s="87">
        <v>883.6425339366516</v>
      </c>
      <c r="C81" s="87">
        <v>33.165315028295538</v>
      </c>
      <c r="D81" s="87">
        <v>26.643574263737804</v>
      </c>
      <c r="E81" s="87">
        <v>3.3120848394984003E-31</v>
      </c>
      <c r="F81" s="87"/>
      <c r="G81" s="87">
        <v>817.02803823087629</v>
      </c>
      <c r="H81" s="87"/>
      <c r="I81" s="87">
        <v>950.25702964242691</v>
      </c>
      <c r="J81" s="87">
        <v>817.02803823087629</v>
      </c>
      <c r="K81" s="87">
        <v>950.25702964242691</v>
      </c>
    </row>
    <row r="82" spans="1:11" ht="16" thickBot="1">
      <c r="A82" s="88" t="s">
        <v>64</v>
      </c>
      <c r="B82" s="88">
        <v>6.8131990096473984</v>
      </c>
      <c r="C82" s="88">
        <v>1.0889982146498702</v>
      </c>
      <c r="D82" s="88">
        <v>6.2563913493999133</v>
      </c>
      <c r="E82" s="88">
        <v>8.7304573351249329E-8</v>
      </c>
      <c r="F82" s="88"/>
      <c r="G82" s="88">
        <v>4.6258817225509414</v>
      </c>
      <c r="H82" s="88"/>
      <c r="I82" s="88">
        <v>9.0005162967438554</v>
      </c>
      <c r="J82" s="88">
        <v>4.6258817225509414</v>
      </c>
      <c r="K82" s="88">
        <v>9.0005162967438554</v>
      </c>
    </row>
  </sheetData>
  <mergeCells count="10">
    <mergeCell ref="AD4:AG4"/>
    <mergeCell ref="AD5:AF5"/>
    <mergeCell ref="AD6:AF6"/>
    <mergeCell ref="AD11:AF11"/>
    <mergeCell ref="AD12:AF12"/>
    <mergeCell ref="M16:P18"/>
    <mergeCell ref="R4:U4"/>
    <mergeCell ref="R6:T6"/>
    <mergeCell ref="X4:AA4"/>
    <mergeCell ref="X6:Z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101"/>
  <sheetViews>
    <sheetView topLeftCell="P1" workbookViewId="0">
      <selection activeCell="Y14" sqref="Y14"/>
    </sheetView>
  </sheetViews>
  <sheetFormatPr baseColWidth="10" defaultColWidth="8.83203125" defaultRowHeight="15"/>
  <cols>
    <col min="2" max="2" width="10.83203125" bestFit="1" customWidth="1"/>
    <col min="3" max="3" width="14" customWidth="1"/>
    <col min="4" max="5" width="12" customWidth="1"/>
    <col min="6" max="6" width="10.5" customWidth="1"/>
    <col min="8" max="9" width="12.83203125" customWidth="1"/>
    <col min="12" max="12" width="9.5" bestFit="1" customWidth="1"/>
    <col min="13" max="13" width="10.5" customWidth="1"/>
    <col min="14" max="14" width="9.5" bestFit="1" customWidth="1"/>
    <col min="27" max="27" width="16.5" customWidth="1"/>
  </cols>
  <sheetData>
    <row r="1" spans="1:27">
      <c r="A1" s="6" t="s">
        <v>287</v>
      </c>
      <c r="V1" s="249" t="s">
        <v>176</v>
      </c>
    </row>
    <row r="3" spans="1:27">
      <c r="H3" s="516" t="s">
        <v>13</v>
      </c>
    </row>
    <row r="4" spans="1:27" ht="18" customHeight="1" thickBot="1">
      <c r="A4" s="6" t="s">
        <v>39</v>
      </c>
      <c r="B4" s="232" t="s">
        <v>174</v>
      </c>
      <c r="C4" s="232" t="s">
        <v>38</v>
      </c>
      <c r="D4" s="77" t="s">
        <v>53</v>
      </c>
      <c r="E4" s="77" t="s">
        <v>37</v>
      </c>
      <c r="F4" s="78" t="s">
        <v>162</v>
      </c>
      <c r="G4" s="77" t="s">
        <v>107</v>
      </c>
      <c r="H4" s="77" t="s">
        <v>123</v>
      </c>
      <c r="I4" s="77"/>
      <c r="W4" s="706" t="s">
        <v>144</v>
      </c>
      <c r="X4" s="706"/>
      <c r="Y4" s="706"/>
      <c r="Z4" s="706"/>
      <c r="AA4" s="225"/>
    </row>
    <row r="5" spans="1:27" ht="16" thickBot="1">
      <c r="A5">
        <v>1</v>
      </c>
      <c r="B5" s="241">
        <v>42036</v>
      </c>
      <c r="C5" s="5">
        <v>154</v>
      </c>
      <c r="D5" s="237">
        <f t="shared" ref="D5:D36" si="0">$B$61+$B$62*A5</f>
        <v>171.19302721088434</v>
      </c>
      <c r="E5" s="237">
        <f>C5-D5</f>
        <v>-17.193027210884338</v>
      </c>
      <c r="F5">
        <f t="shared" ref="F5:F52" si="1">ABS(C5-D5)</f>
        <v>17.193027210884338</v>
      </c>
      <c r="G5">
        <f>SUM($F$5:F5)/COUNT($F$5:F5)</f>
        <v>17.193027210884338</v>
      </c>
      <c r="H5">
        <f>SUM($E$5:E5)/G5</f>
        <v>-1</v>
      </c>
      <c r="W5" s="707" t="s">
        <v>145</v>
      </c>
      <c r="X5" s="707"/>
      <c r="Y5" s="690"/>
      <c r="Z5" s="206">
        <v>0.70543855840208425</v>
      </c>
      <c r="AA5" s="225"/>
    </row>
    <row r="6" spans="1:27" ht="16" thickBot="1">
      <c r="A6">
        <v>2</v>
      </c>
      <c r="B6" s="241">
        <v>42037</v>
      </c>
      <c r="C6" s="5">
        <v>146</v>
      </c>
      <c r="D6" s="237">
        <f t="shared" si="0"/>
        <v>171.89846576928642</v>
      </c>
      <c r="E6" s="237">
        <f t="shared" ref="E6:E52" si="2">C6-D6</f>
        <v>-25.898465769286418</v>
      </c>
      <c r="F6">
        <f t="shared" si="1"/>
        <v>25.898465769286418</v>
      </c>
      <c r="G6">
        <f>SUM($F$5:F6)/COUNT($F$5:F6)</f>
        <v>21.545746490085378</v>
      </c>
      <c r="H6">
        <f>SUM($E$5:E6)/G6</f>
        <v>-2</v>
      </c>
      <c r="J6" s="325" t="s">
        <v>286</v>
      </c>
      <c r="K6" s="515">
        <f>D53</f>
        <v>205.05407801418443</v>
      </c>
      <c r="L6" s="84">
        <v>42005</v>
      </c>
      <c r="W6" s="707" t="s">
        <v>146</v>
      </c>
      <c r="X6" s="707"/>
      <c r="Y6" s="690"/>
      <c r="Z6" s="206">
        <v>170.48758865248229</v>
      </c>
      <c r="AA6" s="225"/>
    </row>
    <row r="7" spans="1:27" ht="16" thickBot="1">
      <c r="A7">
        <v>3</v>
      </c>
      <c r="B7" s="241">
        <v>42038</v>
      </c>
      <c r="C7" s="5">
        <v>165</v>
      </c>
      <c r="D7" s="237">
        <f t="shared" si="0"/>
        <v>172.60390432768853</v>
      </c>
      <c r="E7" s="237">
        <f t="shared" si="2"/>
        <v>-7.6039043276885252</v>
      </c>
      <c r="F7">
        <f t="shared" si="1"/>
        <v>7.6039043276885252</v>
      </c>
      <c r="G7">
        <f>SUM($F$5:F7)/COUNT($F$5:F7)</f>
        <v>16.898465769286428</v>
      </c>
      <c r="H7">
        <f>SUM($E$5:E7)/G7</f>
        <v>-3</v>
      </c>
      <c r="J7" s="6"/>
      <c r="K7" s="515">
        <f t="shared" ref="K7:K9" si="3">D54</f>
        <v>205.75951657258651</v>
      </c>
      <c r="L7" s="84">
        <v>42006</v>
      </c>
      <c r="W7" s="225"/>
      <c r="X7" s="225"/>
      <c r="Y7" s="225"/>
      <c r="Z7" s="225"/>
      <c r="AA7" s="225"/>
    </row>
    <row r="8" spans="1:27" ht="16">
      <c r="A8">
        <v>4</v>
      </c>
      <c r="B8" s="241">
        <v>42039</v>
      </c>
      <c r="C8" s="5">
        <v>163</v>
      </c>
      <c r="D8" s="237">
        <f t="shared" si="0"/>
        <v>173.3093428860906</v>
      </c>
      <c r="E8" s="237">
        <f t="shared" si="2"/>
        <v>-10.309342886090604</v>
      </c>
      <c r="F8">
        <f t="shared" si="1"/>
        <v>10.309342886090604</v>
      </c>
      <c r="G8">
        <f>SUM($F$5:F8)/COUNT($F$5:F8)</f>
        <v>15.251185048487471</v>
      </c>
      <c r="H8">
        <f>SUM($E$5:E8)/G8</f>
        <v>-4</v>
      </c>
      <c r="K8" s="515">
        <f t="shared" si="3"/>
        <v>206.46495513098859</v>
      </c>
      <c r="L8" s="84">
        <v>42007</v>
      </c>
      <c r="W8" s="226" t="s">
        <v>121</v>
      </c>
      <c r="X8" s="162">
        <v>20.673274895064406</v>
      </c>
      <c r="Y8" s="227" t="s">
        <v>147</v>
      </c>
      <c r="Z8" s="207">
        <v>0.12894438247991688</v>
      </c>
      <c r="AA8" s="225"/>
    </row>
    <row r="9" spans="1:27" ht="16" thickBot="1">
      <c r="A9">
        <v>5</v>
      </c>
      <c r="B9" s="241">
        <v>42064</v>
      </c>
      <c r="C9" s="5">
        <v>193</v>
      </c>
      <c r="D9" s="237">
        <f t="shared" si="0"/>
        <v>174.01478144449268</v>
      </c>
      <c r="E9" s="237">
        <f t="shared" si="2"/>
        <v>18.985218555507316</v>
      </c>
      <c r="F9">
        <f t="shared" si="1"/>
        <v>18.985218555507316</v>
      </c>
      <c r="G9">
        <f>SUM($F$5:F9)/COUNT($F$5:F9)</f>
        <v>15.99799174989144</v>
      </c>
      <c r="H9">
        <f>SUM($E$5:E9)/G9</f>
        <v>-2.6265497754571419</v>
      </c>
      <c r="K9" s="515">
        <f t="shared" si="3"/>
        <v>207.17039368939066</v>
      </c>
      <c r="L9" s="84">
        <v>42008</v>
      </c>
      <c r="W9" s="226" t="s">
        <v>122</v>
      </c>
      <c r="X9" s="163">
        <v>0.110098435034183</v>
      </c>
      <c r="Y9" s="227" t="s">
        <v>148</v>
      </c>
      <c r="Z9" s="208">
        <v>8.6621881120195405E-11</v>
      </c>
      <c r="AA9" s="225"/>
    </row>
    <row r="10" spans="1:27" ht="16" thickBot="1">
      <c r="A10">
        <v>6</v>
      </c>
      <c r="B10" s="241">
        <v>42065</v>
      </c>
      <c r="C10" s="5">
        <v>185</v>
      </c>
      <c r="D10" s="237">
        <f t="shared" si="0"/>
        <v>174.72022000289476</v>
      </c>
      <c r="E10" s="237">
        <f t="shared" si="2"/>
        <v>10.279779997105237</v>
      </c>
      <c r="F10">
        <f t="shared" si="1"/>
        <v>10.279779997105237</v>
      </c>
      <c r="G10">
        <f>SUM($F$5:F10)/COUNT($F$5:F10)</f>
        <v>15.044956457760406</v>
      </c>
      <c r="H10">
        <f>SUM($E$5:E10)/G10</f>
        <v>-2.1096599202828208</v>
      </c>
      <c r="K10" s="515"/>
      <c r="L10" s="84"/>
      <c r="W10" s="226"/>
      <c r="X10" s="209"/>
      <c r="Y10" s="227"/>
      <c r="Z10" s="210"/>
      <c r="AA10" s="225"/>
    </row>
    <row r="11" spans="1:27" ht="16" thickBot="1">
      <c r="A11">
        <v>7</v>
      </c>
      <c r="B11" s="241">
        <v>42066</v>
      </c>
      <c r="C11" s="5">
        <v>166</v>
      </c>
      <c r="D11" s="237">
        <f t="shared" si="0"/>
        <v>175.42565856129684</v>
      </c>
      <c r="E11" s="237">
        <f t="shared" si="2"/>
        <v>-9.4256585612968422</v>
      </c>
      <c r="F11">
        <f t="shared" si="1"/>
        <v>9.4256585612968422</v>
      </c>
      <c r="G11">
        <f>SUM($F$5:F11)/COUNT($F$5:F11)</f>
        <v>14.242199615408468</v>
      </c>
      <c r="H11">
        <f>SUM($E$5:E11)/G11</f>
        <v>-2.890382196167073</v>
      </c>
      <c r="K11" s="240"/>
      <c r="L11" s="84"/>
      <c r="W11" s="708" t="s">
        <v>149</v>
      </c>
      <c r="X11" s="708"/>
      <c r="Y11" s="691"/>
      <c r="Z11" s="211">
        <v>49</v>
      </c>
      <c r="AA11" s="225"/>
    </row>
    <row r="12" spans="1:27" ht="16" thickBot="1">
      <c r="A12">
        <v>8</v>
      </c>
      <c r="B12" s="241">
        <v>42067</v>
      </c>
      <c r="C12" s="5">
        <v>173</v>
      </c>
      <c r="D12" s="237">
        <f t="shared" si="0"/>
        <v>176.13109711969895</v>
      </c>
      <c r="E12" s="237">
        <f t="shared" si="2"/>
        <v>-3.1310971196989499</v>
      </c>
      <c r="F12">
        <f t="shared" si="1"/>
        <v>3.1310971196989499</v>
      </c>
      <c r="G12">
        <f>SUM($F$5:F12)/COUNT($F$5:F12)</f>
        <v>12.853311803444779</v>
      </c>
      <c r="H12">
        <f>SUM($E$5:E12)/G12</f>
        <v>-3.4463100249743688</v>
      </c>
      <c r="K12" s="240"/>
      <c r="L12" s="84"/>
      <c r="W12" s="708" t="str">
        <f xml:space="preserve"> "Prediction of period " &amp; Z11 &amp; " ="</f>
        <v>Prediction of period 49 =</v>
      </c>
      <c r="X12" s="708"/>
      <c r="Y12" s="708"/>
      <c r="Z12" s="212">
        <v>205.05407801418443</v>
      </c>
      <c r="AA12" s="225"/>
    </row>
    <row r="13" spans="1:27" ht="16" thickBot="1">
      <c r="A13">
        <v>9</v>
      </c>
      <c r="B13" s="241">
        <v>42068</v>
      </c>
      <c r="C13" s="5">
        <v>179</v>
      </c>
      <c r="D13" s="237">
        <f t="shared" si="0"/>
        <v>176.83653567810103</v>
      </c>
      <c r="E13" s="237">
        <f t="shared" si="2"/>
        <v>2.1634643218989709</v>
      </c>
      <c r="F13">
        <f t="shared" si="1"/>
        <v>2.1634643218989709</v>
      </c>
      <c r="G13">
        <f>SUM($F$5:F13)/COUNT($F$5:F13)</f>
        <v>11.665550972161912</v>
      </c>
      <c r="H13">
        <f>SUM($E$5:E13)/G13</f>
        <v>-3.6117482235496907</v>
      </c>
      <c r="K13" s="240"/>
      <c r="L13" s="84"/>
      <c r="W13" s="225"/>
      <c r="X13" s="225"/>
      <c r="Y13" s="225"/>
      <c r="Z13" s="225"/>
      <c r="AA13" s="225"/>
    </row>
    <row r="14" spans="1:27" ht="15.75" customHeight="1" thickBot="1">
      <c r="A14">
        <v>10</v>
      </c>
      <c r="B14" s="241">
        <v>42095</v>
      </c>
      <c r="C14" s="5">
        <v>196</v>
      </c>
      <c r="D14" s="237">
        <f t="shared" si="0"/>
        <v>177.54197423650311</v>
      </c>
      <c r="E14" s="237">
        <f t="shared" si="2"/>
        <v>18.458025763496892</v>
      </c>
      <c r="F14">
        <f t="shared" si="1"/>
        <v>18.458025763496892</v>
      </c>
      <c r="G14">
        <f>SUM($F$5:F14)/COUNT($F$5:F14)</f>
        <v>12.344798451295409</v>
      </c>
      <c r="H14">
        <f>SUM($E$5:E14)/G14</f>
        <v>-1.9178123750131304</v>
      </c>
      <c r="K14" s="240"/>
      <c r="L14" s="84"/>
      <c r="W14" s="164" t="s">
        <v>39</v>
      </c>
      <c r="X14" s="164" t="s">
        <v>38</v>
      </c>
      <c r="Y14" s="164" t="s">
        <v>185</v>
      </c>
      <c r="Z14" s="164" t="s">
        <v>37</v>
      </c>
      <c r="AA14" s="165" t="s">
        <v>123</v>
      </c>
    </row>
    <row r="15" spans="1:27">
      <c r="A15">
        <v>11</v>
      </c>
      <c r="B15" s="241">
        <v>42096</v>
      </c>
      <c r="C15" s="5">
        <v>169</v>
      </c>
      <c r="D15" s="237">
        <f t="shared" si="0"/>
        <v>178.24741279490519</v>
      </c>
      <c r="E15" s="237">
        <f t="shared" si="2"/>
        <v>-9.2474127949051876</v>
      </c>
      <c r="F15">
        <f t="shared" si="1"/>
        <v>9.2474127949051876</v>
      </c>
      <c r="G15">
        <f>SUM($F$5:F15)/COUNT($F$5:F15)</f>
        <v>12.063217937078116</v>
      </c>
      <c r="H15">
        <f>SUM($E$5:E15)/G15</f>
        <v>-2.7291573611258761</v>
      </c>
      <c r="K15" s="240"/>
      <c r="L15" s="84"/>
      <c r="W15" s="166">
        <v>1</v>
      </c>
      <c r="X15" s="200">
        <v>154</v>
      </c>
      <c r="Y15" s="168">
        <v>171.19302721088437</v>
      </c>
      <c r="Z15" s="194">
        <v>-17.193027210884367</v>
      </c>
      <c r="AA15" s="213">
        <v>-1</v>
      </c>
    </row>
    <row r="16" spans="1:27">
      <c r="A16">
        <v>12</v>
      </c>
      <c r="B16" s="241">
        <v>42097</v>
      </c>
      <c r="C16" s="5">
        <v>188</v>
      </c>
      <c r="D16" s="237">
        <f t="shared" si="0"/>
        <v>178.95285135330727</v>
      </c>
      <c r="E16" s="237">
        <f t="shared" si="2"/>
        <v>9.0471486466927331</v>
      </c>
      <c r="F16">
        <f t="shared" si="1"/>
        <v>9.0471486466927331</v>
      </c>
      <c r="G16">
        <f>SUM($F$5:F16)/COUNT($F$5:F16)</f>
        <v>11.811878829546002</v>
      </c>
      <c r="H16">
        <f>SUM($E$5:E16)/G16</f>
        <v>-2.0212932870110878</v>
      </c>
      <c r="K16" s="240"/>
      <c r="L16" s="84"/>
      <c r="W16" s="171">
        <v>2</v>
      </c>
      <c r="X16" s="167">
        <v>146</v>
      </c>
      <c r="Y16" s="172">
        <v>171.89846576928645</v>
      </c>
      <c r="Z16" s="195">
        <v>-25.898465769286446</v>
      </c>
      <c r="AA16" s="214">
        <v>-2</v>
      </c>
    </row>
    <row r="17" spans="1:27">
      <c r="A17">
        <v>13</v>
      </c>
      <c r="B17" s="241">
        <v>42098</v>
      </c>
      <c r="C17" s="5">
        <v>164</v>
      </c>
      <c r="D17" s="237">
        <f t="shared" si="0"/>
        <v>179.65828991170937</v>
      </c>
      <c r="E17" s="237">
        <f t="shared" si="2"/>
        <v>-15.658289911709375</v>
      </c>
      <c r="F17">
        <f t="shared" si="1"/>
        <v>15.658289911709375</v>
      </c>
      <c r="G17">
        <f>SUM($F$5:F17)/COUNT($F$5:F17)</f>
        <v>12.10775660509703</v>
      </c>
      <c r="H17">
        <f>SUM($E$5:E17)/G17</f>
        <v>-3.2651433776110559</v>
      </c>
      <c r="K17" s="240"/>
      <c r="L17" s="84"/>
      <c r="W17" s="171">
        <v>3</v>
      </c>
      <c r="X17" s="167">
        <v>165</v>
      </c>
      <c r="Y17" s="172">
        <v>172.60390432768855</v>
      </c>
      <c r="Z17" s="195">
        <v>-7.6039043276885536</v>
      </c>
      <c r="AA17" s="214">
        <v>-3</v>
      </c>
    </row>
    <row r="18" spans="1:27">
      <c r="A18">
        <v>14</v>
      </c>
      <c r="B18" s="241">
        <v>42125</v>
      </c>
      <c r="C18" s="5">
        <v>144</v>
      </c>
      <c r="D18" s="237">
        <f t="shared" si="0"/>
        <v>180.36372847011145</v>
      </c>
      <c r="E18" s="237">
        <f t="shared" si="2"/>
        <v>-36.363728470111454</v>
      </c>
      <c r="F18">
        <f t="shared" si="1"/>
        <v>36.363728470111454</v>
      </c>
      <c r="G18">
        <f>SUM($F$5:F18)/COUNT($F$5:F18)</f>
        <v>13.840326024026632</v>
      </c>
      <c r="H18">
        <f>SUM($E$5:E18)/G18</f>
        <v>-5.4837790406970042</v>
      </c>
      <c r="K18" s="240"/>
      <c r="L18" s="84"/>
      <c r="W18" s="171">
        <v>4</v>
      </c>
      <c r="X18" s="167">
        <v>163</v>
      </c>
      <c r="Y18" s="172">
        <v>173.30934288609063</v>
      </c>
      <c r="Z18" s="195">
        <v>-10.309342886090633</v>
      </c>
      <c r="AA18" s="214">
        <v>-4</v>
      </c>
    </row>
    <row r="19" spans="1:27">
      <c r="A19">
        <v>15</v>
      </c>
      <c r="B19" s="241">
        <v>42126</v>
      </c>
      <c r="C19" s="5">
        <v>195</v>
      </c>
      <c r="D19" s="237">
        <f t="shared" si="0"/>
        <v>181.06916702851353</v>
      </c>
      <c r="E19" s="237">
        <f t="shared" si="2"/>
        <v>13.930832971486467</v>
      </c>
      <c r="F19">
        <f t="shared" si="1"/>
        <v>13.930832971486467</v>
      </c>
      <c r="G19">
        <f>SUM($F$5:F19)/COUNT($F$5:F19)</f>
        <v>13.846359820523954</v>
      </c>
      <c r="H19">
        <f>SUM($E$5:E19)/G19</f>
        <v>-4.4752886389412945</v>
      </c>
      <c r="K19" s="240"/>
      <c r="L19" s="84"/>
      <c r="W19" s="171">
        <v>5</v>
      </c>
      <c r="X19" s="167">
        <v>193</v>
      </c>
      <c r="Y19" s="172">
        <v>174.01478144449271</v>
      </c>
      <c r="Z19" s="195">
        <v>18.985218555507288</v>
      </c>
      <c r="AA19" s="214">
        <v>-2.6265497754571476</v>
      </c>
    </row>
    <row r="20" spans="1:27">
      <c r="A20">
        <v>16</v>
      </c>
      <c r="B20" s="241">
        <v>42127</v>
      </c>
      <c r="C20" s="5">
        <v>234</v>
      </c>
      <c r="D20" s="237">
        <f t="shared" si="0"/>
        <v>181.77460558691561</v>
      </c>
      <c r="E20" s="237">
        <f t="shared" si="2"/>
        <v>52.225394413084388</v>
      </c>
      <c r="F20">
        <f t="shared" si="1"/>
        <v>52.225394413084388</v>
      </c>
      <c r="G20">
        <f>SUM($F$5:F20)/COUNT($F$5:F20)</f>
        <v>16.245049482558983</v>
      </c>
      <c r="H20">
        <f>SUM($E$5:E20)/G20</f>
        <v>-0.59963266919302982</v>
      </c>
      <c r="K20" s="240"/>
      <c r="L20" s="84"/>
      <c r="W20" s="171">
        <v>6</v>
      </c>
      <c r="X20" s="167">
        <v>185</v>
      </c>
      <c r="Y20" s="172">
        <v>174.72022000289479</v>
      </c>
      <c r="Z20" s="195">
        <v>10.279779997105209</v>
      </c>
      <c r="AA20" s="214">
        <v>-2.109659920282831</v>
      </c>
    </row>
    <row r="21" spans="1:27">
      <c r="A21">
        <v>17</v>
      </c>
      <c r="B21" s="241">
        <v>42128</v>
      </c>
      <c r="C21" s="5">
        <v>207</v>
      </c>
      <c r="D21" s="237">
        <f t="shared" si="0"/>
        <v>182.48004414531769</v>
      </c>
      <c r="E21" s="237">
        <f t="shared" si="2"/>
        <v>24.519955854682308</v>
      </c>
      <c r="F21">
        <f t="shared" si="1"/>
        <v>24.519955854682308</v>
      </c>
      <c r="G21">
        <f>SUM($F$5:F21)/COUNT($F$5:F21)</f>
        <v>16.731808680919176</v>
      </c>
      <c r="H21">
        <f>SUM($E$5:E21)/G21</f>
        <v>0.88328128501351755</v>
      </c>
      <c r="K21" s="240"/>
      <c r="L21" s="84"/>
      <c r="W21" s="171">
        <v>7</v>
      </c>
      <c r="X21" s="167">
        <v>166</v>
      </c>
      <c r="Y21" s="172">
        <v>175.42565856129687</v>
      </c>
      <c r="Z21" s="195">
        <v>-9.4256585612968706</v>
      </c>
      <c r="AA21" s="214">
        <v>-2.8903821961670846</v>
      </c>
    </row>
    <row r="22" spans="1:27">
      <c r="A22">
        <v>18</v>
      </c>
      <c r="B22" s="241">
        <v>42156</v>
      </c>
      <c r="C22" s="5">
        <v>221</v>
      </c>
      <c r="D22" s="237">
        <f t="shared" si="0"/>
        <v>183.1854827037198</v>
      </c>
      <c r="E22" s="237">
        <f t="shared" si="2"/>
        <v>37.814517296280201</v>
      </c>
      <c r="F22">
        <f t="shared" si="1"/>
        <v>37.814517296280201</v>
      </c>
      <c r="G22">
        <f>SUM($F$5:F22)/COUNT($F$5:F22)</f>
        <v>17.903070270661456</v>
      </c>
      <c r="H22">
        <f>SUM($E$5:E22)/G22</f>
        <v>2.9376754921612491</v>
      </c>
      <c r="K22" s="240"/>
      <c r="L22" s="84"/>
      <c r="W22" s="171">
        <v>8</v>
      </c>
      <c r="X22" s="167">
        <v>173</v>
      </c>
      <c r="Y22" s="172">
        <v>176.13109711969895</v>
      </c>
      <c r="Z22" s="195">
        <v>-3.1310971196989499</v>
      </c>
      <c r="AA22" s="214">
        <v>-3.4463100249743812</v>
      </c>
    </row>
    <row r="23" spans="1:27">
      <c r="A23">
        <v>19</v>
      </c>
      <c r="B23" s="241">
        <v>42157</v>
      </c>
      <c r="C23" s="5">
        <v>220</v>
      </c>
      <c r="D23" s="237">
        <f t="shared" si="0"/>
        <v>183.89092126212188</v>
      </c>
      <c r="E23" s="237">
        <f t="shared" si="2"/>
        <v>36.109078737878122</v>
      </c>
      <c r="F23">
        <f t="shared" si="1"/>
        <v>36.109078737878122</v>
      </c>
      <c r="G23">
        <f>SUM($F$5:F23)/COUNT($F$5:F23)</f>
        <v>18.861281242620226</v>
      </c>
      <c r="H23">
        <f>SUM($E$5:E23)/G23</f>
        <v>4.7028878030832182</v>
      </c>
      <c r="K23" s="240"/>
      <c r="L23" s="84"/>
      <c r="W23" s="171">
        <v>9</v>
      </c>
      <c r="X23" s="167">
        <v>179</v>
      </c>
      <c r="Y23" s="172">
        <v>176.83653567810106</v>
      </c>
      <c r="Z23" s="195">
        <v>2.1634643218989424</v>
      </c>
      <c r="AA23" s="214">
        <v>-3.6117482235497089</v>
      </c>
    </row>
    <row r="24" spans="1:27">
      <c r="A24">
        <v>20</v>
      </c>
      <c r="B24" s="241">
        <v>42158</v>
      </c>
      <c r="C24" s="5">
        <v>203</v>
      </c>
      <c r="D24" s="237">
        <f t="shared" si="0"/>
        <v>184.59635982052396</v>
      </c>
      <c r="E24" s="237">
        <f t="shared" si="2"/>
        <v>18.403640179476042</v>
      </c>
      <c r="F24">
        <f t="shared" si="1"/>
        <v>18.403640179476042</v>
      </c>
      <c r="G24">
        <f>SUM($F$5:F24)/COUNT($F$5:F24)</f>
        <v>18.838399189463019</v>
      </c>
      <c r="H24">
        <f>SUM($E$5:E24)/G24</f>
        <v>5.6855218221421504</v>
      </c>
      <c r="K24" s="240"/>
      <c r="L24" s="84"/>
      <c r="W24" s="171">
        <v>10</v>
      </c>
      <c r="X24" s="167">
        <v>196</v>
      </c>
      <c r="Y24" s="172">
        <v>177.54197423650314</v>
      </c>
      <c r="Z24" s="195">
        <v>18.458025763496863</v>
      </c>
      <c r="AA24" s="214">
        <v>-1.9178123750131506</v>
      </c>
    </row>
    <row r="25" spans="1:27">
      <c r="A25">
        <v>21</v>
      </c>
      <c r="B25" s="241">
        <v>42159</v>
      </c>
      <c r="C25" s="5">
        <v>144</v>
      </c>
      <c r="D25" s="237">
        <f t="shared" si="0"/>
        <v>185.30179837892604</v>
      </c>
      <c r="E25" s="237">
        <f t="shared" si="2"/>
        <v>-41.301798378926037</v>
      </c>
      <c r="F25">
        <f t="shared" si="1"/>
        <v>41.301798378926037</v>
      </c>
      <c r="G25">
        <f>SUM($F$5:F25)/COUNT($F$5:F25)</f>
        <v>19.908084865151732</v>
      </c>
      <c r="H25">
        <f>SUM($E$5:E25)/G25</f>
        <v>3.3054074137577478</v>
      </c>
      <c r="K25" s="240"/>
      <c r="L25" s="84"/>
      <c r="W25" s="171">
        <v>11</v>
      </c>
      <c r="X25" s="167">
        <v>169</v>
      </c>
      <c r="Y25" s="172">
        <v>178.24741279490522</v>
      </c>
      <c r="Z25" s="195">
        <v>-9.2474127949052161</v>
      </c>
      <c r="AA25" s="214">
        <v>-2.7291573611258988</v>
      </c>
    </row>
    <row r="26" spans="1:27">
      <c r="A26">
        <v>22</v>
      </c>
      <c r="B26" s="241">
        <v>42160</v>
      </c>
      <c r="C26" s="5">
        <v>184</v>
      </c>
      <c r="D26" s="237">
        <f t="shared" si="0"/>
        <v>186.00723693732812</v>
      </c>
      <c r="E26" s="237">
        <f t="shared" si="2"/>
        <v>-2.0072369373281163</v>
      </c>
      <c r="F26">
        <f t="shared" si="1"/>
        <v>2.0072369373281163</v>
      </c>
      <c r="G26">
        <f>SUM($F$5:F26)/COUNT($F$5:F26)</f>
        <v>19.094409959341569</v>
      </c>
      <c r="H26">
        <f>SUM($E$5:E26)/G26</f>
        <v>3.3411398679251327</v>
      </c>
      <c r="K26" s="240"/>
      <c r="L26" s="84"/>
      <c r="W26" s="171">
        <v>12</v>
      </c>
      <c r="X26" s="167">
        <v>188</v>
      </c>
      <c r="Y26" s="172">
        <v>178.9528513533073</v>
      </c>
      <c r="Z26" s="195">
        <v>9.0471486466927047</v>
      </c>
      <c r="AA26" s="214">
        <v>-2.021293287011114</v>
      </c>
    </row>
    <row r="27" spans="1:27">
      <c r="A27">
        <v>23</v>
      </c>
      <c r="B27" s="241">
        <v>42186</v>
      </c>
      <c r="C27" s="5">
        <v>191</v>
      </c>
      <c r="D27" s="237">
        <f t="shared" si="0"/>
        <v>186.7126754957302</v>
      </c>
      <c r="E27" s="237">
        <f t="shared" si="2"/>
        <v>4.2873245042698045</v>
      </c>
      <c r="F27">
        <f t="shared" si="1"/>
        <v>4.2873245042698045</v>
      </c>
      <c r="G27">
        <f>SUM($F$5:F27)/COUNT($F$5:F27)</f>
        <v>18.450623635208014</v>
      </c>
      <c r="H27">
        <f>SUM($E$5:E27)/G27</f>
        <v>3.6900876750860592</v>
      </c>
      <c r="K27" s="240"/>
      <c r="L27" s="84"/>
      <c r="W27" s="171">
        <v>13</v>
      </c>
      <c r="X27" s="167">
        <v>164</v>
      </c>
      <c r="Y27" s="172">
        <v>179.65828991170937</v>
      </c>
      <c r="Z27" s="195">
        <v>-15.658289911709375</v>
      </c>
      <c r="AA27" s="214">
        <v>-3.2651433776110812</v>
      </c>
    </row>
    <row r="28" spans="1:27">
      <c r="A28">
        <v>24</v>
      </c>
      <c r="B28" s="241">
        <v>42187</v>
      </c>
      <c r="C28" s="5">
        <v>178</v>
      </c>
      <c r="D28" s="237">
        <f t="shared" si="0"/>
        <v>187.4181140541323</v>
      </c>
      <c r="E28" s="237">
        <f t="shared" si="2"/>
        <v>-9.4181140541323032</v>
      </c>
      <c r="F28">
        <f t="shared" si="1"/>
        <v>9.4181140541323032</v>
      </c>
      <c r="G28">
        <f>SUM($F$5:F28)/COUNT($F$5:F28)</f>
        <v>18.074269069329858</v>
      </c>
      <c r="H28">
        <f>SUM($E$5:E28)/G28</f>
        <v>3.2458466007541573</v>
      </c>
      <c r="K28" s="240"/>
      <c r="L28" s="84"/>
      <c r="W28" s="171">
        <v>14</v>
      </c>
      <c r="X28" s="167">
        <v>144</v>
      </c>
      <c r="Y28" s="172">
        <v>180.36372847011145</v>
      </c>
      <c r="Z28" s="195">
        <v>-36.363728470111454</v>
      </c>
      <c r="AA28" s="214">
        <v>-5.4837790406970255</v>
      </c>
    </row>
    <row r="29" spans="1:27">
      <c r="A29">
        <v>25</v>
      </c>
      <c r="B29" s="241">
        <v>42188</v>
      </c>
      <c r="C29" s="5">
        <v>204</v>
      </c>
      <c r="D29" s="237">
        <f t="shared" si="0"/>
        <v>188.12355261253438</v>
      </c>
      <c r="E29" s="237">
        <f t="shared" si="2"/>
        <v>15.876447387465618</v>
      </c>
      <c r="F29">
        <f t="shared" si="1"/>
        <v>15.876447387465618</v>
      </c>
      <c r="G29">
        <f>SUM($F$5:F29)/COUNT($F$5:F29)</f>
        <v>17.986356202055291</v>
      </c>
      <c r="H29">
        <f>SUM($E$5:E29)/G29</f>
        <v>4.1444054243042281</v>
      </c>
      <c r="K29" s="240"/>
      <c r="L29" s="84"/>
      <c r="W29" s="171">
        <v>15</v>
      </c>
      <c r="X29" s="167">
        <v>195</v>
      </c>
      <c r="Y29" s="172">
        <v>181.06916702851356</v>
      </c>
      <c r="Z29" s="195">
        <v>13.930832971486439</v>
      </c>
      <c r="AA29" s="214">
        <v>-4.4752886389413193</v>
      </c>
    </row>
    <row r="30" spans="1:27">
      <c r="A30">
        <v>26</v>
      </c>
      <c r="B30" s="241">
        <v>42189</v>
      </c>
      <c r="C30" s="5">
        <v>219</v>
      </c>
      <c r="D30" s="237">
        <f t="shared" si="0"/>
        <v>188.82899117093646</v>
      </c>
      <c r="E30" s="237">
        <f t="shared" si="2"/>
        <v>30.171008829063538</v>
      </c>
      <c r="F30">
        <f t="shared" si="1"/>
        <v>30.171008829063538</v>
      </c>
      <c r="G30">
        <f>SUM($F$5:F30)/COUNT($F$5:F30)</f>
        <v>18.454996687709453</v>
      </c>
      <c r="H30">
        <f>SUM($E$5:E30)/G30</f>
        <v>5.6740059512482128</v>
      </c>
      <c r="K30" s="8"/>
      <c r="W30" s="171">
        <v>16</v>
      </c>
      <c r="X30" s="167">
        <v>234</v>
      </c>
      <c r="Y30" s="172">
        <v>181.77460558691564</v>
      </c>
      <c r="Z30" s="195">
        <v>52.225394413084359</v>
      </c>
      <c r="AA30" s="214">
        <v>-0.59963266919305269</v>
      </c>
    </row>
    <row r="31" spans="1:27">
      <c r="A31">
        <v>27</v>
      </c>
      <c r="B31" s="241">
        <v>42217</v>
      </c>
      <c r="C31" s="5">
        <v>173</v>
      </c>
      <c r="D31" s="237">
        <f t="shared" si="0"/>
        <v>189.53442972933854</v>
      </c>
      <c r="E31" s="237">
        <f t="shared" si="2"/>
        <v>-16.534429729338541</v>
      </c>
      <c r="F31">
        <f t="shared" si="1"/>
        <v>16.534429729338541</v>
      </c>
      <c r="G31">
        <f>SUM($F$5:F31)/COUNT($F$5:F31)</f>
        <v>18.383864578140159</v>
      </c>
      <c r="H31">
        <f>SUM($E$5:E31)/G31</f>
        <v>4.7965611872404139</v>
      </c>
      <c r="J31" s="325" t="s">
        <v>20</v>
      </c>
      <c r="K31" s="249" t="s">
        <v>107</v>
      </c>
      <c r="L31" s="627">
        <f>F58/COUNT(F5:F52)</f>
        <v>20.673274895064406</v>
      </c>
      <c r="W31" s="171">
        <v>17</v>
      </c>
      <c r="X31" s="167">
        <v>207</v>
      </c>
      <c r="Y31" s="172">
        <v>182.48004414531772</v>
      </c>
      <c r="Z31" s="195">
        <v>24.51995585468228</v>
      </c>
      <c r="AA31" s="214">
        <v>0.88328128501349401</v>
      </c>
    </row>
    <row r="32" spans="1:27">
      <c r="A32">
        <v>28</v>
      </c>
      <c r="B32" s="241">
        <v>42218</v>
      </c>
      <c r="C32" s="5">
        <v>160</v>
      </c>
      <c r="D32" s="237">
        <f t="shared" si="0"/>
        <v>190.23986828774065</v>
      </c>
      <c r="E32" s="237">
        <f t="shared" si="2"/>
        <v>-30.239868287740649</v>
      </c>
      <c r="F32">
        <f t="shared" si="1"/>
        <v>30.239868287740649</v>
      </c>
      <c r="G32">
        <f>SUM($F$5:F32)/COUNT($F$5:F32)</f>
        <v>18.807293282054463</v>
      </c>
      <c r="H32">
        <f>SUM($E$5:E32)/G32</f>
        <v>3.0806912058172111</v>
      </c>
      <c r="J32" s="626"/>
      <c r="K32" s="249" t="s">
        <v>111</v>
      </c>
      <c r="L32" s="628">
        <f>F58/C58</f>
        <v>0.110098435034183</v>
      </c>
      <c r="W32" s="171">
        <v>18</v>
      </c>
      <c r="X32" s="167">
        <v>221</v>
      </c>
      <c r="Y32" s="172">
        <v>183.1854827037198</v>
      </c>
      <c r="Z32" s="195">
        <v>37.814517296280201</v>
      </c>
      <c r="AA32" s="214">
        <v>2.9376754921612274</v>
      </c>
    </row>
    <row r="33" spans="1:27">
      <c r="A33">
        <v>29</v>
      </c>
      <c r="B33" s="241">
        <v>42219</v>
      </c>
      <c r="C33" s="5">
        <v>218</v>
      </c>
      <c r="D33" s="237">
        <f t="shared" si="0"/>
        <v>190.94530684614273</v>
      </c>
      <c r="E33" s="237">
        <f t="shared" si="2"/>
        <v>27.054693153857272</v>
      </c>
      <c r="F33">
        <f t="shared" si="1"/>
        <v>27.054693153857272</v>
      </c>
      <c r="G33">
        <f>SUM($F$5:F33)/COUNT($F$5:F33)</f>
        <v>19.091686381082141</v>
      </c>
      <c r="H33">
        <f>SUM($E$5:E33)/G33</f>
        <v>4.4518935874270316</v>
      </c>
      <c r="J33" s="626"/>
      <c r="W33" s="171">
        <v>19</v>
      </c>
      <c r="X33" s="167">
        <v>220</v>
      </c>
      <c r="Y33" s="172">
        <v>183.89092126212188</v>
      </c>
      <c r="Z33" s="195">
        <v>36.109078737878122</v>
      </c>
      <c r="AA33" s="214">
        <v>4.7028878030831969</v>
      </c>
    </row>
    <row r="34" spans="1:27">
      <c r="A34">
        <v>30</v>
      </c>
      <c r="B34" s="241">
        <v>42220</v>
      </c>
      <c r="C34" s="5">
        <v>143</v>
      </c>
      <c r="D34" s="237">
        <f t="shared" si="0"/>
        <v>191.65074540454481</v>
      </c>
      <c r="E34" s="237">
        <f t="shared" si="2"/>
        <v>-48.650745404544807</v>
      </c>
      <c r="F34">
        <f t="shared" si="1"/>
        <v>48.650745404544807</v>
      </c>
      <c r="G34">
        <f>SUM($F$5:F34)/COUNT($F$5:F34)</f>
        <v>20.076988348530897</v>
      </c>
      <c r="H34">
        <f>SUM($E$5:E34)/G34</f>
        <v>1.8102023140946901</v>
      </c>
      <c r="J34" s="325" t="s">
        <v>21</v>
      </c>
      <c r="N34" s="8"/>
      <c r="W34" s="171">
        <v>20</v>
      </c>
      <c r="X34" s="167">
        <v>203</v>
      </c>
      <c r="Y34" s="172">
        <v>184.59635982052396</v>
      </c>
      <c r="Z34" s="195">
        <v>18.403640179476042</v>
      </c>
      <c r="AA34" s="214">
        <v>5.68552182214213</v>
      </c>
    </row>
    <row r="35" spans="1:27">
      <c r="A35">
        <v>31</v>
      </c>
      <c r="B35" s="241">
        <v>42221</v>
      </c>
      <c r="C35" s="5">
        <v>125</v>
      </c>
      <c r="D35" s="237">
        <f t="shared" si="0"/>
        <v>192.35618396294689</v>
      </c>
      <c r="E35" s="237">
        <f t="shared" si="2"/>
        <v>-67.356183962946886</v>
      </c>
      <c r="F35">
        <f t="shared" si="1"/>
        <v>67.356183962946886</v>
      </c>
      <c r="G35">
        <f>SUM($F$5:F35)/COUNT($F$5:F35)</f>
        <v>21.602123690931414</v>
      </c>
      <c r="H35">
        <f>SUM($E$5:E35)/G35</f>
        <v>-1.4356353865061566</v>
      </c>
      <c r="N35" s="244"/>
      <c r="W35" s="171">
        <v>21</v>
      </c>
      <c r="X35" s="167">
        <v>144</v>
      </c>
      <c r="Y35" s="172">
        <v>185.30179837892607</v>
      </c>
      <c r="Z35" s="195">
        <v>-41.301798378926065</v>
      </c>
      <c r="AA35" s="214">
        <v>3.3054074137577261</v>
      </c>
    </row>
    <row r="36" spans="1:27">
      <c r="A36">
        <v>32</v>
      </c>
      <c r="B36" s="241">
        <v>42248</v>
      </c>
      <c r="C36" s="5">
        <v>163</v>
      </c>
      <c r="D36" s="237">
        <f t="shared" si="0"/>
        <v>193.06162252134897</v>
      </c>
      <c r="E36" s="237">
        <f t="shared" si="2"/>
        <v>-30.061622521348966</v>
      </c>
      <c r="F36">
        <f t="shared" si="1"/>
        <v>30.061622521348966</v>
      </c>
      <c r="G36">
        <f>SUM($F$5:F36)/COUNT($F$5:F36)</f>
        <v>21.866483029381961</v>
      </c>
      <c r="H36">
        <f>SUM($E$5:E36)/G36</f>
        <v>-2.793059845685633</v>
      </c>
      <c r="N36" s="244"/>
      <c r="W36" s="171">
        <v>22</v>
      </c>
      <c r="X36" s="167">
        <v>184</v>
      </c>
      <c r="Y36" s="172">
        <v>186.00723693732814</v>
      </c>
      <c r="Z36" s="195">
        <v>-2.0072369373281447</v>
      </c>
      <c r="AA36" s="214">
        <v>3.3411398679251092</v>
      </c>
    </row>
    <row r="37" spans="1:27">
      <c r="A37">
        <v>33</v>
      </c>
      <c r="B37" s="241">
        <v>42249</v>
      </c>
      <c r="C37" s="5">
        <v>163</v>
      </c>
      <c r="D37" s="237">
        <f t="shared" ref="D37:D56" si="4">$B$61+$B$62*A37</f>
        <v>193.76706107975104</v>
      </c>
      <c r="E37" s="237">
        <f t="shared" si="2"/>
        <v>-30.767061079751045</v>
      </c>
      <c r="F37">
        <f t="shared" si="1"/>
        <v>30.767061079751045</v>
      </c>
      <c r="G37">
        <f>SUM($F$5:F37)/COUNT($F$5:F37)</f>
        <v>22.136197515756784</v>
      </c>
      <c r="H37">
        <f>SUM($E$5:E37)/G37</f>
        <v>-4.1489265141454581</v>
      </c>
      <c r="N37" s="244"/>
      <c r="W37" s="171">
        <v>23</v>
      </c>
      <c r="X37" s="167">
        <v>191</v>
      </c>
      <c r="Y37" s="172">
        <v>186.71267549573022</v>
      </c>
      <c r="Z37" s="195">
        <v>4.2873245042697761</v>
      </c>
      <c r="AA37" s="214">
        <v>3.690087675086033</v>
      </c>
    </row>
    <row r="38" spans="1:27">
      <c r="A38">
        <v>34</v>
      </c>
      <c r="B38" s="241">
        <v>42250</v>
      </c>
      <c r="C38" s="5">
        <v>233</v>
      </c>
      <c r="D38" s="237">
        <f t="shared" si="4"/>
        <v>194.47249963815315</v>
      </c>
      <c r="E38" s="237">
        <f t="shared" si="2"/>
        <v>38.527500361846847</v>
      </c>
      <c r="F38">
        <f t="shared" si="1"/>
        <v>38.527500361846847</v>
      </c>
      <c r="G38">
        <f>SUM($F$5:F38)/COUNT($F$5:F38)</f>
        <v>22.618294658288843</v>
      </c>
      <c r="H38">
        <f>SUM($E$5:E38)/G38</f>
        <v>-2.3571165394690583</v>
      </c>
      <c r="J38" s="8"/>
      <c r="K38" s="8"/>
      <c r="L38" s="8"/>
      <c r="M38" s="8"/>
      <c r="N38" s="244"/>
      <c r="W38" s="171">
        <v>24</v>
      </c>
      <c r="X38" s="167">
        <v>178</v>
      </c>
      <c r="Y38" s="172">
        <v>187.4181140541323</v>
      </c>
      <c r="Z38" s="195">
        <v>-9.4181140541323032</v>
      </c>
      <c r="AA38" s="214">
        <v>3.2458466007541307</v>
      </c>
    </row>
    <row r="39" spans="1:27">
      <c r="A39">
        <v>35</v>
      </c>
      <c r="B39" s="241">
        <v>42251</v>
      </c>
      <c r="C39" s="5">
        <v>222</v>
      </c>
      <c r="D39" s="237">
        <f t="shared" si="4"/>
        <v>195.17793819655523</v>
      </c>
      <c r="E39" s="237">
        <f t="shared" si="2"/>
        <v>26.822061803444768</v>
      </c>
      <c r="F39">
        <f t="shared" si="1"/>
        <v>26.822061803444768</v>
      </c>
      <c r="G39">
        <f>SUM($F$5:F39)/COUNT($F$5:F39)</f>
        <v>22.738402291007581</v>
      </c>
      <c r="H39">
        <f>SUM($E$5:E39)/G39</f>
        <v>-1.1650728266281638</v>
      </c>
      <c r="J39" s="242"/>
      <c r="K39" s="243"/>
      <c r="L39" s="244"/>
      <c r="M39" s="244"/>
      <c r="N39" s="242"/>
      <c r="W39" s="171">
        <v>25</v>
      </c>
      <c r="X39" s="167">
        <v>204</v>
      </c>
      <c r="Y39" s="172">
        <v>188.12355261253438</v>
      </c>
      <c r="Z39" s="195">
        <v>15.876447387465618</v>
      </c>
      <c r="AA39" s="214">
        <v>4.1444054243042014</v>
      </c>
    </row>
    <row r="40" spans="1:27">
      <c r="A40">
        <v>36</v>
      </c>
      <c r="B40" s="241">
        <v>42278</v>
      </c>
      <c r="C40" s="5">
        <v>202</v>
      </c>
      <c r="D40" s="237">
        <f t="shared" si="4"/>
        <v>195.88337675495731</v>
      </c>
      <c r="E40" s="237">
        <f t="shared" si="2"/>
        <v>6.1166232450426889</v>
      </c>
      <c r="F40">
        <f t="shared" si="1"/>
        <v>6.1166232450426889</v>
      </c>
      <c r="G40">
        <f>SUM($F$5:F40)/COUNT($F$5:F40)</f>
        <v>22.276686206397446</v>
      </c>
      <c r="H40">
        <f>SUM($E$5:E40)/G40</f>
        <v>-0.91464552655495202</v>
      </c>
      <c r="J40" s="242"/>
      <c r="K40" s="244"/>
      <c r="L40" s="244"/>
      <c r="M40" s="244"/>
      <c r="N40" s="246"/>
      <c r="W40" s="171">
        <v>26</v>
      </c>
      <c r="X40" s="167">
        <v>219</v>
      </c>
      <c r="Y40" s="172">
        <v>188.82899117093649</v>
      </c>
      <c r="Z40" s="195">
        <v>30.17100882906351</v>
      </c>
      <c r="AA40" s="214">
        <v>5.6740059512481844</v>
      </c>
    </row>
    <row r="41" spans="1:27">
      <c r="A41">
        <v>37</v>
      </c>
      <c r="B41" s="241">
        <v>42279</v>
      </c>
      <c r="C41" s="5">
        <v>184</v>
      </c>
      <c r="D41" s="237">
        <f t="shared" si="4"/>
        <v>196.58881531335939</v>
      </c>
      <c r="E41" s="237">
        <f t="shared" si="2"/>
        <v>-12.58881531335939</v>
      </c>
      <c r="F41">
        <f t="shared" si="1"/>
        <v>12.58881531335939</v>
      </c>
      <c r="G41">
        <f>SUM($F$5:F41)/COUNT($F$5:F41)</f>
        <v>22.014851857936957</v>
      </c>
      <c r="H41">
        <f>SUM($E$5:E41)/G41</f>
        <v>-1.4973567349545787</v>
      </c>
      <c r="J41" s="242"/>
      <c r="K41" s="245"/>
      <c r="L41" s="244"/>
      <c r="M41" s="244"/>
      <c r="N41" s="247"/>
      <c r="W41" s="171">
        <v>27</v>
      </c>
      <c r="X41" s="167">
        <v>173</v>
      </c>
      <c r="Y41" s="172">
        <v>189.53442972933857</v>
      </c>
      <c r="Z41" s="195">
        <v>-16.534429729338569</v>
      </c>
      <c r="AA41" s="214">
        <v>4.7965611872403846</v>
      </c>
    </row>
    <row r="42" spans="1:27">
      <c r="A42">
        <v>38</v>
      </c>
      <c r="B42" s="241">
        <v>42280</v>
      </c>
      <c r="C42" s="5">
        <v>189</v>
      </c>
      <c r="D42" s="237">
        <f t="shared" si="4"/>
        <v>197.29425387176147</v>
      </c>
      <c r="E42" s="237">
        <f t="shared" si="2"/>
        <v>-8.2942538717614696</v>
      </c>
      <c r="F42">
        <f t="shared" si="1"/>
        <v>8.2942538717614696</v>
      </c>
      <c r="G42">
        <f>SUM($F$5:F42)/COUNT($F$5:F42)</f>
        <v>21.653783489879711</v>
      </c>
      <c r="H42">
        <f>SUM($E$5:E42)/G42</f>
        <v>-1.9053640482529774</v>
      </c>
      <c r="J42" s="242"/>
      <c r="K42" s="244"/>
      <c r="L42" s="244"/>
      <c r="M42" s="244"/>
      <c r="N42" s="244"/>
      <c r="W42" s="171">
        <v>28</v>
      </c>
      <c r="X42" s="167">
        <v>160</v>
      </c>
      <c r="Y42" s="172">
        <v>190.23986828774065</v>
      </c>
      <c r="Z42" s="195">
        <v>-30.239868287740649</v>
      </c>
      <c r="AA42" s="214">
        <v>3.0806912058171823</v>
      </c>
    </row>
    <row r="43" spans="1:27">
      <c r="A43">
        <v>39</v>
      </c>
      <c r="B43" s="241">
        <v>42281</v>
      </c>
      <c r="C43" s="5">
        <v>208</v>
      </c>
      <c r="D43" s="237">
        <f t="shared" si="4"/>
        <v>197.99969243016358</v>
      </c>
      <c r="E43" s="237">
        <f t="shared" si="2"/>
        <v>10.000307569836423</v>
      </c>
      <c r="F43">
        <f t="shared" si="1"/>
        <v>10.000307569836423</v>
      </c>
      <c r="G43">
        <f>SUM($F$5:F43)/COUNT($F$5:F43)</f>
        <v>21.354976415006806</v>
      </c>
      <c r="H43">
        <f>SUM($E$5:E43)/G43</f>
        <v>-1.4637353089497338</v>
      </c>
      <c r="J43" s="242"/>
      <c r="K43" s="244"/>
      <c r="L43" s="242"/>
      <c r="M43" s="242"/>
      <c r="N43" s="248"/>
      <c r="W43" s="171">
        <v>29</v>
      </c>
      <c r="X43" s="167">
        <v>218</v>
      </c>
      <c r="Y43" s="172">
        <v>190.94530684614273</v>
      </c>
      <c r="Z43" s="195">
        <v>27.054693153857272</v>
      </c>
      <c r="AA43" s="214">
        <v>4.4518935874270031</v>
      </c>
    </row>
    <row r="44" spans="1:27">
      <c r="A44">
        <v>40</v>
      </c>
      <c r="B44" s="241">
        <v>42309</v>
      </c>
      <c r="C44" s="5">
        <v>180</v>
      </c>
      <c r="D44" s="237">
        <f t="shared" si="4"/>
        <v>198.70513098856566</v>
      </c>
      <c r="E44" s="237">
        <f t="shared" si="2"/>
        <v>-18.705130988565656</v>
      </c>
      <c r="F44">
        <f t="shared" si="1"/>
        <v>18.705130988565656</v>
      </c>
      <c r="G44">
        <f>SUM($F$5:F44)/COUNT($F$5:F44)</f>
        <v>21.288730279345778</v>
      </c>
      <c r="H44">
        <f>SUM($E$5:E44)/G44</f>
        <v>-2.3469301989078204</v>
      </c>
      <c r="J44" s="244"/>
      <c r="K44" s="242"/>
      <c r="L44" s="246"/>
      <c r="M44" s="246"/>
      <c r="N44" s="158"/>
      <c r="W44" s="171">
        <v>30</v>
      </c>
      <c r="X44" s="167">
        <v>143</v>
      </c>
      <c r="Y44" s="172">
        <v>191.65074540454481</v>
      </c>
      <c r="Z44" s="195">
        <v>-48.650745404544807</v>
      </c>
      <c r="AA44" s="214">
        <v>1.8102023140946633</v>
      </c>
    </row>
    <row r="45" spans="1:27">
      <c r="A45">
        <v>41</v>
      </c>
      <c r="B45" s="241">
        <v>42310</v>
      </c>
      <c r="C45" s="5">
        <v>246</v>
      </c>
      <c r="D45" s="237">
        <f t="shared" si="4"/>
        <v>199.41056954696774</v>
      </c>
      <c r="E45" s="237">
        <f t="shared" si="2"/>
        <v>46.589430453032264</v>
      </c>
      <c r="F45">
        <f t="shared" si="1"/>
        <v>46.589430453032264</v>
      </c>
      <c r="G45">
        <f>SUM($F$5:F45)/COUNT($F$5:F45)</f>
        <v>21.905820527484472</v>
      </c>
      <c r="H45">
        <f>SUM($E$5:E45)/G45</f>
        <v>-0.15401082701899949</v>
      </c>
      <c r="J45" s="244"/>
      <c r="K45" s="242"/>
      <c r="L45" s="247"/>
      <c r="M45" s="247"/>
      <c r="N45" s="158"/>
      <c r="W45" s="171">
        <v>31</v>
      </c>
      <c r="X45" s="167">
        <v>125</v>
      </c>
      <c r="Y45" s="172">
        <v>192.35618396294689</v>
      </c>
      <c r="Z45" s="195">
        <v>-67.356183962946886</v>
      </c>
      <c r="AA45" s="214">
        <v>-1.4356353865061817</v>
      </c>
    </row>
    <row r="46" spans="1:27">
      <c r="A46">
        <v>42</v>
      </c>
      <c r="B46" s="241">
        <v>42311</v>
      </c>
      <c r="C46" s="5">
        <v>221</v>
      </c>
      <c r="D46" s="237">
        <f t="shared" si="4"/>
        <v>200.11600810536981</v>
      </c>
      <c r="E46" s="237">
        <f t="shared" si="2"/>
        <v>20.883991894630185</v>
      </c>
      <c r="F46">
        <f t="shared" si="1"/>
        <v>20.883991894630185</v>
      </c>
      <c r="G46">
        <f>SUM($F$5:F46)/COUNT($F$5:F46)</f>
        <v>21.881491274321274</v>
      </c>
      <c r="H46">
        <f>SUM($E$5:E46)/G46</f>
        <v>0.80023148967051672</v>
      </c>
      <c r="J46" s="244"/>
      <c r="K46" s="244"/>
      <c r="L46" s="244"/>
      <c r="M46" s="244"/>
      <c r="W46" s="171">
        <v>32</v>
      </c>
      <c r="X46" s="167">
        <v>163</v>
      </c>
      <c r="Y46" s="172">
        <v>193.06162252134899</v>
      </c>
      <c r="Z46" s="195">
        <v>-30.061622521348994</v>
      </c>
      <c r="AA46" s="214">
        <v>-2.7930598456856583</v>
      </c>
    </row>
    <row r="47" spans="1:27">
      <c r="A47">
        <v>43</v>
      </c>
      <c r="B47" s="241">
        <v>42312</v>
      </c>
      <c r="C47" s="5">
        <v>200</v>
      </c>
      <c r="D47" s="237">
        <f t="shared" si="4"/>
        <v>200.82144666377189</v>
      </c>
      <c r="E47" s="237">
        <f t="shared" si="2"/>
        <v>-0.82144666377189424</v>
      </c>
      <c r="F47">
        <f t="shared" si="1"/>
        <v>0.82144666377189424</v>
      </c>
      <c r="G47">
        <f>SUM($F$5:F47)/COUNT($F$5:F47)</f>
        <v>21.391722795006171</v>
      </c>
      <c r="H47">
        <f>SUM($E$5:E47)/G47</f>
        <v>0.78015276538580525</v>
      </c>
      <c r="J47" s="244"/>
      <c r="K47" s="157"/>
      <c r="L47" s="248"/>
      <c r="M47" s="248"/>
      <c r="W47" s="171">
        <v>33</v>
      </c>
      <c r="X47" s="167">
        <v>163</v>
      </c>
      <c r="Y47" s="172">
        <v>193.76706107975107</v>
      </c>
      <c r="Z47" s="195">
        <v>-30.767061079751073</v>
      </c>
      <c r="AA47" s="214">
        <v>-4.1489265141454839</v>
      </c>
    </row>
    <row r="48" spans="1:27">
      <c r="A48">
        <v>44</v>
      </c>
      <c r="B48" s="241">
        <v>42313</v>
      </c>
      <c r="C48" s="5">
        <v>218</v>
      </c>
      <c r="D48" s="237">
        <f t="shared" si="4"/>
        <v>201.526885222174</v>
      </c>
      <c r="E48" s="237">
        <f t="shared" si="2"/>
        <v>16.473114777825998</v>
      </c>
      <c r="F48">
        <f t="shared" si="1"/>
        <v>16.473114777825998</v>
      </c>
      <c r="G48">
        <f>SUM($F$5:F48)/COUNT($F$5:F48)</f>
        <v>21.279936249161167</v>
      </c>
      <c r="H48">
        <f>SUM($E$5:E48)/G48</f>
        <v>1.5583658749928744</v>
      </c>
      <c r="J48" s="159"/>
      <c r="K48" s="158"/>
      <c r="L48" s="158"/>
      <c r="M48" s="158"/>
      <c r="W48" s="171">
        <v>34</v>
      </c>
      <c r="X48" s="167">
        <v>233</v>
      </c>
      <c r="Y48" s="172">
        <v>194.47249963815315</v>
      </c>
      <c r="Z48" s="195">
        <v>38.527500361846847</v>
      </c>
      <c r="AA48" s="214">
        <v>-2.3571165394690845</v>
      </c>
    </row>
    <row r="49" spans="1:27">
      <c r="A49">
        <v>45</v>
      </c>
      <c r="B49" s="241">
        <v>42339</v>
      </c>
      <c r="C49" s="5">
        <v>206</v>
      </c>
      <c r="D49" s="237">
        <f t="shared" si="4"/>
        <v>202.23232378057608</v>
      </c>
      <c r="E49" s="237">
        <f t="shared" si="2"/>
        <v>3.7676762194239188</v>
      </c>
      <c r="F49">
        <f t="shared" si="1"/>
        <v>3.7676762194239188</v>
      </c>
      <c r="G49">
        <f>SUM($F$5:F49)/COUNT($F$5:F49)</f>
        <v>20.890774915167007</v>
      </c>
      <c r="H49">
        <f>SUM($E$5:E49)/G49</f>
        <v>1.7677469046554668</v>
      </c>
      <c r="J49" s="159"/>
      <c r="K49" s="158"/>
      <c r="L49" s="158"/>
      <c r="M49" s="158"/>
      <c r="W49" s="171">
        <v>35</v>
      </c>
      <c r="X49" s="167">
        <v>222</v>
      </c>
      <c r="Y49" s="172">
        <v>195.17793819655523</v>
      </c>
      <c r="Z49" s="195">
        <v>26.822061803444768</v>
      </c>
      <c r="AA49" s="214">
        <v>-1.1650728266281898</v>
      </c>
    </row>
    <row r="50" spans="1:27">
      <c r="A50">
        <v>46</v>
      </c>
      <c r="B50" s="241">
        <v>42340</v>
      </c>
      <c r="C50" s="5">
        <v>187</v>
      </c>
      <c r="D50" s="237">
        <f t="shared" si="4"/>
        <v>202.93776233897816</v>
      </c>
      <c r="E50" s="237">
        <f t="shared" si="2"/>
        <v>-15.93776233897816</v>
      </c>
      <c r="F50">
        <f t="shared" si="1"/>
        <v>15.93776233897816</v>
      </c>
      <c r="G50">
        <f>SUM($F$5:F50)/COUNT($F$5:F50)</f>
        <v>20.783100728728119</v>
      </c>
      <c r="H50">
        <f>SUM($E$5:E50)/G50</f>
        <v>1.0100437190368678</v>
      </c>
      <c r="J50" s="325" t="s">
        <v>25</v>
      </c>
      <c r="K50" s="722" t="s">
        <v>175</v>
      </c>
      <c r="L50" s="722"/>
      <c r="M50" s="722"/>
      <c r="N50" s="722"/>
      <c r="O50" s="722"/>
      <c r="P50" s="722"/>
      <c r="Q50" s="722"/>
      <c r="R50" s="722"/>
      <c r="W50" s="171">
        <v>36</v>
      </c>
      <c r="X50" s="167">
        <v>202</v>
      </c>
      <c r="Y50" s="172">
        <v>195.88337675495731</v>
      </c>
      <c r="Z50" s="195">
        <v>6.1166232450426889</v>
      </c>
      <c r="AA50" s="214">
        <v>-0.91464552655497866</v>
      </c>
    </row>
    <row r="51" spans="1:27">
      <c r="A51">
        <v>47</v>
      </c>
      <c r="B51" s="241">
        <v>42341</v>
      </c>
      <c r="C51" s="5">
        <v>175</v>
      </c>
      <c r="D51" s="237">
        <f t="shared" si="4"/>
        <v>203.64320089738024</v>
      </c>
      <c r="E51" s="237">
        <f t="shared" si="2"/>
        <v>-28.64320089738024</v>
      </c>
      <c r="F51">
        <f t="shared" si="1"/>
        <v>28.64320089738024</v>
      </c>
      <c r="G51">
        <f>SUM($F$5:F51)/COUNT($F$5:F51)</f>
        <v>20.950336902529227</v>
      </c>
      <c r="H51">
        <f>SUM($E$5:E51)/G51</f>
        <v>-0.36521420060286203</v>
      </c>
      <c r="K51" s="722"/>
      <c r="L51" s="722"/>
      <c r="M51" s="722"/>
      <c r="N51" s="722"/>
      <c r="O51" s="722"/>
      <c r="P51" s="722"/>
      <c r="Q51" s="722"/>
      <c r="R51" s="722"/>
      <c r="W51" s="171">
        <v>37</v>
      </c>
      <c r="X51" s="167">
        <v>184</v>
      </c>
      <c r="Y51" s="172">
        <v>196.58881531335942</v>
      </c>
      <c r="Z51" s="195">
        <v>-12.588815313359419</v>
      </c>
      <c r="AA51" s="214">
        <v>-1.4973567349546066</v>
      </c>
    </row>
    <row r="52" spans="1:27">
      <c r="A52">
        <v>48</v>
      </c>
      <c r="B52" s="241">
        <v>42342</v>
      </c>
      <c r="C52" s="5">
        <v>212</v>
      </c>
      <c r="D52" s="237">
        <f t="shared" si="4"/>
        <v>204.34863945578235</v>
      </c>
      <c r="E52" s="237">
        <f t="shared" si="2"/>
        <v>7.6513605442176527</v>
      </c>
      <c r="F52">
        <f t="shared" si="1"/>
        <v>7.6513605442176527</v>
      </c>
      <c r="G52">
        <f>SUM($F$5:F52)/COUNT($F$5:F52)</f>
        <v>20.673274895064406</v>
      </c>
      <c r="H52">
        <f>SUM($E$5:E52)/G52</f>
        <v>-9.6236308481694108E-15</v>
      </c>
      <c r="K52" s="722"/>
      <c r="L52" s="722"/>
      <c r="M52" s="722"/>
      <c r="N52" s="722"/>
      <c r="O52" s="722"/>
      <c r="P52" s="722"/>
      <c r="Q52" s="722"/>
      <c r="R52" s="722"/>
      <c r="W52" s="171">
        <v>38</v>
      </c>
      <c r="X52" s="167">
        <v>189</v>
      </c>
      <c r="Y52" s="172">
        <v>197.2942538717615</v>
      </c>
      <c r="Z52" s="195">
        <v>-8.294253871761498</v>
      </c>
      <c r="AA52" s="214">
        <v>-1.9053640482530072</v>
      </c>
    </row>
    <row r="53" spans="1:27">
      <c r="A53">
        <v>49</v>
      </c>
      <c r="B53" s="241">
        <v>42005</v>
      </c>
      <c r="C53" s="5"/>
      <c r="D53" s="237">
        <f t="shared" si="4"/>
        <v>205.05407801418443</v>
      </c>
      <c r="E53" s="237"/>
      <c r="K53" s="722"/>
      <c r="L53" s="722"/>
      <c r="M53" s="722"/>
      <c r="N53" s="722"/>
      <c r="O53" s="722"/>
      <c r="P53" s="722"/>
      <c r="Q53" s="722"/>
      <c r="R53" s="722"/>
      <c r="W53" s="171">
        <v>39</v>
      </c>
      <c r="X53" s="167">
        <v>208</v>
      </c>
      <c r="Y53" s="172">
        <v>197.99969243016358</v>
      </c>
      <c r="Z53" s="195">
        <v>10.000307569836423</v>
      </c>
      <c r="AA53" s="214">
        <v>-1.4637353089497644</v>
      </c>
    </row>
    <row r="54" spans="1:27">
      <c r="A54">
        <v>50</v>
      </c>
      <c r="B54" s="241">
        <v>42006</v>
      </c>
      <c r="C54" s="5"/>
      <c r="D54" s="237">
        <f t="shared" si="4"/>
        <v>205.75951657258651</v>
      </c>
      <c r="E54" s="237"/>
      <c r="W54" s="171">
        <v>40</v>
      </c>
      <c r="X54" s="167">
        <v>180</v>
      </c>
      <c r="Y54" s="172">
        <v>198.70513098856566</v>
      </c>
      <c r="Z54" s="195">
        <v>-18.705130988565656</v>
      </c>
      <c r="AA54" s="214">
        <v>-2.346930198907851</v>
      </c>
    </row>
    <row r="55" spans="1:27">
      <c r="A55">
        <v>51</v>
      </c>
      <c r="B55" s="241">
        <v>42007</v>
      </c>
      <c r="C55" s="5"/>
      <c r="D55" s="237">
        <f t="shared" si="4"/>
        <v>206.46495513098859</v>
      </c>
      <c r="E55" s="237"/>
      <c r="W55" s="171">
        <v>41</v>
      </c>
      <c r="X55" s="167">
        <v>246</v>
      </c>
      <c r="Y55" s="172">
        <v>199.41056954696774</v>
      </c>
      <c r="Z55" s="195">
        <v>46.589430453032264</v>
      </c>
      <c r="AA55" s="214">
        <v>-0.15401082701902932</v>
      </c>
    </row>
    <row r="56" spans="1:27">
      <c r="A56">
        <v>52</v>
      </c>
      <c r="B56" s="241">
        <v>42008</v>
      </c>
      <c r="C56" s="5"/>
      <c r="D56" s="237">
        <f t="shared" si="4"/>
        <v>207.17039368939066</v>
      </c>
      <c r="E56" s="237"/>
      <c r="W56" s="171">
        <v>42</v>
      </c>
      <c r="X56" s="167">
        <v>221</v>
      </c>
      <c r="Y56" s="172">
        <v>200.11600810536981</v>
      </c>
      <c r="Z56" s="195">
        <v>20.883991894630185</v>
      </c>
      <c r="AA56" s="214">
        <v>0.80023148967048674</v>
      </c>
    </row>
    <row r="57" spans="1:27">
      <c r="W57" s="171">
        <v>43</v>
      </c>
      <c r="X57" s="167">
        <v>200</v>
      </c>
      <c r="Y57" s="172">
        <v>200.82144666377189</v>
      </c>
      <c r="Z57" s="195">
        <v>-0.82144666377189424</v>
      </c>
      <c r="AA57" s="214">
        <v>0.7801527653857746</v>
      </c>
    </row>
    <row r="58" spans="1:27">
      <c r="A58" s="6" t="s">
        <v>158</v>
      </c>
      <c r="C58">
        <f>SUM(C5:C56)</f>
        <v>9013</v>
      </c>
      <c r="F58">
        <f>SUM(F5:F56)</f>
        <v>992.31719496309142</v>
      </c>
      <c r="W58" s="171">
        <v>44</v>
      </c>
      <c r="X58" s="167">
        <v>218</v>
      </c>
      <c r="Y58" s="172">
        <v>201.526885222174</v>
      </c>
      <c r="Z58" s="195">
        <v>16.473114777825998</v>
      </c>
      <c r="AA58" s="214">
        <v>1.5583658749928435</v>
      </c>
    </row>
    <row r="59" spans="1:27">
      <c r="W59" s="171">
        <v>45</v>
      </c>
      <c r="X59" s="167">
        <v>206</v>
      </c>
      <c r="Y59" s="172">
        <v>202.23232378057608</v>
      </c>
      <c r="Z59" s="195">
        <v>3.7676762194239188</v>
      </c>
      <c r="AA59" s="214">
        <v>1.7677469046554353</v>
      </c>
    </row>
    <row r="60" spans="1:27">
      <c r="A60" t="s">
        <v>170</v>
      </c>
      <c r="W60" s="171">
        <v>46</v>
      </c>
      <c r="X60" s="167">
        <v>187</v>
      </c>
      <c r="Y60" s="172">
        <v>202.93776233897816</v>
      </c>
      <c r="Z60" s="195">
        <v>-15.93776233897816</v>
      </c>
      <c r="AA60" s="214">
        <v>1.0100437190368363</v>
      </c>
    </row>
    <row r="61" spans="1:27">
      <c r="A61" t="s">
        <v>63</v>
      </c>
      <c r="B61">
        <f>B80</f>
        <v>170.48758865248226</v>
      </c>
      <c r="W61" s="171">
        <v>47</v>
      </c>
      <c r="X61" s="167">
        <v>175</v>
      </c>
      <c r="Y61" s="172">
        <v>203.64320089738024</v>
      </c>
      <c r="Z61" s="195">
        <v>-28.64320089738024</v>
      </c>
      <c r="AA61" s="214">
        <v>-0.36521420060289317</v>
      </c>
    </row>
    <row r="62" spans="1:27">
      <c r="A62" t="s">
        <v>151</v>
      </c>
      <c r="B62">
        <f>B81</f>
        <v>0.7054385584020848</v>
      </c>
      <c r="W62" s="171">
        <v>48</v>
      </c>
      <c r="X62" s="167">
        <v>212</v>
      </c>
      <c r="Y62" s="172">
        <v>204.34863945578235</v>
      </c>
      <c r="Z62" s="195">
        <v>7.6513605442176527</v>
      </c>
      <c r="AA62" s="214">
        <v>-4.1244132206440333E-14</v>
      </c>
    </row>
    <row r="63" spans="1:27">
      <c r="W63" s="171">
        <v>49</v>
      </c>
      <c r="X63" s="167"/>
      <c r="Y63" s="172">
        <v>205.05407801418443</v>
      </c>
      <c r="Z63" s="195" t="s">
        <v>124</v>
      </c>
      <c r="AA63" s="214"/>
    </row>
    <row r="64" spans="1:27">
      <c r="A64" t="s">
        <v>40</v>
      </c>
    </row>
    <row r="65" spans="1:9" ht="16" thickBot="1"/>
    <row r="66" spans="1:9">
      <c r="A66" s="105" t="s">
        <v>41</v>
      </c>
      <c r="B66" s="105"/>
    </row>
    <row r="67" spans="1:9">
      <c r="A67" s="87" t="s">
        <v>42</v>
      </c>
      <c r="B67" s="87">
        <v>0.35908826558370932</v>
      </c>
    </row>
    <row r="68" spans="1:9">
      <c r="A68" s="87" t="s">
        <v>43</v>
      </c>
      <c r="B68" s="87">
        <v>0.12894438247991655</v>
      </c>
    </row>
    <row r="69" spans="1:9">
      <c r="A69" s="87" t="s">
        <v>44</v>
      </c>
      <c r="B69" s="87">
        <v>0.11000839079469735</v>
      </c>
    </row>
    <row r="70" spans="1:9">
      <c r="A70" s="87" t="s">
        <v>45</v>
      </c>
      <c r="B70" s="87">
        <v>25.946511324047574</v>
      </c>
    </row>
    <row r="71" spans="1:9" ht="16" thickBot="1">
      <c r="A71" s="88" t="s">
        <v>46</v>
      </c>
      <c r="B71" s="88">
        <v>48</v>
      </c>
    </row>
    <row r="73" spans="1:9" ht="16" thickBot="1">
      <c r="A73" t="s">
        <v>47</v>
      </c>
    </row>
    <row r="74" spans="1:9">
      <c r="A74" s="104"/>
      <c r="B74" s="104" t="s">
        <v>48</v>
      </c>
      <c r="C74" s="104" t="s">
        <v>49</v>
      </c>
      <c r="D74" s="104" t="s">
        <v>50</v>
      </c>
      <c r="E74" s="104"/>
      <c r="F74" s="104" t="s">
        <v>51</v>
      </c>
      <c r="G74" s="104" t="s">
        <v>52</v>
      </c>
      <c r="H74" s="238"/>
      <c r="I74" s="238"/>
    </row>
    <row r="75" spans="1:9">
      <c r="A75" s="87" t="s">
        <v>53</v>
      </c>
      <c r="B75" s="87">
        <v>1</v>
      </c>
      <c r="C75" s="87">
        <v>4584.2924717759306</v>
      </c>
      <c r="D75" s="87">
        <v>4584.2924717759306</v>
      </c>
      <c r="E75" s="87"/>
      <c r="F75" s="87">
        <v>6.809486644450006</v>
      </c>
      <c r="G75" s="87">
        <v>1.2194128089532541E-2</v>
      </c>
      <c r="H75" s="87"/>
      <c r="I75" s="87"/>
    </row>
    <row r="76" spans="1:9">
      <c r="A76" s="87" t="s">
        <v>54</v>
      </c>
      <c r="B76" s="87">
        <v>46</v>
      </c>
      <c r="C76" s="87">
        <v>30968.186694890734</v>
      </c>
      <c r="D76" s="87">
        <v>673.22144988892899</v>
      </c>
      <c r="E76" s="87"/>
      <c r="F76" s="87"/>
      <c r="G76" s="87"/>
      <c r="H76" s="87"/>
      <c r="I76" s="87"/>
    </row>
    <row r="77" spans="1:9" ht="16" thickBot="1">
      <c r="A77" s="88" t="s">
        <v>55</v>
      </c>
      <c r="B77" s="88">
        <v>47</v>
      </c>
      <c r="C77" s="88">
        <v>35552.479166666664</v>
      </c>
      <c r="D77" s="88"/>
      <c r="E77" s="88"/>
      <c r="F77" s="88"/>
      <c r="G77" s="88"/>
      <c r="H77" s="87"/>
      <c r="I77" s="87"/>
    </row>
    <row r="78" spans="1:9" ht="16" thickBot="1"/>
    <row r="79" spans="1:9">
      <c r="A79" s="104"/>
      <c r="B79" s="104" t="s">
        <v>56</v>
      </c>
      <c r="C79" s="104" t="s">
        <v>45</v>
      </c>
      <c r="D79" s="104" t="s">
        <v>57</v>
      </c>
      <c r="E79" s="104"/>
      <c r="F79" s="104" t="s">
        <v>58</v>
      </c>
      <c r="G79" s="104" t="s">
        <v>59</v>
      </c>
      <c r="H79" s="104"/>
      <c r="I79" s="104"/>
    </row>
    <row r="80" spans="1:9">
      <c r="A80" s="87" t="s">
        <v>63</v>
      </c>
      <c r="B80" s="87">
        <v>170.48758865248226</v>
      </c>
      <c r="C80" s="87">
        <v>7.6086970021309126</v>
      </c>
      <c r="D80" s="87">
        <v>22.406936247393613</v>
      </c>
      <c r="E80" s="87"/>
      <c r="F80" s="87">
        <v>2.1706942090019471E-26</v>
      </c>
      <c r="G80" s="87">
        <v>155.17207594338149</v>
      </c>
      <c r="H80" s="87"/>
      <c r="I80" s="87"/>
    </row>
    <row r="81" spans="1:9" ht="16" thickBot="1">
      <c r="A81" s="88" t="s">
        <v>64</v>
      </c>
      <c r="B81" s="88">
        <v>0.7054385584020848</v>
      </c>
      <c r="C81" s="88">
        <v>0.27033483240587319</v>
      </c>
      <c r="D81" s="88">
        <v>2.6094993091491774</v>
      </c>
      <c r="E81" s="88"/>
      <c r="F81" s="88">
        <v>1.2194128089532384E-2</v>
      </c>
      <c r="G81" s="88">
        <v>0.16128276401768094</v>
      </c>
      <c r="H81" s="88"/>
      <c r="I81" s="88"/>
    </row>
    <row r="98" spans="9:13">
      <c r="I98" s="61"/>
      <c r="J98" s="61"/>
      <c r="K98" s="61"/>
      <c r="L98" s="61"/>
      <c r="M98" s="61"/>
    </row>
    <row r="99" spans="9:13">
      <c r="I99" s="61"/>
      <c r="J99" s="238"/>
      <c r="K99" s="238"/>
      <c r="L99" s="238"/>
      <c r="M99" s="61"/>
    </row>
    <row r="100" spans="9:13">
      <c r="I100" s="61"/>
      <c r="J100" s="87"/>
      <c r="K100" s="87"/>
      <c r="L100" s="87"/>
      <c r="M100" s="61"/>
    </row>
    <row r="101" spans="9:13">
      <c r="I101" s="61"/>
      <c r="J101" s="87"/>
      <c r="K101" s="87"/>
      <c r="L101" s="87"/>
      <c r="M101" s="61"/>
    </row>
  </sheetData>
  <mergeCells count="6">
    <mergeCell ref="K50:R53"/>
    <mergeCell ref="W11:Y11"/>
    <mergeCell ref="W12:Y12"/>
    <mergeCell ref="W4:Z4"/>
    <mergeCell ref="W5:Y5"/>
    <mergeCell ref="W6:Y6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88"/>
  <sheetViews>
    <sheetView tabSelected="1" workbookViewId="0"/>
  </sheetViews>
  <sheetFormatPr baseColWidth="10" defaultColWidth="8.83203125" defaultRowHeight="15"/>
  <cols>
    <col min="1" max="1" width="13.83203125" customWidth="1"/>
    <col min="2" max="2" width="12" bestFit="1" customWidth="1"/>
    <col min="4" max="4" width="12.5" customWidth="1"/>
    <col min="5" max="5" width="12" customWidth="1"/>
    <col min="7" max="7" width="14.1640625" customWidth="1"/>
    <col min="8" max="8" width="12.6640625" customWidth="1"/>
    <col min="9" max="9" width="9.5" bestFit="1" customWidth="1"/>
    <col min="10" max="10" width="9.5" customWidth="1"/>
    <col min="11" max="11" width="12.5" customWidth="1"/>
    <col min="15" max="15" width="15.83203125" customWidth="1"/>
    <col min="19" max="19" width="16.33203125" customWidth="1"/>
    <col min="258" max="258" width="13.83203125" customWidth="1"/>
    <col min="261" max="261" width="10.5" customWidth="1"/>
    <col min="265" max="265" width="12.6640625" customWidth="1"/>
    <col min="267" max="267" width="12.5" customWidth="1"/>
    <col min="514" max="514" width="13.83203125" customWidth="1"/>
    <col min="517" max="517" width="10.5" customWidth="1"/>
    <col min="521" max="521" width="12.6640625" customWidth="1"/>
    <col min="523" max="523" width="12.5" customWidth="1"/>
    <col min="770" max="770" width="13.83203125" customWidth="1"/>
    <col min="773" max="773" width="10.5" customWidth="1"/>
    <col min="777" max="777" width="12.6640625" customWidth="1"/>
    <col min="779" max="779" width="12.5" customWidth="1"/>
    <col min="1026" max="1026" width="13.83203125" customWidth="1"/>
    <col min="1029" max="1029" width="10.5" customWidth="1"/>
    <col min="1033" max="1033" width="12.6640625" customWidth="1"/>
    <col min="1035" max="1035" width="12.5" customWidth="1"/>
    <col min="1282" max="1282" width="13.83203125" customWidth="1"/>
    <col min="1285" max="1285" width="10.5" customWidth="1"/>
    <col min="1289" max="1289" width="12.6640625" customWidth="1"/>
    <col min="1291" max="1291" width="12.5" customWidth="1"/>
    <col min="1538" max="1538" width="13.83203125" customWidth="1"/>
    <col min="1541" max="1541" width="10.5" customWidth="1"/>
    <col min="1545" max="1545" width="12.6640625" customWidth="1"/>
    <col min="1547" max="1547" width="12.5" customWidth="1"/>
    <col min="1794" max="1794" width="13.83203125" customWidth="1"/>
    <col min="1797" max="1797" width="10.5" customWidth="1"/>
    <col min="1801" max="1801" width="12.6640625" customWidth="1"/>
    <col min="1803" max="1803" width="12.5" customWidth="1"/>
    <col min="2050" max="2050" width="13.83203125" customWidth="1"/>
    <col min="2053" max="2053" width="10.5" customWidth="1"/>
    <col min="2057" max="2057" width="12.6640625" customWidth="1"/>
    <col min="2059" max="2059" width="12.5" customWidth="1"/>
    <col min="2306" max="2306" width="13.83203125" customWidth="1"/>
    <col min="2309" max="2309" width="10.5" customWidth="1"/>
    <col min="2313" max="2313" width="12.6640625" customWidth="1"/>
    <col min="2315" max="2315" width="12.5" customWidth="1"/>
    <col min="2562" max="2562" width="13.83203125" customWidth="1"/>
    <col min="2565" max="2565" width="10.5" customWidth="1"/>
    <col min="2569" max="2569" width="12.6640625" customWidth="1"/>
    <col min="2571" max="2571" width="12.5" customWidth="1"/>
    <col min="2818" max="2818" width="13.83203125" customWidth="1"/>
    <col min="2821" max="2821" width="10.5" customWidth="1"/>
    <col min="2825" max="2825" width="12.6640625" customWidth="1"/>
    <col min="2827" max="2827" width="12.5" customWidth="1"/>
    <col min="3074" max="3074" width="13.83203125" customWidth="1"/>
    <col min="3077" max="3077" width="10.5" customWidth="1"/>
    <col min="3081" max="3081" width="12.6640625" customWidth="1"/>
    <col min="3083" max="3083" width="12.5" customWidth="1"/>
    <col min="3330" max="3330" width="13.83203125" customWidth="1"/>
    <col min="3333" max="3333" width="10.5" customWidth="1"/>
    <col min="3337" max="3337" width="12.6640625" customWidth="1"/>
    <col min="3339" max="3339" width="12.5" customWidth="1"/>
    <col min="3586" max="3586" width="13.83203125" customWidth="1"/>
    <col min="3589" max="3589" width="10.5" customWidth="1"/>
    <col min="3593" max="3593" width="12.6640625" customWidth="1"/>
    <col min="3595" max="3595" width="12.5" customWidth="1"/>
    <col min="3842" max="3842" width="13.83203125" customWidth="1"/>
    <col min="3845" max="3845" width="10.5" customWidth="1"/>
    <col min="3849" max="3849" width="12.6640625" customWidth="1"/>
    <col min="3851" max="3851" width="12.5" customWidth="1"/>
    <col min="4098" max="4098" width="13.83203125" customWidth="1"/>
    <col min="4101" max="4101" width="10.5" customWidth="1"/>
    <col min="4105" max="4105" width="12.6640625" customWidth="1"/>
    <col min="4107" max="4107" width="12.5" customWidth="1"/>
    <col min="4354" max="4354" width="13.83203125" customWidth="1"/>
    <col min="4357" max="4357" width="10.5" customWidth="1"/>
    <col min="4361" max="4361" width="12.6640625" customWidth="1"/>
    <col min="4363" max="4363" width="12.5" customWidth="1"/>
    <col min="4610" max="4610" width="13.83203125" customWidth="1"/>
    <col min="4613" max="4613" width="10.5" customWidth="1"/>
    <col min="4617" max="4617" width="12.6640625" customWidth="1"/>
    <col min="4619" max="4619" width="12.5" customWidth="1"/>
    <col min="4866" max="4866" width="13.83203125" customWidth="1"/>
    <col min="4869" max="4869" width="10.5" customWidth="1"/>
    <col min="4873" max="4873" width="12.6640625" customWidth="1"/>
    <col min="4875" max="4875" width="12.5" customWidth="1"/>
    <col min="5122" max="5122" width="13.83203125" customWidth="1"/>
    <col min="5125" max="5125" width="10.5" customWidth="1"/>
    <col min="5129" max="5129" width="12.6640625" customWidth="1"/>
    <col min="5131" max="5131" width="12.5" customWidth="1"/>
    <col min="5378" max="5378" width="13.83203125" customWidth="1"/>
    <col min="5381" max="5381" width="10.5" customWidth="1"/>
    <col min="5385" max="5385" width="12.6640625" customWidth="1"/>
    <col min="5387" max="5387" width="12.5" customWidth="1"/>
    <col min="5634" max="5634" width="13.83203125" customWidth="1"/>
    <col min="5637" max="5637" width="10.5" customWidth="1"/>
    <col min="5641" max="5641" width="12.6640625" customWidth="1"/>
    <col min="5643" max="5643" width="12.5" customWidth="1"/>
    <col min="5890" max="5890" width="13.83203125" customWidth="1"/>
    <col min="5893" max="5893" width="10.5" customWidth="1"/>
    <col min="5897" max="5897" width="12.6640625" customWidth="1"/>
    <col min="5899" max="5899" width="12.5" customWidth="1"/>
    <col min="6146" max="6146" width="13.83203125" customWidth="1"/>
    <col min="6149" max="6149" width="10.5" customWidth="1"/>
    <col min="6153" max="6153" width="12.6640625" customWidth="1"/>
    <col min="6155" max="6155" width="12.5" customWidth="1"/>
    <col min="6402" max="6402" width="13.83203125" customWidth="1"/>
    <col min="6405" max="6405" width="10.5" customWidth="1"/>
    <col min="6409" max="6409" width="12.6640625" customWidth="1"/>
    <col min="6411" max="6411" width="12.5" customWidth="1"/>
    <col min="6658" max="6658" width="13.83203125" customWidth="1"/>
    <col min="6661" max="6661" width="10.5" customWidth="1"/>
    <col min="6665" max="6665" width="12.6640625" customWidth="1"/>
    <col min="6667" max="6667" width="12.5" customWidth="1"/>
    <col min="6914" max="6914" width="13.83203125" customWidth="1"/>
    <col min="6917" max="6917" width="10.5" customWidth="1"/>
    <col min="6921" max="6921" width="12.6640625" customWidth="1"/>
    <col min="6923" max="6923" width="12.5" customWidth="1"/>
    <col min="7170" max="7170" width="13.83203125" customWidth="1"/>
    <col min="7173" max="7173" width="10.5" customWidth="1"/>
    <col min="7177" max="7177" width="12.6640625" customWidth="1"/>
    <col min="7179" max="7179" width="12.5" customWidth="1"/>
    <col min="7426" max="7426" width="13.83203125" customWidth="1"/>
    <col min="7429" max="7429" width="10.5" customWidth="1"/>
    <col min="7433" max="7433" width="12.6640625" customWidth="1"/>
    <col min="7435" max="7435" width="12.5" customWidth="1"/>
    <col min="7682" max="7682" width="13.83203125" customWidth="1"/>
    <col min="7685" max="7685" width="10.5" customWidth="1"/>
    <col min="7689" max="7689" width="12.6640625" customWidth="1"/>
    <col min="7691" max="7691" width="12.5" customWidth="1"/>
    <col min="7938" max="7938" width="13.83203125" customWidth="1"/>
    <col min="7941" max="7941" width="10.5" customWidth="1"/>
    <col min="7945" max="7945" width="12.6640625" customWidth="1"/>
    <col min="7947" max="7947" width="12.5" customWidth="1"/>
    <col min="8194" max="8194" width="13.83203125" customWidth="1"/>
    <col min="8197" max="8197" width="10.5" customWidth="1"/>
    <col min="8201" max="8201" width="12.6640625" customWidth="1"/>
    <col min="8203" max="8203" width="12.5" customWidth="1"/>
    <col min="8450" max="8450" width="13.83203125" customWidth="1"/>
    <col min="8453" max="8453" width="10.5" customWidth="1"/>
    <col min="8457" max="8457" width="12.6640625" customWidth="1"/>
    <col min="8459" max="8459" width="12.5" customWidth="1"/>
    <col min="8706" max="8706" width="13.83203125" customWidth="1"/>
    <col min="8709" max="8709" width="10.5" customWidth="1"/>
    <col min="8713" max="8713" width="12.6640625" customWidth="1"/>
    <col min="8715" max="8715" width="12.5" customWidth="1"/>
    <col min="8962" max="8962" width="13.83203125" customWidth="1"/>
    <col min="8965" max="8965" width="10.5" customWidth="1"/>
    <col min="8969" max="8969" width="12.6640625" customWidth="1"/>
    <col min="8971" max="8971" width="12.5" customWidth="1"/>
    <col min="9218" max="9218" width="13.83203125" customWidth="1"/>
    <col min="9221" max="9221" width="10.5" customWidth="1"/>
    <col min="9225" max="9225" width="12.6640625" customWidth="1"/>
    <col min="9227" max="9227" width="12.5" customWidth="1"/>
    <col min="9474" max="9474" width="13.83203125" customWidth="1"/>
    <col min="9477" max="9477" width="10.5" customWidth="1"/>
    <col min="9481" max="9481" width="12.6640625" customWidth="1"/>
    <col min="9483" max="9483" width="12.5" customWidth="1"/>
    <col min="9730" max="9730" width="13.83203125" customWidth="1"/>
    <col min="9733" max="9733" width="10.5" customWidth="1"/>
    <col min="9737" max="9737" width="12.6640625" customWidth="1"/>
    <col min="9739" max="9739" width="12.5" customWidth="1"/>
    <col min="9986" max="9986" width="13.83203125" customWidth="1"/>
    <col min="9989" max="9989" width="10.5" customWidth="1"/>
    <col min="9993" max="9993" width="12.6640625" customWidth="1"/>
    <col min="9995" max="9995" width="12.5" customWidth="1"/>
    <col min="10242" max="10242" width="13.83203125" customWidth="1"/>
    <col min="10245" max="10245" width="10.5" customWidth="1"/>
    <col min="10249" max="10249" width="12.6640625" customWidth="1"/>
    <col min="10251" max="10251" width="12.5" customWidth="1"/>
    <col min="10498" max="10498" width="13.83203125" customWidth="1"/>
    <col min="10501" max="10501" width="10.5" customWidth="1"/>
    <col min="10505" max="10505" width="12.6640625" customWidth="1"/>
    <col min="10507" max="10507" width="12.5" customWidth="1"/>
    <col min="10754" max="10754" width="13.83203125" customWidth="1"/>
    <col min="10757" max="10757" width="10.5" customWidth="1"/>
    <col min="10761" max="10761" width="12.6640625" customWidth="1"/>
    <col min="10763" max="10763" width="12.5" customWidth="1"/>
    <col min="11010" max="11010" width="13.83203125" customWidth="1"/>
    <col min="11013" max="11013" width="10.5" customWidth="1"/>
    <col min="11017" max="11017" width="12.6640625" customWidth="1"/>
    <col min="11019" max="11019" width="12.5" customWidth="1"/>
    <col min="11266" max="11266" width="13.83203125" customWidth="1"/>
    <col min="11269" max="11269" width="10.5" customWidth="1"/>
    <col min="11273" max="11273" width="12.6640625" customWidth="1"/>
    <col min="11275" max="11275" width="12.5" customWidth="1"/>
    <col min="11522" max="11522" width="13.83203125" customWidth="1"/>
    <col min="11525" max="11525" width="10.5" customWidth="1"/>
    <col min="11529" max="11529" width="12.6640625" customWidth="1"/>
    <col min="11531" max="11531" width="12.5" customWidth="1"/>
    <col min="11778" max="11778" width="13.83203125" customWidth="1"/>
    <col min="11781" max="11781" width="10.5" customWidth="1"/>
    <col min="11785" max="11785" width="12.6640625" customWidth="1"/>
    <col min="11787" max="11787" width="12.5" customWidth="1"/>
    <col min="12034" max="12034" width="13.83203125" customWidth="1"/>
    <col min="12037" max="12037" width="10.5" customWidth="1"/>
    <col min="12041" max="12041" width="12.6640625" customWidth="1"/>
    <col min="12043" max="12043" width="12.5" customWidth="1"/>
    <col min="12290" max="12290" width="13.83203125" customWidth="1"/>
    <col min="12293" max="12293" width="10.5" customWidth="1"/>
    <col min="12297" max="12297" width="12.6640625" customWidth="1"/>
    <col min="12299" max="12299" width="12.5" customWidth="1"/>
    <col min="12546" max="12546" width="13.83203125" customWidth="1"/>
    <col min="12549" max="12549" width="10.5" customWidth="1"/>
    <col min="12553" max="12553" width="12.6640625" customWidth="1"/>
    <col min="12555" max="12555" width="12.5" customWidth="1"/>
    <col min="12802" max="12802" width="13.83203125" customWidth="1"/>
    <col min="12805" max="12805" width="10.5" customWidth="1"/>
    <col min="12809" max="12809" width="12.6640625" customWidth="1"/>
    <col min="12811" max="12811" width="12.5" customWidth="1"/>
    <col min="13058" max="13058" width="13.83203125" customWidth="1"/>
    <col min="13061" max="13061" width="10.5" customWidth="1"/>
    <col min="13065" max="13065" width="12.6640625" customWidth="1"/>
    <col min="13067" max="13067" width="12.5" customWidth="1"/>
    <col min="13314" max="13314" width="13.83203125" customWidth="1"/>
    <col min="13317" max="13317" width="10.5" customWidth="1"/>
    <col min="13321" max="13321" width="12.6640625" customWidth="1"/>
    <col min="13323" max="13323" width="12.5" customWidth="1"/>
    <col min="13570" max="13570" width="13.83203125" customWidth="1"/>
    <col min="13573" max="13573" width="10.5" customWidth="1"/>
    <col min="13577" max="13577" width="12.6640625" customWidth="1"/>
    <col min="13579" max="13579" width="12.5" customWidth="1"/>
    <col min="13826" max="13826" width="13.83203125" customWidth="1"/>
    <col min="13829" max="13829" width="10.5" customWidth="1"/>
    <col min="13833" max="13833" width="12.6640625" customWidth="1"/>
    <col min="13835" max="13835" width="12.5" customWidth="1"/>
    <col min="14082" max="14082" width="13.83203125" customWidth="1"/>
    <col min="14085" max="14085" width="10.5" customWidth="1"/>
    <col min="14089" max="14089" width="12.6640625" customWidth="1"/>
    <col min="14091" max="14091" width="12.5" customWidth="1"/>
    <col min="14338" max="14338" width="13.83203125" customWidth="1"/>
    <col min="14341" max="14341" width="10.5" customWidth="1"/>
    <col min="14345" max="14345" width="12.6640625" customWidth="1"/>
    <col min="14347" max="14347" width="12.5" customWidth="1"/>
    <col min="14594" max="14594" width="13.83203125" customWidth="1"/>
    <col min="14597" max="14597" width="10.5" customWidth="1"/>
    <col min="14601" max="14601" width="12.6640625" customWidth="1"/>
    <col min="14603" max="14603" width="12.5" customWidth="1"/>
    <col min="14850" max="14850" width="13.83203125" customWidth="1"/>
    <col min="14853" max="14853" width="10.5" customWidth="1"/>
    <col min="14857" max="14857" width="12.6640625" customWidth="1"/>
    <col min="14859" max="14859" width="12.5" customWidth="1"/>
    <col min="15106" max="15106" width="13.83203125" customWidth="1"/>
    <col min="15109" max="15109" width="10.5" customWidth="1"/>
    <col min="15113" max="15113" width="12.6640625" customWidth="1"/>
    <col min="15115" max="15115" width="12.5" customWidth="1"/>
    <col min="15362" max="15362" width="13.83203125" customWidth="1"/>
    <col min="15365" max="15365" width="10.5" customWidth="1"/>
    <col min="15369" max="15369" width="12.6640625" customWidth="1"/>
    <col min="15371" max="15371" width="12.5" customWidth="1"/>
    <col min="15618" max="15618" width="13.83203125" customWidth="1"/>
    <col min="15621" max="15621" width="10.5" customWidth="1"/>
    <col min="15625" max="15625" width="12.6640625" customWidth="1"/>
    <col min="15627" max="15627" width="12.5" customWidth="1"/>
    <col min="15874" max="15874" width="13.83203125" customWidth="1"/>
    <col min="15877" max="15877" width="10.5" customWidth="1"/>
    <col min="15881" max="15881" width="12.6640625" customWidth="1"/>
    <col min="15883" max="15883" width="12.5" customWidth="1"/>
    <col min="16130" max="16130" width="13.83203125" customWidth="1"/>
    <col min="16133" max="16133" width="10.5" customWidth="1"/>
    <col min="16137" max="16137" width="12.6640625" customWidth="1"/>
    <col min="16139" max="16139" width="12.5" customWidth="1"/>
  </cols>
  <sheetData>
    <row r="1" spans="1:19">
      <c r="A1" s="1" t="s">
        <v>291</v>
      </c>
      <c r="O1" s="6" t="s">
        <v>167</v>
      </c>
    </row>
    <row r="2" spans="1:19">
      <c r="A2" s="1"/>
    </row>
    <row r="3" spans="1:19" ht="16" thickBot="1">
      <c r="A3" s="530" t="s">
        <v>180</v>
      </c>
      <c r="B3" s="8"/>
      <c r="C3" s="8"/>
      <c r="D3" s="8"/>
      <c r="E3" s="8"/>
      <c r="F3" s="8"/>
      <c r="G3" s="8"/>
      <c r="H3" s="8"/>
      <c r="I3" s="8"/>
      <c r="J3" s="8"/>
      <c r="K3" s="228"/>
    </row>
    <row r="4" spans="1:19" ht="16" thickBot="1">
      <c r="G4" s="199"/>
      <c r="H4" s="136"/>
      <c r="K4" s="136"/>
      <c r="O4" s="657" t="s">
        <v>144</v>
      </c>
      <c r="P4" s="658"/>
      <c r="Q4" s="658"/>
      <c r="R4" s="658"/>
      <c r="S4" s="175"/>
    </row>
    <row r="5" spans="1:19" ht="16" thickBot="1">
      <c r="B5" s="250" t="s">
        <v>177</v>
      </c>
      <c r="C5" s="250" t="s">
        <v>101</v>
      </c>
      <c r="D5" s="250" t="s">
        <v>102</v>
      </c>
      <c r="E5" s="250" t="s">
        <v>103</v>
      </c>
      <c r="F5" s="250" t="s">
        <v>104</v>
      </c>
      <c r="G5" s="250" t="s">
        <v>105</v>
      </c>
      <c r="H5" s="250" t="s">
        <v>178</v>
      </c>
      <c r="I5" s="558" t="s">
        <v>106</v>
      </c>
      <c r="J5" s="252"/>
      <c r="K5" s="138"/>
      <c r="L5" s="82"/>
      <c r="M5" s="136"/>
      <c r="O5" s="688" t="s">
        <v>145</v>
      </c>
      <c r="P5" s="689"/>
      <c r="Q5" s="690"/>
      <c r="R5" s="206">
        <v>0.53346653346653372</v>
      </c>
      <c r="S5" s="178"/>
    </row>
    <row r="6" spans="1:19" ht="16" thickBot="1">
      <c r="A6" s="231" t="s">
        <v>10</v>
      </c>
      <c r="B6" s="224">
        <v>42</v>
      </c>
      <c r="C6" s="224">
        <v>42</v>
      </c>
      <c r="D6" s="224">
        <v>40</v>
      </c>
      <c r="E6" s="224">
        <v>39</v>
      </c>
      <c r="F6" s="224">
        <v>37</v>
      </c>
      <c r="G6" s="224">
        <v>37</v>
      </c>
      <c r="H6" s="224">
        <v>45</v>
      </c>
      <c r="I6" s="629">
        <f>AVERAGE(B6:H6)</f>
        <v>40.285714285714285</v>
      </c>
      <c r="J6" s="251"/>
      <c r="K6" s="140"/>
      <c r="O6" s="688" t="s">
        <v>146</v>
      </c>
      <c r="P6" s="689"/>
      <c r="Q6" s="690"/>
      <c r="R6" s="206">
        <v>52.437229437229426</v>
      </c>
      <c r="S6" s="178"/>
    </row>
    <row r="7" spans="1:19" ht="16" thickBot="1">
      <c r="A7" s="231" t="s">
        <v>23</v>
      </c>
      <c r="B7" s="224">
        <v>43</v>
      </c>
      <c r="C7" s="224">
        <v>45</v>
      </c>
      <c r="D7" s="224">
        <v>45</v>
      </c>
      <c r="E7" s="224">
        <v>48</v>
      </c>
      <c r="F7" s="224">
        <v>49</v>
      </c>
      <c r="G7" s="224">
        <v>44</v>
      </c>
      <c r="H7" s="224">
        <v>46</v>
      </c>
      <c r="I7" s="630">
        <f t="shared" ref="I7:I17" si="0">AVERAGE(B7:H7)</f>
        <v>45.714285714285715</v>
      </c>
      <c r="J7" s="251"/>
      <c r="K7" s="140"/>
      <c r="O7" s="176"/>
      <c r="P7" s="177"/>
      <c r="Q7" s="177"/>
      <c r="R7" s="177"/>
      <c r="S7" s="178"/>
    </row>
    <row r="8" spans="1:19" ht="16">
      <c r="A8" s="231" t="s">
        <v>24</v>
      </c>
      <c r="B8" s="224">
        <v>47</v>
      </c>
      <c r="C8" s="224">
        <v>49</v>
      </c>
      <c r="D8" s="224">
        <v>57</v>
      </c>
      <c r="E8" s="224">
        <v>60</v>
      </c>
      <c r="F8" s="224">
        <v>59</v>
      </c>
      <c r="G8" s="224">
        <v>46</v>
      </c>
      <c r="H8" s="224">
        <v>50</v>
      </c>
      <c r="I8" s="630">
        <f t="shared" si="0"/>
        <v>52.571428571428569</v>
      </c>
      <c r="J8" s="251"/>
      <c r="K8" s="140"/>
      <c r="O8" s="179" t="s">
        <v>121</v>
      </c>
      <c r="P8" s="162">
        <v>9.0888555888555889</v>
      </c>
      <c r="Q8" s="217" t="s">
        <v>147</v>
      </c>
      <c r="R8" s="207">
        <v>3.0987991351002404E-2</v>
      </c>
      <c r="S8" s="178"/>
    </row>
    <row r="9" spans="1:19" ht="16" thickBot="1">
      <c r="A9" s="231" t="s">
        <v>14</v>
      </c>
      <c r="B9" s="224">
        <v>57</v>
      </c>
      <c r="C9" s="224">
        <v>55</v>
      </c>
      <c r="D9" s="224">
        <v>61</v>
      </c>
      <c r="E9" s="224">
        <v>59</v>
      </c>
      <c r="F9" s="224">
        <v>59</v>
      </c>
      <c r="G9" s="224">
        <v>65</v>
      </c>
      <c r="H9" s="224">
        <v>66</v>
      </c>
      <c r="I9" s="630">
        <f t="shared" si="0"/>
        <v>60.285714285714285</v>
      </c>
      <c r="J9" s="251"/>
      <c r="O9" s="179" t="s">
        <v>122</v>
      </c>
      <c r="P9" s="163">
        <v>0.16257748497952929</v>
      </c>
      <c r="Q9" s="217" t="s">
        <v>148</v>
      </c>
      <c r="R9" s="208">
        <v>1.8242995767934312E-6</v>
      </c>
      <c r="S9" s="178"/>
    </row>
    <row r="10" spans="1:19" ht="16" thickBot="1">
      <c r="A10" s="231" t="s">
        <v>15</v>
      </c>
      <c r="B10" s="224">
        <v>80</v>
      </c>
      <c r="C10" s="224">
        <v>72</v>
      </c>
      <c r="D10" s="224">
        <v>75</v>
      </c>
      <c r="E10" s="224">
        <v>67</v>
      </c>
      <c r="F10" s="224">
        <v>67</v>
      </c>
      <c r="G10" s="224">
        <v>63</v>
      </c>
      <c r="H10" s="224">
        <v>66</v>
      </c>
      <c r="I10" s="630">
        <f t="shared" si="0"/>
        <v>70</v>
      </c>
      <c r="J10" s="251"/>
      <c r="O10" s="179"/>
      <c r="P10" s="209"/>
      <c r="Q10" s="217"/>
      <c r="R10" s="210"/>
      <c r="S10" s="178"/>
    </row>
    <row r="11" spans="1:19" ht="16" thickBot="1">
      <c r="A11" s="231" t="s">
        <v>16</v>
      </c>
      <c r="B11" s="224">
        <v>64</v>
      </c>
      <c r="C11" s="224">
        <v>62</v>
      </c>
      <c r="D11" s="224">
        <v>71</v>
      </c>
      <c r="E11" s="224">
        <v>83</v>
      </c>
      <c r="F11" s="224">
        <v>78</v>
      </c>
      <c r="G11" s="224">
        <v>69</v>
      </c>
      <c r="H11" s="224">
        <v>63</v>
      </c>
      <c r="I11" s="630">
        <f t="shared" si="0"/>
        <v>70</v>
      </c>
      <c r="J11" s="251"/>
      <c r="O11" s="659" t="s">
        <v>149</v>
      </c>
      <c r="P11" s="660"/>
      <c r="Q11" s="691"/>
      <c r="R11" s="211">
        <v>13</v>
      </c>
      <c r="S11" s="178"/>
    </row>
    <row r="12" spans="1:19" ht="16" thickBot="1">
      <c r="A12" s="231" t="s">
        <v>4</v>
      </c>
      <c r="B12" s="224">
        <v>80</v>
      </c>
      <c r="C12" s="224">
        <v>62</v>
      </c>
      <c r="D12" s="224">
        <v>63</v>
      </c>
      <c r="E12" s="224">
        <v>64</v>
      </c>
      <c r="F12" s="224">
        <v>67</v>
      </c>
      <c r="G12" s="224">
        <v>81</v>
      </c>
      <c r="H12" s="224">
        <v>82</v>
      </c>
      <c r="I12" s="630">
        <f t="shared" si="0"/>
        <v>71.285714285714292</v>
      </c>
      <c r="J12" s="251"/>
      <c r="O12" s="659" t="str">
        <f xml:space="preserve"> "Prediction of period " &amp; R11 &amp; " ="</f>
        <v>Prediction of period 13 =</v>
      </c>
      <c r="P12" s="660"/>
      <c r="Q12" s="660"/>
      <c r="R12" s="212">
        <v>59.372294372294363</v>
      </c>
      <c r="S12" s="178"/>
    </row>
    <row r="13" spans="1:19" ht="16" thickBot="1">
      <c r="A13" s="231" t="s">
        <v>5</v>
      </c>
      <c r="B13" s="224">
        <v>41</v>
      </c>
      <c r="C13" s="224">
        <v>55</v>
      </c>
      <c r="D13" s="224">
        <v>59</v>
      </c>
      <c r="E13" s="224">
        <v>63</v>
      </c>
      <c r="F13" s="224">
        <v>49</v>
      </c>
      <c r="G13" s="224">
        <v>46</v>
      </c>
      <c r="H13" s="224">
        <v>46</v>
      </c>
      <c r="I13" s="630">
        <f t="shared" si="0"/>
        <v>51.285714285714285</v>
      </c>
      <c r="J13" s="251"/>
      <c r="O13" s="176"/>
      <c r="P13" s="177"/>
      <c r="Q13" s="177"/>
      <c r="R13" s="177"/>
      <c r="S13" s="178"/>
    </row>
    <row r="14" spans="1:19" ht="15.75" customHeight="1" thickBot="1">
      <c r="A14" s="231" t="s">
        <v>6</v>
      </c>
      <c r="B14" s="224">
        <v>40</v>
      </c>
      <c r="C14" s="224">
        <v>44</v>
      </c>
      <c r="D14" s="224">
        <v>45</v>
      </c>
      <c r="E14" s="224">
        <v>51</v>
      </c>
      <c r="F14" s="224">
        <v>63</v>
      </c>
      <c r="G14" s="224">
        <v>55</v>
      </c>
      <c r="H14" s="224">
        <v>42</v>
      </c>
      <c r="I14" s="630">
        <f t="shared" si="0"/>
        <v>48.571428571428569</v>
      </c>
      <c r="J14" s="251"/>
      <c r="O14" s="164" t="s">
        <v>39</v>
      </c>
      <c r="P14" s="164" t="s">
        <v>38</v>
      </c>
      <c r="Q14" s="164" t="s">
        <v>185</v>
      </c>
      <c r="R14" s="164" t="s">
        <v>37</v>
      </c>
      <c r="S14" s="165" t="s">
        <v>123</v>
      </c>
    </row>
    <row r="15" spans="1:19">
      <c r="A15" s="231" t="s">
        <v>7</v>
      </c>
      <c r="B15" s="224">
        <v>42</v>
      </c>
      <c r="C15" s="224">
        <v>44</v>
      </c>
      <c r="D15" s="224">
        <v>43</v>
      </c>
      <c r="E15" s="224">
        <v>39</v>
      </c>
      <c r="F15" s="224">
        <v>44</v>
      </c>
      <c r="G15" s="224">
        <v>39</v>
      </c>
      <c r="H15" s="224">
        <v>49</v>
      </c>
      <c r="I15" s="630">
        <f t="shared" si="0"/>
        <v>42.857142857142854</v>
      </c>
      <c r="J15" s="251"/>
      <c r="O15" s="166">
        <v>1</v>
      </c>
      <c r="P15" s="200">
        <v>40.285714285714285</v>
      </c>
      <c r="Q15" s="168">
        <v>52.970695970695957</v>
      </c>
      <c r="R15" s="194">
        <v>-12.684981684981672</v>
      </c>
      <c r="S15" s="213">
        <v>-1</v>
      </c>
    </row>
    <row r="16" spans="1:19">
      <c r="A16" s="231" t="s">
        <v>8</v>
      </c>
      <c r="B16" s="224">
        <v>49</v>
      </c>
      <c r="C16" s="224">
        <v>52</v>
      </c>
      <c r="D16" s="224">
        <v>66</v>
      </c>
      <c r="E16" s="224">
        <v>60</v>
      </c>
      <c r="F16" s="224">
        <v>51</v>
      </c>
      <c r="G16" s="224">
        <v>55</v>
      </c>
      <c r="H16" s="224">
        <v>50</v>
      </c>
      <c r="I16" s="630">
        <f t="shared" si="0"/>
        <v>54.714285714285715</v>
      </c>
      <c r="J16" s="251"/>
      <c r="O16" s="171">
        <v>2</v>
      </c>
      <c r="P16" s="167">
        <v>45.714285714285715</v>
      </c>
      <c r="Q16" s="172">
        <v>53.504162504162494</v>
      </c>
      <c r="R16" s="195">
        <v>-7.7898767898767787</v>
      </c>
      <c r="S16" s="214">
        <v>-2</v>
      </c>
    </row>
    <row r="17" spans="1:19">
      <c r="A17" s="231" t="s">
        <v>9</v>
      </c>
      <c r="B17" s="224">
        <v>58</v>
      </c>
      <c r="C17" s="224">
        <v>54</v>
      </c>
      <c r="D17" s="224">
        <v>58</v>
      </c>
      <c r="E17" s="224">
        <v>61</v>
      </c>
      <c r="F17" s="224">
        <v>76</v>
      </c>
      <c r="G17" s="224">
        <v>73</v>
      </c>
      <c r="H17" s="224">
        <v>63</v>
      </c>
      <c r="I17" s="631">
        <f t="shared" si="0"/>
        <v>63.285714285714285</v>
      </c>
      <c r="J17" s="255"/>
      <c r="K17" s="87"/>
      <c r="L17" s="87"/>
      <c r="M17" s="87"/>
      <c r="N17" s="87"/>
      <c r="O17" s="171">
        <v>3</v>
      </c>
      <c r="P17" s="167">
        <v>52.571428571428569</v>
      </c>
      <c r="Q17" s="172">
        <v>54.037629037629024</v>
      </c>
      <c r="R17" s="195">
        <v>-1.4662004662004549</v>
      </c>
      <c r="S17" s="214">
        <v>-3</v>
      </c>
    </row>
    <row r="18" spans="1:19">
      <c r="J18" s="87"/>
      <c r="K18" s="264"/>
      <c r="L18" s="87"/>
      <c r="M18" s="87"/>
      <c r="N18" s="87"/>
      <c r="O18" s="171">
        <v>4</v>
      </c>
      <c r="P18" s="167">
        <v>60.285714285714285</v>
      </c>
      <c r="Q18" s="172">
        <v>54.571095571095562</v>
      </c>
      <c r="R18" s="195">
        <v>5.7146187146187231</v>
      </c>
      <c r="S18" s="214">
        <v>-2.3469235400361188</v>
      </c>
    </row>
    <row r="19" spans="1:19">
      <c r="J19" s="87"/>
      <c r="K19" s="87"/>
      <c r="L19" s="87"/>
      <c r="M19" s="87"/>
      <c r="N19" s="87"/>
      <c r="O19" s="171">
        <v>5</v>
      </c>
      <c r="P19" s="167">
        <v>70</v>
      </c>
      <c r="Q19" s="172">
        <v>55.104562104562092</v>
      </c>
      <c r="R19" s="195">
        <v>14.895437895437908</v>
      </c>
      <c r="S19" s="214">
        <v>-0.15640040381589718</v>
      </c>
    </row>
    <row r="20" spans="1:19">
      <c r="A20" s="326" t="s">
        <v>316</v>
      </c>
      <c r="B20" s="8"/>
      <c r="C20" s="8"/>
      <c r="J20" s="87"/>
      <c r="K20" s="263"/>
      <c r="L20" s="263"/>
      <c r="M20" s="263"/>
      <c r="N20" s="263"/>
      <c r="O20" s="171">
        <v>6</v>
      </c>
      <c r="P20" s="167">
        <v>70</v>
      </c>
      <c r="Q20" s="172">
        <v>55.638028638028629</v>
      </c>
      <c r="R20" s="195">
        <v>14.361971361971371</v>
      </c>
      <c r="S20" s="214">
        <v>1.3737756714060103</v>
      </c>
    </row>
    <row r="21" spans="1:19">
      <c r="G21" t="s">
        <v>181</v>
      </c>
      <c r="H21" s="723" t="s">
        <v>182</v>
      </c>
      <c r="I21" s="723"/>
      <c r="J21" s="723"/>
      <c r="K21" s="723"/>
      <c r="L21" s="723"/>
      <c r="M21" s="257"/>
      <c r="N21" s="265"/>
      <c r="O21" s="171">
        <v>7</v>
      </c>
      <c r="P21" s="167">
        <v>71.285714285714292</v>
      </c>
      <c r="Q21" s="172">
        <v>56.17149517149516</v>
      </c>
      <c r="R21" s="195">
        <v>15.114219114219132</v>
      </c>
      <c r="S21" s="214">
        <v>2.7353003726340588</v>
      </c>
    </row>
    <row r="22" spans="1:19">
      <c r="A22" s="24"/>
      <c r="B22" s="24"/>
      <c r="C22" t="s">
        <v>38</v>
      </c>
      <c r="D22" t="s">
        <v>318</v>
      </c>
      <c r="E22" t="s">
        <v>185</v>
      </c>
      <c r="H22" s="723"/>
      <c r="I22" s="723"/>
      <c r="J22" s="723"/>
      <c r="K22" s="723"/>
      <c r="L22" s="723"/>
      <c r="M22" s="257"/>
      <c r="N22" s="265"/>
      <c r="O22" s="171">
        <v>8</v>
      </c>
      <c r="P22" s="167">
        <v>51.285714285714285</v>
      </c>
      <c r="Q22" s="172">
        <v>56.704961704961697</v>
      </c>
      <c r="R22" s="195">
        <v>-5.4192474192474123</v>
      </c>
      <c r="S22" s="214">
        <v>2.3475224876597447</v>
      </c>
    </row>
    <row r="23" spans="1:19">
      <c r="A23" t="s">
        <v>22</v>
      </c>
      <c r="B23" s="24" t="s">
        <v>39</v>
      </c>
      <c r="C23" t="s">
        <v>109</v>
      </c>
      <c r="D23" t="s">
        <v>110</v>
      </c>
      <c r="E23" t="s">
        <v>37</v>
      </c>
      <c r="H23" s="723"/>
      <c r="I23" s="723"/>
      <c r="J23" s="723"/>
      <c r="K23" s="723"/>
      <c r="L23" s="723"/>
      <c r="M23" s="87"/>
      <c r="N23" s="87"/>
      <c r="O23" s="171">
        <v>9</v>
      </c>
      <c r="P23" s="167">
        <v>48.571428571428569</v>
      </c>
      <c r="Q23" s="172">
        <v>57.238428238428227</v>
      </c>
      <c r="R23" s="195">
        <v>-8.6669996669996578</v>
      </c>
      <c r="S23" s="214">
        <v>1.4693444290194577</v>
      </c>
    </row>
    <row r="24" spans="1:19">
      <c r="A24" s="231" t="s">
        <v>10</v>
      </c>
      <c r="B24">
        <v>1</v>
      </c>
      <c r="C24" s="37">
        <f t="shared" ref="C24:C35" si="1">I6</f>
        <v>40.285714285714285</v>
      </c>
      <c r="D24" s="37">
        <f t="shared" ref="D24:D35" si="2">$C$41+$C$42*B24</f>
        <v>52.970695970695964</v>
      </c>
      <c r="E24" s="37">
        <f>C24-D24</f>
        <v>-12.684981684981679</v>
      </c>
      <c r="H24" s="723"/>
      <c r="I24" s="723"/>
      <c r="J24" s="723"/>
      <c r="K24" s="723"/>
      <c r="L24" s="723"/>
      <c r="M24" s="257"/>
      <c r="N24" s="256"/>
      <c r="O24" s="171">
        <v>10</v>
      </c>
      <c r="P24" s="167">
        <v>42.857142857142854</v>
      </c>
      <c r="Q24" s="172">
        <v>57.771894771894765</v>
      </c>
      <c r="R24" s="195">
        <v>-14.914751914751911</v>
      </c>
      <c r="S24" s="214">
        <v>-8.4710008306185081E-2</v>
      </c>
    </row>
    <row r="25" spans="1:19">
      <c r="A25" s="231" t="s">
        <v>23</v>
      </c>
      <c r="B25">
        <v>2</v>
      </c>
      <c r="C25" s="37">
        <f t="shared" si="1"/>
        <v>45.714285714285715</v>
      </c>
      <c r="D25" s="37">
        <f t="shared" si="2"/>
        <v>53.504162504162501</v>
      </c>
      <c r="E25" s="37">
        <f t="shared" ref="E25:E35" si="3">C25-D25</f>
        <v>-7.7898767898767858</v>
      </c>
      <c r="H25" s="723"/>
      <c r="I25" s="723"/>
      <c r="J25" s="723"/>
      <c r="K25" s="723"/>
      <c r="L25" s="723"/>
      <c r="M25" s="257"/>
      <c r="N25" s="256"/>
      <c r="O25" s="171">
        <v>11</v>
      </c>
      <c r="P25" s="167">
        <v>54.714285714285715</v>
      </c>
      <c r="Q25" s="172">
        <v>58.305361305361295</v>
      </c>
      <c r="R25" s="195">
        <v>-3.5910755910755796</v>
      </c>
      <c r="S25" s="214">
        <v>-0.46755917140927961</v>
      </c>
    </row>
    <row r="26" spans="1:19">
      <c r="A26" s="231" t="s">
        <v>24</v>
      </c>
      <c r="B26">
        <v>3</v>
      </c>
      <c r="C26" s="37">
        <f t="shared" si="1"/>
        <v>52.571428571428569</v>
      </c>
      <c r="D26" s="37">
        <f t="shared" si="2"/>
        <v>54.037629037629031</v>
      </c>
      <c r="E26" s="37">
        <f t="shared" si="3"/>
        <v>-1.466200466200462</v>
      </c>
      <c r="H26" s="723"/>
      <c r="I26" s="723"/>
      <c r="J26" s="723"/>
      <c r="K26" s="723"/>
      <c r="L26" s="723"/>
      <c r="M26" s="257"/>
      <c r="N26" s="256"/>
      <c r="O26" s="171">
        <v>12</v>
      </c>
      <c r="P26" s="167">
        <v>63.285714285714285</v>
      </c>
      <c r="Q26" s="172">
        <v>58.838827838827832</v>
      </c>
      <c r="R26" s="195">
        <v>4.4468864468864524</v>
      </c>
      <c r="S26" s="214">
        <v>1.3290151207521433E-14</v>
      </c>
    </row>
    <row r="27" spans="1:19" ht="16" thickBot="1">
      <c r="A27" s="231" t="s">
        <v>14</v>
      </c>
      <c r="B27">
        <v>4</v>
      </c>
      <c r="C27" s="37">
        <f t="shared" si="1"/>
        <v>60.285714285714285</v>
      </c>
      <c r="D27" s="37">
        <f t="shared" si="2"/>
        <v>54.571095571095569</v>
      </c>
      <c r="E27" s="37">
        <f t="shared" si="3"/>
        <v>5.714618714618716</v>
      </c>
      <c r="H27" s="723"/>
      <c r="I27" s="723"/>
      <c r="J27" s="723"/>
      <c r="K27" s="723"/>
      <c r="L27" s="723"/>
      <c r="M27" s="260"/>
      <c r="N27" s="258"/>
      <c r="O27" s="182">
        <v>13</v>
      </c>
      <c r="P27" s="183"/>
      <c r="Q27" s="184">
        <v>59.372294372294363</v>
      </c>
      <c r="R27" s="198" t="s">
        <v>124</v>
      </c>
      <c r="S27" s="218"/>
    </row>
    <row r="28" spans="1:19">
      <c r="A28" s="231" t="s">
        <v>15</v>
      </c>
      <c r="B28">
        <v>5</v>
      </c>
      <c r="C28" s="37">
        <f t="shared" si="1"/>
        <v>70</v>
      </c>
      <c r="D28" s="37">
        <f t="shared" si="2"/>
        <v>55.104562104562099</v>
      </c>
      <c r="E28" s="37">
        <f t="shared" si="3"/>
        <v>14.895437895437901</v>
      </c>
      <c r="H28" s="723"/>
      <c r="I28" s="723"/>
      <c r="J28" s="723"/>
      <c r="K28" s="723"/>
      <c r="L28" s="723"/>
      <c r="M28" s="260"/>
      <c r="N28" s="259"/>
      <c r="O28" s="87"/>
    </row>
    <row r="29" spans="1:19">
      <c r="A29" s="231" t="s">
        <v>16</v>
      </c>
      <c r="B29">
        <v>6</v>
      </c>
      <c r="C29" s="37">
        <f t="shared" si="1"/>
        <v>70</v>
      </c>
      <c r="D29" s="37">
        <f t="shared" si="2"/>
        <v>55.638028638028636</v>
      </c>
      <c r="E29" s="37">
        <f t="shared" si="3"/>
        <v>14.361971361971364</v>
      </c>
      <c r="J29" s="87"/>
      <c r="K29" s="87"/>
      <c r="L29" s="87"/>
      <c r="M29" s="87"/>
      <c r="N29" s="87"/>
      <c r="O29" s="87"/>
    </row>
    <row r="30" spans="1:19" ht="15.75" customHeight="1">
      <c r="A30" s="231" t="s">
        <v>4</v>
      </c>
      <c r="B30">
        <v>7</v>
      </c>
      <c r="C30" s="37">
        <f t="shared" si="1"/>
        <v>71.285714285714292</v>
      </c>
      <c r="D30" s="37">
        <f t="shared" si="2"/>
        <v>56.171495171495167</v>
      </c>
      <c r="E30" s="37">
        <f t="shared" si="3"/>
        <v>15.114219114219125</v>
      </c>
      <c r="J30" s="87"/>
      <c r="K30" s="260"/>
      <c r="L30" s="260"/>
      <c r="M30" s="260"/>
      <c r="N30" s="260"/>
      <c r="O30" s="261"/>
    </row>
    <row r="31" spans="1:19">
      <c r="A31" s="231" t="s">
        <v>5</v>
      </c>
      <c r="B31">
        <v>8</v>
      </c>
      <c r="C31" s="37">
        <f t="shared" si="1"/>
        <v>51.285714285714285</v>
      </c>
      <c r="D31" s="37">
        <f t="shared" si="2"/>
        <v>56.704961704961704</v>
      </c>
      <c r="E31" s="37">
        <f t="shared" si="3"/>
        <v>-5.4192474192474194</v>
      </c>
      <c r="J31" s="87"/>
      <c r="K31" s="260"/>
      <c r="L31" s="262"/>
      <c r="M31" s="266"/>
      <c r="N31" s="266"/>
      <c r="O31" s="267"/>
    </row>
    <row r="32" spans="1:19">
      <c r="A32" s="231" t="s">
        <v>6</v>
      </c>
      <c r="B32">
        <v>9</v>
      </c>
      <c r="C32" s="37">
        <f t="shared" si="1"/>
        <v>48.571428571428569</v>
      </c>
      <c r="D32" s="37">
        <f t="shared" si="2"/>
        <v>57.238428238428234</v>
      </c>
      <c r="E32" s="37">
        <f t="shared" si="3"/>
        <v>-8.666999666999665</v>
      </c>
      <c r="J32" s="87"/>
      <c r="K32" s="260"/>
      <c r="L32" s="262"/>
      <c r="M32" s="266"/>
      <c r="N32" s="266"/>
      <c r="O32" s="267"/>
    </row>
    <row r="33" spans="1:15">
      <c r="A33" s="231" t="s">
        <v>7</v>
      </c>
      <c r="B33">
        <v>10</v>
      </c>
      <c r="C33" s="37">
        <f t="shared" si="1"/>
        <v>42.857142857142854</v>
      </c>
      <c r="D33" s="37">
        <f t="shared" si="2"/>
        <v>57.771894771894765</v>
      </c>
      <c r="E33" s="37">
        <f t="shared" si="3"/>
        <v>-14.914751914751911</v>
      </c>
      <c r="J33" s="87"/>
      <c r="K33" s="260"/>
      <c r="L33" s="262"/>
      <c r="M33" s="266"/>
      <c r="N33" s="266"/>
      <c r="O33" s="267"/>
    </row>
    <row r="34" spans="1:15">
      <c r="A34" s="231" t="s">
        <v>8</v>
      </c>
      <c r="B34">
        <v>11</v>
      </c>
      <c r="C34" s="37">
        <f t="shared" si="1"/>
        <v>54.714285714285715</v>
      </c>
      <c r="D34" s="37">
        <f t="shared" si="2"/>
        <v>58.305361305361302</v>
      </c>
      <c r="E34" s="37">
        <f t="shared" si="3"/>
        <v>-3.5910755910755867</v>
      </c>
      <c r="J34" s="87"/>
      <c r="K34" s="260"/>
      <c r="L34" s="262"/>
      <c r="M34" s="266"/>
      <c r="N34" s="266"/>
      <c r="O34" s="267"/>
    </row>
    <row r="35" spans="1:15">
      <c r="A35" s="231" t="s">
        <v>9</v>
      </c>
      <c r="B35">
        <v>12</v>
      </c>
      <c r="C35" s="37">
        <f t="shared" si="1"/>
        <v>63.285714285714285</v>
      </c>
      <c r="D35" s="37">
        <f t="shared" si="2"/>
        <v>58.838827838827839</v>
      </c>
      <c r="E35" s="37">
        <f t="shared" si="3"/>
        <v>4.4468864468864453</v>
      </c>
      <c r="F35" s="86"/>
      <c r="J35" s="87"/>
      <c r="K35" s="260"/>
      <c r="L35" s="262"/>
      <c r="M35" s="266"/>
      <c r="N35" s="266"/>
      <c r="O35" s="267"/>
    </row>
    <row r="36" spans="1:15">
      <c r="A36" s="537" t="s">
        <v>10</v>
      </c>
      <c r="B36" s="537">
        <v>13</v>
      </c>
      <c r="C36" s="514"/>
      <c r="D36" s="515">
        <f t="shared" ref="D36:D38" si="4">$C$41+$C$42*B36</f>
        <v>59.37229437229437</v>
      </c>
      <c r="J36" s="87"/>
      <c r="K36" s="260"/>
      <c r="L36" s="262"/>
      <c r="M36" s="266"/>
      <c r="N36" s="266"/>
      <c r="O36" s="267"/>
    </row>
    <row r="37" spans="1:15">
      <c r="A37" s="537" t="s">
        <v>23</v>
      </c>
      <c r="B37" s="537">
        <v>14</v>
      </c>
      <c r="C37" s="514"/>
      <c r="D37" s="515">
        <f t="shared" si="4"/>
        <v>59.9057609057609</v>
      </c>
      <c r="J37" s="87"/>
      <c r="K37" s="260"/>
      <c r="L37" s="262"/>
      <c r="M37" s="266"/>
      <c r="N37" s="266"/>
      <c r="O37" s="267"/>
    </row>
    <row r="38" spans="1:15">
      <c r="A38" s="565" t="s">
        <v>24</v>
      </c>
      <c r="B38" s="537">
        <v>15</v>
      </c>
      <c r="C38" s="523"/>
      <c r="D38" s="515">
        <f t="shared" si="4"/>
        <v>60.439227439227437</v>
      </c>
      <c r="J38" s="87"/>
      <c r="K38" s="260"/>
      <c r="L38" s="262"/>
      <c r="M38" s="266"/>
      <c r="N38" s="266"/>
      <c r="O38" s="267"/>
    </row>
    <row r="39" spans="1:15">
      <c r="A39" s="565"/>
      <c r="B39" s="537"/>
      <c r="C39" s="523"/>
      <c r="D39" s="537"/>
      <c r="J39" s="87"/>
      <c r="K39" s="260"/>
      <c r="L39" s="262"/>
      <c r="M39" s="266"/>
      <c r="N39" s="266"/>
      <c r="O39" s="267"/>
    </row>
    <row r="40" spans="1:15">
      <c r="B40" t="s">
        <v>108</v>
      </c>
      <c r="C40" s="86">
        <f>B48</f>
        <v>3.0987991351002143E-2</v>
      </c>
      <c r="J40" s="87"/>
      <c r="K40" s="260"/>
      <c r="L40" s="262"/>
      <c r="M40" s="266"/>
      <c r="N40" s="266"/>
      <c r="O40" s="267"/>
    </row>
    <row r="41" spans="1:15">
      <c r="B41" t="s">
        <v>63</v>
      </c>
      <c r="C41" s="8">
        <f>B60</f>
        <v>52.437229437229433</v>
      </c>
      <c r="J41" s="87"/>
      <c r="K41" s="260"/>
      <c r="L41" s="262"/>
      <c r="M41" s="266"/>
      <c r="N41" s="266"/>
      <c r="O41" s="267"/>
    </row>
    <row r="42" spans="1:15">
      <c r="B42" t="s">
        <v>151</v>
      </c>
      <c r="C42" s="8">
        <f>B61</f>
        <v>0.5334665334665335</v>
      </c>
      <c r="J42" s="87"/>
      <c r="K42" s="260"/>
      <c r="L42" s="262"/>
      <c r="M42" s="266"/>
      <c r="N42" s="266"/>
      <c r="O42" s="267"/>
    </row>
    <row r="43" spans="1:15">
      <c r="J43" s="87"/>
      <c r="K43" s="260"/>
      <c r="L43" s="262"/>
      <c r="M43" s="266"/>
      <c r="N43" s="266"/>
      <c r="O43" s="267"/>
    </row>
    <row r="44" spans="1:15">
      <c r="A44" t="s">
        <v>40</v>
      </c>
      <c r="J44" s="87"/>
      <c r="K44" s="260"/>
      <c r="L44" s="262"/>
      <c r="M44" s="266"/>
      <c r="N44" s="266"/>
      <c r="O44" s="267"/>
    </row>
    <row r="45" spans="1:15" ht="16" thickBot="1"/>
    <row r="46" spans="1:15">
      <c r="A46" s="105" t="s">
        <v>41</v>
      </c>
      <c r="B46" s="105"/>
    </row>
    <row r="47" spans="1:15">
      <c r="A47" s="87" t="s">
        <v>42</v>
      </c>
      <c r="B47" s="87">
        <v>0.17603406304179353</v>
      </c>
    </row>
    <row r="48" spans="1:15">
      <c r="A48" s="87" t="s">
        <v>43</v>
      </c>
      <c r="B48" s="87">
        <v>3.0987991351002143E-2</v>
      </c>
    </row>
    <row r="49" spans="1:12">
      <c r="A49" s="87" t="s">
        <v>44</v>
      </c>
      <c r="B49" s="87">
        <v>-6.5913209513897647E-2</v>
      </c>
    </row>
    <row r="50" spans="1:12">
      <c r="A50" s="87" t="s">
        <v>45</v>
      </c>
      <c r="B50" s="87">
        <v>11.280882217325061</v>
      </c>
    </row>
    <row r="51" spans="1:12" ht="16" thickBot="1">
      <c r="A51" s="88" t="s">
        <v>46</v>
      </c>
      <c r="B51" s="88">
        <v>12</v>
      </c>
    </row>
    <row r="53" spans="1:12" ht="16" thickBot="1">
      <c r="A53" t="s">
        <v>47</v>
      </c>
    </row>
    <row r="54" spans="1:12">
      <c r="A54" s="104"/>
      <c r="B54" s="104" t="s">
        <v>48</v>
      </c>
      <c r="C54" s="104" t="s">
        <v>49</v>
      </c>
      <c r="D54" s="104" t="s">
        <v>50</v>
      </c>
      <c r="E54" s="104" t="s">
        <v>51</v>
      </c>
      <c r="F54" s="104" t="s">
        <v>52</v>
      </c>
    </row>
    <row r="55" spans="1:12">
      <c r="A55" s="87" t="s">
        <v>53</v>
      </c>
      <c r="B55" s="87">
        <v>1</v>
      </c>
      <c r="C55" s="87">
        <v>40.695875553018141</v>
      </c>
      <c r="D55" s="87">
        <v>40.695875553018141</v>
      </c>
      <c r="E55" s="87">
        <v>0.31978954929780262</v>
      </c>
      <c r="F55" s="87">
        <v>0.58419833379773856</v>
      </c>
    </row>
    <row r="56" spans="1:12">
      <c r="A56" s="87" t="s">
        <v>54</v>
      </c>
      <c r="B56" s="87">
        <v>10</v>
      </c>
      <c r="C56" s="87">
        <v>1272.5830360116079</v>
      </c>
      <c r="D56" s="87">
        <v>127.25830360116079</v>
      </c>
      <c r="E56" s="87"/>
      <c r="F56" s="87"/>
    </row>
    <row r="57" spans="1:12" ht="16" thickBot="1">
      <c r="A57" s="88" t="s">
        <v>55</v>
      </c>
      <c r="B57" s="88">
        <v>11</v>
      </c>
      <c r="C57" s="88">
        <v>1313.278911564626</v>
      </c>
      <c r="D57" s="88"/>
      <c r="E57" s="88"/>
      <c r="F57" s="88"/>
    </row>
    <row r="58" spans="1:12" ht="16" thickBot="1"/>
    <row r="59" spans="1:12">
      <c r="A59" s="104"/>
      <c r="B59" s="104" t="s">
        <v>56</v>
      </c>
      <c r="C59" s="104" t="s">
        <v>45</v>
      </c>
      <c r="D59" s="104" t="s">
        <v>57</v>
      </c>
      <c r="E59" s="104" t="s">
        <v>58</v>
      </c>
      <c r="F59" s="104" t="s">
        <v>59</v>
      </c>
      <c r="G59" s="104" t="s">
        <v>60</v>
      </c>
      <c r="H59" s="104" t="s">
        <v>61</v>
      </c>
      <c r="I59" s="104" t="s">
        <v>62</v>
      </c>
      <c r="J59" s="238"/>
    </row>
    <row r="60" spans="1:12">
      <c r="A60" s="87" t="s">
        <v>63</v>
      </c>
      <c r="B60" s="87">
        <v>52.437229437229433</v>
      </c>
      <c r="C60" s="87">
        <v>6.9429030584639149</v>
      </c>
      <c r="D60" s="87">
        <v>7.5526374191995309</v>
      </c>
      <c r="E60" s="87">
        <v>1.9420880772046104E-5</v>
      </c>
      <c r="F60" s="87">
        <v>36.967477387091655</v>
      </c>
      <c r="G60" s="87">
        <v>67.906981487367219</v>
      </c>
      <c r="H60" s="87">
        <v>36.967477387091655</v>
      </c>
      <c r="I60" s="87">
        <v>67.906981487367219</v>
      </c>
      <c r="J60" s="87"/>
    </row>
    <row r="61" spans="1:12" ht="16" thickBot="1">
      <c r="A61" s="88" t="s">
        <v>64</v>
      </c>
      <c r="B61" s="88">
        <v>0.5334665334665335</v>
      </c>
      <c r="C61" s="88">
        <v>0.94335476200691559</v>
      </c>
      <c r="D61" s="88">
        <v>0.56549938045748982</v>
      </c>
      <c r="E61" s="88">
        <v>0.58419833379773733</v>
      </c>
      <c r="F61" s="88">
        <v>-1.5684588629673404</v>
      </c>
      <c r="G61" s="88">
        <v>2.6353919299004072</v>
      </c>
      <c r="H61" s="88">
        <v>-1.5684588629673404</v>
      </c>
      <c r="I61" s="88">
        <v>2.6353919299004072</v>
      </c>
      <c r="J61" s="87"/>
    </row>
    <row r="63" spans="1:12">
      <c r="L63" s="6"/>
    </row>
    <row r="64" spans="1:12">
      <c r="L64" s="136" t="s">
        <v>112</v>
      </c>
    </row>
    <row r="65" spans="1:13" ht="15" customHeight="1">
      <c r="A65" s="325" t="s">
        <v>179</v>
      </c>
      <c r="H65" s="254"/>
      <c r="J65" s="136" t="s">
        <v>113</v>
      </c>
      <c r="L65" s="136" t="s">
        <v>113</v>
      </c>
    </row>
    <row r="66" spans="1:13">
      <c r="B66" s="231" t="s">
        <v>177</v>
      </c>
      <c r="C66" s="231" t="s">
        <v>101</v>
      </c>
      <c r="D66" s="231" t="s">
        <v>102</v>
      </c>
      <c r="E66" s="231" t="s">
        <v>103</v>
      </c>
      <c r="F66" s="231" t="s">
        <v>104</v>
      </c>
      <c r="G66" s="231" t="s">
        <v>105</v>
      </c>
      <c r="H66" s="231" t="s">
        <v>178</v>
      </c>
      <c r="I66" s="7" t="s">
        <v>106</v>
      </c>
      <c r="J66" s="136" t="s">
        <v>114</v>
      </c>
      <c r="K66" s="136" t="s">
        <v>185</v>
      </c>
      <c r="L66" s="82" t="s">
        <v>185</v>
      </c>
    </row>
    <row r="67" spans="1:13">
      <c r="A67" s="632" t="s">
        <v>10</v>
      </c>
      <c r="B67" s="633">
        <v>42</v>
      </c>
      <c r="C67" s="633">
        <v>42</v>
      </c>
      <c r="D67" s="633">
        <v>40</v>
      </c>
      <c r="E67" s="633">
        <v>39</v>
      </c>
      <c r="F67" s="633">
        <v>37</v>
      </c>
      <c r="G67" s="633">
        <v>37</v>
      </c>
      <c r="H67" s="633">
        <v>45</v>
      </c>
      <c r="I67" s="638">
        <f>AVERAGE(D67:H67)</f>
        <v>39.6</v>
      </c>
      <c r="J67" s="635">
        <f>I67/I79</f>
        <v>0.69534679543459177</v>
      </c>
      <c r="K67" s="636">
        <f>D36</f>
        <v>59.37229437229437</v>
      </c>
      <c r="L67" s="637">
        <f>J67*K67</f>
        <v>41.284334629374136</v>
      </c>
      <c r="M67" s="634"/>
    </row>
    <row r="68" spans="1:13">
      <c r="A68" s="632" t="s">
        <v>23</v>
      </c>
      <c r="B68" s="633">
        <v>43</v>
      </c>
      <c r="C68" s="633">
        <v>45</v>
      </c>
      <c r="D68" s="633">
        <v>45</v>
      </c>
      <c r="E68" s="633">
        <v>48</v>
      </c>
      <c r="F68" s="633">
        <v>49</v>
      </c>
      <c r="G68" s="633">
        <v>44</v>
      </c>
      <c r="H68" s="633">
        <v>46</v>
      </c>
      <c r="I68" s="638">
        <f t="shared" ref="I68:I79" si="5">AVERAGE(D68:H68)</f>
        <v>46.4</v>
      </c>
      <c r="J68" s="635">
        <f>I68/I79</f>
        <v>0.81474978050921854</v>
      </c>
      <c r="K68" s="636">
        <f t="shared" ref="K68:K69" si="6">D37</f>
        <v>59.9057609057609</v>
      </c>
      <c r="L68" s="637">
        <f t="shared" ref="L68:L69" si="7">J68*K68</f>
        <v>48.80820554920642</v>
      </c>
      <c r="M68" s="634"/>
    </row>
    <row r="69" spans="1:13">
      <c r="A69" s="632" t="s">
        <v>24</v>
      </c>
      <c r="B69" s="633">
        <v>47</v>
      </c>
      <c r="C69" s="633">
        <v>49</v>
      </c>
      <c r="D69" s="633">
        <v>57</v>
      </c>
      <c r="E69" s="633">
        <v>60</v>
      </c>
      <c r="F69" s="633">
        <v>59</v>
      </c>
      <c r="G69" s="633">
        <v>46</v>
      </c>
      <c r="H69" s="633">
        <v>50</v>
      </c>
      <c r="I69" s="638">
        <f t="shared" si="5"/>
        <v>54.4</v>
      </c>
      <c r="J69" s="635">
        <f>I69/I79</f>
        <v>0.95522388059701491</v>
      </c>
      <c r="K69" s="636">
        <f t="shared" si="6"/>
        <v>60.439227439227437</v>
      </c>
      <c r="L69" s="637">
        <f t="shared" si="7"/>
        <v>57.732993374784414</v>
      </c>
      <c r="M69" s="634"/>
    </row>
    <row r="70" spans="1:13">
      <c r="A70" s="632" t="s">
        <v>14</v>
      </c>
      <c r="B70" s="633">
        <v>57</v>
      </c>
      <c r="C70" s="633">
        <v>55</v>
      </c>
      <c r="D70" s="633">
        <v>61</v>
      </c>
      <c r="E70" s="633">
        <v>59</v>
      </c>
      <c r="F70" s="633">
        <v>59</v>
      </c>
      <c r="G70" s="633">
        <v>65</v>
      </c>
      <c r="H70" s="633">
        <v>66</v>
      </c>
      <c r="I70" s="638">
        <f t="shared" si="5"/>
        <v>62</v>
      </c>
      <c r="J70" s="634"/>
      <c r="K70" s="634"/>
      <c r="L70" s="634"/>
      <c r="M70" s="634"/>
    </row>
    <row r="71" spans="1:13">
      <c r="A71" s="632" t="s">
        <v>15</v>
      </c>
      <c r="B71" s="633">
        <v>80</v>
      </c>
      <c r="C71" s="633">
        <v>72</v>
      </c>
      <c r="D71" s="633">
        <v>75</v>
      </c>
      <c r="E71" s="633">
        <v>67</v>
      </c>
      <c r="F71" s="633">
        <v>67</v>
      </c>
      <c r="G71" s="633">
        <v>63</v>
      </c>
      <c r="H71" s="633">
        <v>66</v>
      </c>
      <c r="I71" s="638">
        <f t="shared" si="5"/>
        <v>67.599999999999994</v>
      </c>
      <c r="J71" s="634"/>
      <c r="K71" s="634"/>
      <c r="L71" s="634"/>
      <c r="M71" s="634"/>
    </row>
    <row r="72" spans="1:13">
      <c r="A72" s="632" t="s">
        <v>16</v>
      </c>
      <c r="B72" s="633">
        <v>64</v>
      </c>
      <c r="C72" s="633">
        <v>62</v>
      </c>
      <c r="D72" s="633">
        <v>71</v>
      </c>
      <c r="E72" s="633">
        <v>83</v>
      </c>
      <c r="F72" s="633">
        <v>78</v>
      </c>
      <c r="G72" s="633">
        <v>69</v>
      </c>
      <c r="H72" s="633">
        <v>63</v>
      </c>
      <c r="I72" s="638">
        <f t="shared" si="5"/>
        <v>72.8</v>
      </c>
      <c r="J72" s="634"/>
      <c r="K72" s="634"/>
      <c r="L72" s="634"/>
      <c r="M72" s="634"/>
    </row>
    <row r="73" spans="1:13">
      <c r="A73" s="632" t="s">
        <v>4</v>
      </c>
      <c r="B73" s="633">
        <v>80</v>
      </c>
      <c r="C73" s="633">
        <v>62</v>
      </c>
      <c r="D73" s="633">
        <v>63</v>
      </c>
      <c r="E73" s="633">
        <v>64</v>
      </c>
      <c r="F73" s="633">
        <v>67</v>
      </c>
      <c r="G73" s="633">
        <v>81</v>
      </c>
      <c r="H73" s="633">
        <v>82</v>
      </c>
      <c r="I73" s="638">
        <f t="shared" si="5"/>
        <v>71.400000000000006</v>
      </c>
      <c r="J73" s="634"/>
      <c r="K73" s="634"/>
      <c r="L73" s="634"/>
      <c r="M73" s="634"/>
    </row>
    <row r="74" spans="1:13">
      <c r="A74" s="632" t="s">
        <v>5</v>
      </c>
      <c r="B74" s="633">
        <v>41</v>
      </c>
      <c r="C74" s="633">
        <v>55</v>
      </c>
      <c r="D74" s="633">
        <v>59</v>
      </c>
      <c r="E74" s="633">
        <v>63</v>
      </c>
      <c r="F74" s="633">
        <v>49</v>
      </c>
      <c r="G74" s="633">
        <v>46</v>
      </c>
      <c r="H74" s="633">
        <v>46</v>
      </c>
      <c r="I74" s="638">
        <f t="shared" si="5"/>
        <v>52.6</v>
      </c>
      <c r="J74" s="634"/>
      <c r="K74" s="634"/>
      <c r="L74" s="634"/>
      <c r="M74" s="634"/>
    </row>
    <row r="75" spans="1:13">
      <c r="A75" s="632" t="s">
        <v>6</v>
      </c>
      <c r="B75" s="633">
        <v>40</v>
      </c>
      <c r="C75" s="633">
        <v>44</v>
      </c>
      <c r="D75" s="633">
        <v>45</v>
      </c>
      <c r="E75" s="633">
        <v>51</v>
      </c>
      <c r="F75" s="633">
        <v>63</v>
      </c>
      <c r="G75" s="633">
        <v>55</v>
      </c>
      <c r="H75" s="633">
        <v>42</v>
      </c>
      <c r="I75" s="638">
        <f t="shared" si="5"/>
        <v>51.2</v>
      </c>
      <c r="J75" s="634"/>
      <c r="K75" s="634"/>
      <c r="L75" s="634"/>
      <c r="M75" s="634"/>
    </row>
    <row r="76" spans="1:13">
      <c r="A76" s="632" t="s">
        <v>7</v>
      </c>
      <c r="B76" s="633">
        <v>42</v>
      </c>
      <c r="C76" s="633">
        <v>44</v>
      </c>
      <c r="D76" s="633">
        <v>43</v>
      </c>
      <c r="E76" s="633">
        <v>39</v>
      </c>
      <c r="F76" s="633">
        <v>44</v>
      </c>
      <c r="G76" s="633">
        <v>39</v>
      </c>
      <c r="H76" s="633">
        <v>49</v>
      </c>
      <c r="I76" s="638">
        <f t="shared" si="5"/>
        <v>42.8</v>
      </c>
      <c r="J76" s="634"/>
      <c r="K76" s="634"/>
      <c r="L76" s="634"/>
      <c r="M76" s="634"/>
    </row>
    <row r="77" spans="1:13">
      <c r="A77" s="632" t="s">
        <v>8</v>
      </c>
      <c r="B77" s="633">
        <v>49</v>
      </c>
      <c r="C77" s="633">
        <v>52</v>
      </c>
      <c r="D77" s="633">
        <v>66</v>
      </c>
      <c r="E77" s="633">
        <v>60</v>
      </c>
      <c r="F77" s="633">
        <v>51</v>
      </c>
      <c r="G77" s="633">
        <v>55</v>
      </c>
      <c r="H77" s="633">
        <v>50</v>
      </c>
      <c r="I77" s="638">
        <f t="shared" si="5"/>
        <v>56.4</v>
      </c>
      <c r="J77" s="634"/>
      <c r="K77" s="634"/>
      <c r="L77" s="634"/>
      <c r="M77" s="634"/>
    </row>
    <row r="78" spans="1:13">
      <c r="A78" s="632" t="s">
        <v>9</v>
      </c>
      <c r="B78" s="633">
        <v>58</v>
      </c>
      <c r="C78" s="633">
        <v>54</v>
      </c>
      <c r="D78" s="633">
        <v>58</v>
      </c>
      <c r="E78" s="633">
        <v>61</v>
      </c>
      <c r="F78" s="633">
        <v>76</v>
      </c>
      <c r="G78" s="633">
        <v>73</v>
      </c>
      <c r="H78" s="633">
        <v>63</v>
      </c>
      <c r="I78" s="638">
        <f t="shared" si="5"/>
        <v>66.2</v>
      </c>
      <c r="J78" s="634"/>
      <c r="K78" s="634"/>
      <c r="L78" s="634"/>
      <c r="M78" s="634"/>
    </row>
    <row r="79" spans="1:13">
      <c r="A79" s="634" t="s">
        <v>115</v>
      </c>
      <c r="B79" s="39">
        <f t="shared" ref="B79:C79" si="8">SUM(B67:B78)/12</f>
        <v>53.583333333333336</v>
      </c>
      <c r="C79" s="39">
        <f t="shared" si="8"/>
        <v>53</v>
      </c>
      <c r="D79" s="39">
        <f>SUM(D67:D78)/12</f>
        <v>56.916666666666664</v>
      </c>
      <c r="E79" s="39">
        <f>SUM(E67:E78)/12</f>
        <v>57.833333333333336</v>
      </c>
      <c r="F79" s="39">
        <f>SUM(F67:F78)/12</f>
        <v>58.25</v>
      </c>
      <c r="G79" s="39">
        <f>SUM(G67:G78)/12</f>
        <v>56.083333333333336</v>
      </c>
      <c r="H79" s="39">
        <f>SUM(H67:H78)/12</f>
        <v>55.666666666666664</v>
      </c>
      <c r="I79" s="638">
        <f t="shared" si="5"/>
        <v>56.95</v>
      </c>
      <c r="J79" s="634"/>
      <c r="K79" s="634"/>
      <c r="L79" s="634"/>
      <c r="M79" s="634"/>
    </row>
    <row r="80" spans="1:13">
      <c r="A80" s="142" t="s">
        <v>116</v>
      </c>
      <c r="B80" s="639">
        <f t="shared" ref="B80:C80" si="9">B79/G79</f>
        <v>0.95542347696879648</v>
      </c>
      <c r="C80" s="639">
        <f t="shared" si="9"/>
        <v>0.9520958083832336</v>
      </c>
      <c r="D80" s="639">
        <f>D79/I79</f>
        <v>0.99941469124963411</v>
      </c>
      <c r="E80" s="639">
        <f>E79/I79</f>
        <v>1.0155106818846942</v>
      </c>
      <c r="F80" s="639">
        <f>F79/I79</f>
        <v>1.0228270412642668</v>
      </c>
      <c r="G80" s="639">
        <f>G79/I79</f>
        <v>0.98478197249048871</v>
      </c>
      <c r="H80" s="639">
        <f>H79/I79</f>
        <v>0.97746561311091595</v>
      </c>
    </row>
    <row r="82" spans="1:8">
      <c r="A82" s="326" t="s">
        <v>19</v>
      </c>
      <c r="B82" s="8"/>
      <c r="C82" s="8"/>
      <c r="D82" s="8"/>
      <c r="E82" s="8"/>
      <c r="F82" s="8"/>
      <c r="G82" s="8"/>
      <c r="H82" s="8"/>
    </row>
    <row r="83" spans="1:8">
      <c r="A83" s="8"/>
      <c r="B83" s="79" t="s">
        <v>177</v>
      </c>
      <c r="C83" s="79" t="s">
        <v>101</v>
      </c>
      <c r="D83" s="79" t="s">
        <v>102</v>
      </c>
      <c r="E83" s="79" t="s">
        <v>103</v>
      </c>
      <c r="F83" s="79" t="s">
        <v>104</v>
      </c>
      <c r="G83" s="79" t="s">
        <v>105</v>
      </c>
      <c r="H83" s="79" t="s">
        <v>178</v>
      </c>
    </row>
    <row r="84" spans="1:8">
      <c r="A84" s="229" t="s">
        <v>10</v>
      </c>
      <c r="B84" s="230">
        <f>$L$67*B80</f>
        <v>39.444022535939929</v>
      </c>
      <c r="C84" s="230">
        <f t="shared" ref="C84:H84" si="10">$L$67*C80</f>
        <v>39.306641952517893</v>
      </c>
      <c r="D84" s="230">
        <f t="shared" si="10"/>
        <v>41.260170547062529</v>
      </c>
      <c r="E84" s="230">
        <f t="shared" si="10"/>
        <v>41.924682810631623</v>
      </c>
      <c r="F84" s="230">
        <f t="shared" si="10"/>
        <v>42.226733839526659</v>
      </c>
      <c r="G84" s="230">
        <f t="shared" si="10"/>
        <v>40.65606848927245</v>
      </c>
      <c r="H84" s="230">
        <f t="shared" si="10"/>
        <v>40.354017460377406</v>
      </c>
    </row>
    <row r="85" spans="1:8">
      <c r="A85" s="229" t="s">
        <v>23</v>
      </c>
      <c r="B85" s="230">
        <f>$L$68*B80</f>
        <v>46.632505450430507</v>
      </c>
      <c r="C85" s="230">
        <f t="shared" ref="C85:H85" si="11">$L$68*C80</f>
        <v>46.470087918106714</v>
      </c>
      <c r="D85" s="230">
        <f t="shared" si="11"/>
        <v>48.779637679408815</v>
      </c>
      <c r="E85" s="230">
        <f t="shared" si="11"/>
        <v>49.565254098842928</v>
      </c>
      <c r="F85" s="230">
        <f t="shared" si="11"/>
        <v>49.922352471312969</v>
      </c>
      <c r="G85" s="230">
        <f t="shared" si="11"/>
        <v>48.065440934468718</v>
      </c>
      <c r="H85" s="230">
        <f t="shared" si="11"/>
        <v>47.708342561998663</v>
      </c>
    </row>
    <row r="86" spans="1:8">
      <c r="A86" s="229" t="s">
        <v>24</v>
      </c>
      <c r="B86" s="230">
        <f>$L$69*B80</f>
        <v>55.159457265953016</v>
      </c>
      <c r="C86" s="230">
        <f t="shared" ref="C86:H86" si="12">$L$69*C80</f>
        <v>54.967340997549236</v>
      </c>
      <c r="D86" s="230">
        <f t="shared" si="12"/>
        <v>57.699201748577337</v>
      </c>
      <c r="E86" s="230">
        <f t="shared" si="12"/>
        <v>58.628471469271851</v>
      </c>
      <c r="F86" s="230">
        <f t="shared" si="12"/>
        <v>59.050866796860262</v>
      </c>
      <c r="G86" s="230">
        <f t="shared" si="12"/>
        <v>56.854411093400515</v>
      </c>
      <c r="H86" s="230">
        <f t="shared" si="12"/>
        <v>56.432015765812096</v>
      </c>
    </row>
    <row r="87" spans="1:8">
      <c r="A87" s="8"/>
      <c r="B87" s="8"/>
      <c r="C87" s="8"/>
      <c r="D87" s="8"/>
      <c r="E87" s="8"/>
      <c r="F87" s="8"/>
      <c r="G87" s="8"/>
      <c r="H87" s="8"/>
    </row>
    <row r="88" spans="1:8">
      <c r="A88" s="8"/>
      <c r="B88" s="8"/>
      <c r="C88" s="8"/>
      <c r="D88" s="8"/>
      <c r="E88" s="8"/>
      <c r="F88" s="8"/>
      <c r="G88" s="8"/>
      <c r="H88" s="8"/>
    </row>
  </sheetData>
  <mergeCells count="6">
    <mergeCell ref="H21:L28"/>
    <mergeCell ref="O4:R4"/>
    <mergeCell ref="O5:Q5"/>
    <mergeCell ref="O6:Q6"/>
    <mergeCell ref="O11:Q11"/>
    <mergeCell ref="O12:Q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"/>
  <sheetViews>
    <sheetView workbookViewId="0">
      <selection activeCell="E10" sqref="E10"/>
    </sheetView>
  </sheetViews>
  <sheetFormatPr baseColWidth="10" defaultColWidth="8.83203125" defaultRowHeight="15"/>
  <cols>
    <col min="1" max="1" width="12.1640625" customWidth="1"/>
    <col min="6" max="6" width="12.5" customWidth="1"/>
    <col min="15" max="15" width="9.1640625" customWidth="1"/>
  </cols>
  <sheetData>
    <row r="1" spans="1:15">
      <c r="A1" s="1" t="s">
        <v>210</v>
      </c>
      <c r="J1" s="6" t="s">
        <v>118</v>
      </c>
    </row>
    <row r="2" spans="1:15" ht="16" thickBot="1">
      <c r="K2" s="6" t="s">
        <v>3</v>
      </c>
    </row>
    <row r="3" spans="1:15">
      <c r="A3" s="1" t="s">
        <v>0</v>
      </c>
      <c r="B3" s="1" t="s">
        <v>1</v>
      </c>
      <c r="C3" s="2" t="s">
        <v>2</v>
      </c>
      <c r="D3" s="2" t="s">
        <v>3</v>
      </c>
      <c r="E3" s="2" t="s">
        <v>17</v>
      </c>
      <c r="F3" s="2" t="s">
        <v>18</v>
      </c>
      <c r="K3" s="657" t="s">
        <v>119</v>
      </c>
      <c r="L3" s="658"/>
      <c r="M3" s="658"/>
      <c r="N3" s="658"/>
      <c r="O3" s="175"/>
    </row>
    <row r="4" spans="1:15" ht="16" thickBot="1">
      <c r="A4" s="5" t="s">
        <v>14</v>
      </c>
      <c r="B4" s="5">
        <v>301</v>
      </c>
      <c r="F4" s="324">
        <v>301</v>
      </c>
      <c r="K4" s="176"/>
      <c r="L4" s="177"/>
      <c r="M4" s="177"/>
      <c r="N4" s="177"/>
      <c r="O4" s="178"/>
    </row>
    <row r="5" spans="1:15" ht="16" thickBot="1">
      <c r="A5" s="5" t="s">
        <v>15</v>
      </c>
      <c r="B5" s="5">
        <v>438</v>
      </c>
      <c r="C5">
        <v>301</v>
      </c>
      <c r="F5" s="160">
        <v>438</v>
      </c>
      <c r="K5" s="659" t="s">
        <v>120</v>
      </c>
      <c r="L5" s="660"/>
      <c r="M5" s="660"/>
      <c r="N5" s="161">
        <v>4</v>
      </c>
      <c r="O5" s="178"/>
    </row>
    <row r="6" spans="1:15" ht="16" thickBot="1">
      <c r="A6" s="5" t="s">
        <v>16</v>
      </c>
      <c r="B6" s="5">
        <v>415</v>
      </c>
      <c r="C6">
        <v>438</v>
      </c>
      <c r="F6" s="160">
        <v>415</v>
      </c>
      <c r="K6" s="176"/>
      <c r="L6" s="177"/>
      <c r="M6" s="177"/>
      <c r="N6" s="177"/>
      <c r="O6" s="178"/>
    </row>
    <row r="7" spans="1:15">
      <c r="A7" s="5" t="s">
        <v>4</v>
      </c>
      <c r="B7" s="5">
        <v>552</v>
      </c>
      <c r="C7">
        <v>415</v>
      </c>
      <c r="D7" s="3"/>
      <c r="F7" s="160">
        <v>552</v>
      </c>
      <c r="K7" s="179" t="s">
        <v>121</v>
      </c>
      <c r="L7" s="162">
        <v>134.375</v>
      </c>
      <c r="M7" s="180"/>
      <c r="N7" s="181"/>
      <c r="O7" s="178"/>
    </row>
    <row r="8" spans="1:15" ht="16" thickBot="1">
      <c r="A8" s="5" t="s">
        <v>5</v>
      </c>
      <c r="B8" s="5">
        <v>654</v>
      </c>
      <c r="C8">
        <v>552</v>
      </c>
      <c r="D8" s="3">
        <f>AVERAGE(B4:B7)</f>
        <v>426.5</v>
      </c>
      <c r="E8" s="3"/>
      <c r="F8" s="160">
        <v>654</v>
      </c>
      <c r="K8" s="179" t="s">
        <v>122</v>
      </c>
      <c r="L8" s="163">
        <v>0.22210743801652894</v>
      </c>
      <c r="M8" s="180"/>
      <c r="N8" s="181"/>
      <c r="O8" s="178"/>
    </row>
    <row r="9" spans="1:15" ht="16" thickBot="1">
      <c r="A9" s="5" t="s">
        <v>6</v>
      </c>
      <c r="B9" s="5">
        <v>556</v>
      </c>
      <c r="C9">
        <v>654</v>
      </c>
      <c r="D9" s="3">
        <f>AVERAGE(B5:B8)</f>
        <v>514.75</v>
      </c>
      <c r="E9" s="3">
        <f>AVERAGE(B4:B8)</f>
        <v>472</v>
      </c>
      <c r="F9" s="160">
        <v>556</v>
      </c>
      <c r="K9" s="176"/>
      <c r="L9" s="177"/>
      <c r="M9" s="177"/>
      <c r="N9" s="177"/>
      <c r="O9" s="178"/>
    </row>
    <row r="10" spans="1:15" ht="30" thickBot="1">
      <c r="A10" s="1" t="s">
        <v>7</v>
      </c>
      <c r="C10" s="322">
        <f>B9</f>
        <v>556</v>
      </c>
      <c r="D10" s="323">
        <f>AVERAGE(B6:B9)</f>
        <v>544.25</v>
      </c>
      <c r="E10" s="323">
        <f>AVERAGE(B5:B9)</f>
        <v>523</v>
      </c>
      <c r="K10" s="164" t="s">
        <v>39</v>
      </c>
      <c r="L10" s="164" t="s">
        <v>38</v>
      </c>
      <c r="M10" s="164" t="s">
        <v>185</v>
      </c>
      <c r="N10" s="164" t="s">
        <v>37</v>
      </c>
      <c r="O10" s="165" t="s">
        <v>123</v>
      </c>
    </row>
    <row r="11" spans="1:15">
      <c r="C11" s="8"/>
      <c r="D11" s="293"/>
      <c r="E11" s="293"/>
      <c r="K11" s="166">
        <v>1</v>
      </c>
      <c r="L11" s="167">
        <v>301</v>
      </c>
      <c r="M11" s="168" t="s">
        <v>124</v>
      </c>
      <c r="N11" s="169" t="s">
        <v>124</v>
      </c>
      <c r="O11" s="170" t="s">
        <v>124</v>
      </c>
    </row>
    <row r="12" spans="1:15">
      <c r="K12" s="171">
        <v>2</v>
      </c>
      <c r="L12" s="167">
        <v>438</v>
      </c>
      <c r="M12" s="172" t="s">
        <v>124</v>
      </c>
      <c r="N12" s="173" t="s">
        <v>124</v>
      </c>
      <c r="O12" s="174" t="s">
        <v>124</v>
      </c>
    </row>
    <row r="13" spans="1:15">
      <c r="A13" s="326" t="s">
        <v>11</v>
      </c>
      <c r="B13" s="4">
        <f>B9</f>
        <v>556</v>
      </c>
      <c r="C13" s="4"/>
      <c r="D13" s="6" t="s">
        <v>295</v>
      </c>
      <c r="K13" s="171">
        <v>3</v>
      </c>
      <c r="L13" s="167">
        <v>415</v>
      </c>
      <c r="M13" s="172" t="s">
        <v>124</v>
      </c>
      <c r="N13" s="173" t="s">
        <v>124</v>
      </c>
      <c r="O13" s="174" t="s">
        <v>124</v>
      </c>
    </row>
    <row r="14" spans="1:15">
      <c r="A14" s="326"/>
      <c r="B14" s="2"/>
      <c r="C14" s="2"/>
      <c r="D14" s="6"/>
      <c r="K14" s="171">
        <v>4</v>
      </c>
      <c r="L14" s="167">
        <v>552</v>
      </c>
      <c r="M14" s="172" t="s">
        <v>124</v>
      </c>
      <c r="N14" s="173" t="s">
        <v>124</v>
      </c>
      <c r="O14" s="174" t="s">
        <v>124</v>
      </c>
    </row>
    <row r="15" spans="1:15">
      <c r="A15" s="326" t="s">
        <v>12</v>
      </c>
      <c r="B15" s="4">
        <f>D10</f>
        <v>544.25</v>
      </c>
      <c r="C15" s="2"/>
      <c r="D15" s="6" t="s">
        <v>296</v>
      </c>
      <c r="K15" s="171">
        <v>5</v>
      </c>
      <c r="L15" s="167">
        <v>654</v>
      </c>
      <c r="M15" s="172">
        <v>426.5</v>
      </c>
      <c r="N15" s="173">
        <v>227.5</v>
      </c>
      <c r="O15" s="174">
        <v>1</v>
      </c>
    </row>
    <row r="16" spans="1:15">
      <c r="A16" s="326"/>
      <c r="B16" s="2"/>
      <c r="C16" s="2"/>
      <c r="D16" s="6"/>
      <c r="K16" s="171">
        <v>6</v>
      </c>
      <c r="L16" s="167">
        <v>556</v>
      </c>
      <c r="M16" s="172">
        <v>514.75</v>
      </c>
      <c r="N16" s="173">
        <v>41.25</v>
      </c>
      <c r="O16" s="174">
        <v>2</v>
      </c>
    </row>
    <row r="17" spans="1:15" ht="16" thickBot="1">
      <c r="A17" s="326" t="s">
        <v>13</v>
      </c>
      <c r="B17" s="4">
        <f>E10</f>
        <v>523</v>
      </c>
      <c r="C17" s="4"/>
      <c r="D17" s="6" t="s">
        <v>297</v>
      </c>
      <c r="K17" s="182">
        <v>7</v>
      </c>
      <c r="L17" s="183"/>
      <c r="M17" s="184">
        <v>544.25</v>
      </c>
      <c r="N17" s="185" t="s">
        <v>124</v>
      </c>
      <c r="O17" s="186" t="s">
        <v>124</v>
      </c>
    </row>
    <row r="18" spans="1:15">
      <c r="A18" s="326"/>
      <c r="B18" s="4"/>
      <c r="C18" s="4"/>
      <c r="D18" s="6"/>
    </row>
    <row r="19" spans="1:15" ht="16" thickBot="1">
      <c r="A19" s="326" t="s">
        <v>19</v>
      </c>
      <c r="B19" s="7">
        <f>F4</f>
        <v>301</v>
      </c>
      <c r="D19" s="6" t="s">
        <v>298</v>
      </c>
      <c r="K19" s="6" t="s">
        <v>17</v>
      </c>
    </row>
    <row r="20" spans="1:1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657" t="s">
        <v>119</v>
      </c>
      <c r="L20" s="658"/>
      <c r="M20" s="658"/>
      <c r="N20" s="658"/>
      <c r="O20" s="175"/>
    </row>
    <row r="21" spans="1:15" ht="16" thickBot="1">
      <c r="A21" s="654"/>
      <c r="B21" s="654"/>
      <c r="C21" s="654"/>
      <c r="D21" s="654"/>
      <c r="E21" s="12"/>
      <c r="F21" s="11"/>
      <c r="G21" s="654"/>
      <c r="H21" s="654"/>
      <c r="I21" s="654"/>
      <c r="J21" s="655"/>
      <c r="K21" s="176"/>
      <c r="L21" s="177"/>
      <c r="M21" s="177"/>
      <c r="N21" s="177"/>
      <c r="O21" s="178"/>
    </row>
    <row r="22" spans="1:15" ht="16" thickBot="1">
      <c r="A22" s="12"/>
      <c r="B22" s="12"/>
      <c r="C22" s="12"/>
      <c r="D22" s="12"/>
      <c r="E22" s="12"/>
      <c r="F22" s="11"/>
      <c r="G22" s="12"/>
      <c r="H22" s="12"/>
      <c r="I22" s="12"/>
      <c r="J22" s="12"/>
      <c r="K22" s="659" t="s">
        <v>120</v>
      </c>
      <c r="L22" s="660"/>
      <c r="M22" s="660"/>
      <c r="N22" s="161">
        <v>5</v>
      </c>
      <c r="O22" s="178"/>
    </row>
    <row r="23" spans="1:15" ht="16" thickBot="1">
      <c r="A23" s="656"/>
      <c r="B23" s="656"/>
      <c r="C23" s="656"/>
      <c r="D23" s="13"/>
      <c r="E23" s="12"/>
      <c r="F23" s="11"/>
      <c r="G23" s="656"/>
      <c r="H23" s="656"/>
      <c r="I23" s="656"/>
      <c r="J23" s="13"/>
      <c r="K23" s="176"/>
      <c r="L23" s="177"/>
      <c r="M23" s="177"/>
      <c r="N23" s="177"/>
      <c r="O23" s="178"/>
    </row>
    <row r="24" spans="1:15">
      <c r="A24" s="12"/>
      <c r="B24" s="12"/>
      <c r="C24" s="12"/>
      <c r="D24" s="12"/>
      <c r="E24" s="12"/>
      <c r="F24" s="11"/>
      <c r="G24" s="12"/>
      <c r="H24" s="12"/>
      <c r="I24" s="12"/>
      <c r="J24" s="12"/>
      <c r="K24" s="179" t="s">
        <v>121</v>
      </c>
      <c r="L24" s="162">
        <v>84</v>
      </c>
      <c r="M24" s="180"/>
      <c r="N24" s="181"/>
      <c r="O24" s="178"/>
    </row>
    <row r="25" spans="1:15" ht="16" thickBot="1">
      <c r="A25" s="14"/>
      <c r="B25" s="15"/>
      <c r="C25" s="16"/>
      <c r="D25" s="17"/>
      <c r="E25" s="12"/>
      <c r="F25" s="11"/>
      <c r="G25" s="14"/>
      <c r="H25" s="15"/>
      <c r="I25" s="16"/>
      <c r="J25" s="17"/>
      <c r="K25" s="179" t="s">
        <v>122</v>
      </c>
      <c r="L25" s="163">
        <v>0.15107913669064749</v>
      </c>
      <c r="M25" s="180"/>
      <c r="N25" s="181"/>
      <c r="O25" s="178"/>
    </row>
    <row r="26" spans="1:15" ht="16" thickBot="1">
      <c r="A26" s="14"/>
      <c r="B26" s="18"/>
      <c r="C26" s="16"/>
      <c r="D26" s="17"/>
      <c r="E26" s="12"/>
      <c r="F26" s="11"/>
      <c r="G26" s="14"/>
      <c r="H26" s="18"/>
      <c r="I26" s="16"/>
      <c r="J26" s="17"/>
      <c r="K26" s="176"/>
      <c r="L26" s="177"/>
      <c r="M26" s="177"/>
      <c r="N26" s="177"/>
      <c r="O26" s="178"/>
    </row>
    <row r="27" spans="1:15" ht="30" thickBot="1">
      <c r="A27" s="12"/>
      <c r="B27" s="12"/>
      <c r="C27" s="12"/>
      <c r="D27" s="12"/>
      <c r="E27" s="12"/>
      <c r="F27" s="11"/>
      <c r="G27" s="12"/>
      <c r="H27" s="12"/>
      <c r="I27" s="12"/>
      <c r="J27" s="12"/>
      <c r="K27" s="164" t="s">
        <v>39</v>
      </c>
      <c r="L27" s="164" t="s">
        <v>38</v>
      </c>
      <c r="M27" s="164" t="s">
        <v>185</v>
      </c>
      <c r="N27" s="164" t="s">
        <v>37</v>
      </c>
      <c r="O27" s="165" t="s">
        <v>123</v>
      </c>
    </row>
    <row r="28" spans="1:15">
      <c r="A28" s="19"/>
      <c r="B28" s="19"/>
      <c r="C28" s="19"/>
      <c r="D28" s="19"/>
      <c r="E28" s="20"/>
      <c r="F28" s="11"/>
      <c r="G28" s="19"/>
      <c r="H28" s="19"/>
      <c r="I28" s="19"/>
      <c r="J28" s="19"/>
      <c r="K28" s="166">
        <v>1</v>
      </c>
      <c r="L28" s="167">
        <v>301</v>
      </c>
      <c r="M28" s="168" t="s">
        <v>124</v>
      </c>
      <c r="N28" s="169" t="s">
        <v>124</v>
      </c>
      <c r="O28" s="170" t="s">
        <v>124</v>
      </c>
    </row>
    <row r="29" spans="1:15">
      <c r="A29" s="19"/>
      <c r="B29" s="21"/>
      <c r="C29" s="22"/>
      <c r="D29" s="22"/>
      <c r="E29" s="22"/>
      <c r="F29" s="11"/>
      <c r="G29" s="19"/>
      <c r="H29" s="9"/>
      <c r="I29" s="22"/>
      <c r="J29" s="22"/>
      <c r="K29" s="171">
        <v>2</v>
      </c>
      <c r="L29" s="167">
        <v>438</v>
      </c>
      <c r="M29" s="172" t="s">
        <v>124</v>
      </c>
      <c r="N29" s="173" t="s">
        <v>124</v>
      </c>
      <c r="O29" s="174" t="s">
        <v>124</v>
      </c>
    </row>
    <row r="30" spans="1:15">
      <c r="A30" s="19"/>
      <c r="B30" s="21"/>
      <c r="C30" s="22"/>
      <c r="D30" s="22"/>
      <c r="E30" s="22"/>
      <c r="F30" s="11"/>
      <c r="G30" s="19"/>
      <c r="H30" s="9"/>
      <c r="I30" s="22"/>
      <c r="J30" s="22"/>
      <c r="K30" s="171">
        <v>3</v>
      </c>
      <c r="L30" s="167">
        <v>415</v>
      </c>
      <c r="M30" s="172" t="s">
        <v>124</v>
      </c>
      <c r="N30" s="173" t="s">
        <v>124</v>
      </c>
      <c r="O30" s="174" t="s">
        <v>124</v>
      </c>
    </row>
    <row r="31" spans="1:15">
      <c r="A31" s="19"/>
      <c r="B31" s="21"/>
      <c r="C31" s="22"/>
      <c r="D31" s="22"/>
      <c r="E31" s="22"/>
      <c r="F31" s="11"/>
      <c r="G31" s="19"/>
      <c r="H31" s="9"/>
      <c r="I31" s="22"/>
      <c r="J31" s="22"/>
      <c r="K31" s="171">
        <v>4</v>
      </c>
      <c r="L31" s="167">
        <v>552</v>
      </c>
      <c r="M31" s="172" t="s">
        <v>124</v>
      </c>
      <c r="N31" s="173" t="s">
        <v>124</v>
      </c>
      <c r="O31" s="174" t="s">
        <v>124</v>
      </c>
    </row>
    <row r="32" spans="1:15">
      <c r="A32" s="19"/>
      <c r="B32" s="21"/>
      <c r="C32" s="22"/>
      <c r="D32" s="22"/>
      <c r="E32" s="22"/>
      <c r="F32" s="11"/>
      <c r="G32" s="19"/>
      <c r="H32" s="9"/>
      <c r="I32" s="22"/>
      <c r="J32" s="22"/>
      <c r="K32" s="171">
        <v>5</v>
      </c>
      <c r="L32" s="167">
        <v>654</v>
      </c>
      <c r="M32" s="172" t="s">
        <v>124</v>
      </c>
      <c r="N32" s="173" t="s">
        <v>124</v>
      </c>
      <c r="O32" s="174" t="s">
        <v>124</v>
      </c>
    </row>
    <row r="33" spans="1:15">
      <c r="A33" s="19"/>
      <c r="B33" s="21"/>
      <c r="C33" s="22"/>
      <c r="D33" s="22"/>
      <c r="E33" s="22"/>
      <c r="F33" s="11"/>
      <c r="G33" s="19"/>
      <c r="H33" s="9"/>
      <c r="I33" s="22"/>
      <c r="J33" s="22"/>
      <c r="K33" s="171">
        <v>6</v>
      </c>
      <c r="L33" s="167">
        <v>556</v>
      </c>
      <c r="M33" s="172">
        <v>472</v>
      </c>
      <c r="N33" s="173">
        <v>84</v>
      </c>
      <c r="O33" s="174">
        <v>1</v>
      </c>
    </row>
    <row r="34" spans="1:15" ht="16" thickBot="1">
      <c r="A34" s="19"/>
      <c r="B34" s="21"/>
      <c r="C34" s="22"/>
      <c r="D34" s="22"/>
      <c r="E34" s="22"/>
      <c r="F34" s="11"/>
      <c r="G34" s="19"/>
      <c r="H34" s="9"/>
      <c r="I34" s="22"/>
      <c r="J34" s="22"/>
      <c r="K34" s="182">
        <v>7</v>
      </c>
      <c r="L34" s="183"/>
      <c r="M34" s="184">
        <v>523</v>
      </c>
      <c r="N34" s="185" t="s">
        <v>124</v>
      </c>
      <c r="O34" s="186" t="s">
        <v>124</v>
      </c>
    </row>
    <row r="35" spans="1:15">
      <c r="A35" s="19"/>
      <c r="B35" s="23"/>
      <c r="C35" s="22"/>
      <c r="D35" s="22"/>
      <c r="E35" s="22"/>
      <c r="F35" s="11"/>
      <c r="G35" s="19"/>
      <c r="H35" s="23"/>
      <c r="I35" s="22"/>
      <c r="J35" s="22"/>
      <c r="K35" s="22"/>
      <c r="L35" s="11"/>
    </row>
    <row r="36" spans="1: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</row>
  </sheetData>
  <mergeCells count="8">
    <mergeCell ref="A21:D21"/>
    <mergeCell ref="G21:J21"/>
    <mergeCell ref="A23:C23"/>
    <mergeCell ref="G23:I23"/>
    <mergeCell ref="K3:N3"/>
    <mergeCell ref="K5:M5"/>
    <mergeCell ref="K20:N20"/>
    <mergeCell ref="K22:M2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Z44"/>
  <sheetViews>
    <sheetView topLeftCell="M1" workbookViewId="0">
      <selection activeCell="X13" sqref="X13"/>
    </sheetView>
  </sheetViews>
  <sheetFormatPr baseColWidth="10" defaultColWidth="8.83203125" defaultRowHeight="15"/>
  <cols>
    <col min="3" max="3" width="10.5" customWidth="1"/>
    <col min="11" max="11" width="19.83203125" customWidth="1"/>
  </cols>
  <sheetData>
    <row r="1" spans="1:26">
      <c r="A1" s="6" t="s">
        <v>292</v>
      </c>
      <c r="V1" s="6" t="s">
        <v>186</v>
      </c>
    </row>
    <row r="3" spans="1:26" ht="30" thickBot="1">
      <c r="A3" s="268" t="s">
        <v>26</v>
      </c>
      <c r="B3" s="269" t="s">
        <v>117</v>
      </c>
      <c r="C3" s="269" t="s">
        <v>185</v>
      </c>
      <c r="D3" s="269" t="s">
        <v>37</v>
      </c>
      <c r="E3" s="78" t="s">
        <v>162</v>
      </c>
      <c r="F3" s="78" t="s">
        <v>107</v>
      </c>
      <c r="G3" s="78" t="s">
        <v>123</v>
      </c>
      <c r="V3" s="706" t="s">
        <v>144</v>
      </c>
      <c r="W3" s="706"/>
      <c r="X3" s="706"/>
      <c r="Y3" s="706"/>
      <c r="Z3" s="225"/>
    </row>
    <row r="4" spans="1:26" ht="16" thickBot="1">
      <c r="A4" s="5">
        <v>1</v>
      </c>
      <c r="B4" s="5">
        <v>223</v>
      </c>
      <c r="C4" s="272">
        <f>$B$24+$B$25*A4</f>
        <v>217.12727272727273</v>
      </c>
      <c r="D4" s="272">
        <f>B4-C4</f>
        <v>5.8727272727272748</v>
      </c>
      <c r="E4">
        <f>ABS(D4)</f>
        <v>5.8727272727272748</v>
      </c>
      <c r="F4">
        <f>SUM($E$4:E4)/COUNT($E$4:E4)</f>
        <v>5.8727272727272748</v>
      </c>
      <c r="G4">
        <f>SUM($D$4:D4)/F4</f>
        <v>1</v>
      </c>
      <c r="J4" s="325" t="s">
        <v>27</v>
      </c>
      <c r="K4" s="253" t="s">
        <v>288</v>
      </c>
      <c r="L4" s="253"/>
      <c r="M4" s="8"/>
      <c r="N4" s="8"/>
      <c r="O4" s="8"/>
      <c r="V4" s="707" t="s">
        <v>145</v>
      </c>
      <c r="W4" s="707"/>
      <c r="X4" s="690"/>
      <c r="Y4" s="206">
        <v>18.793939393939393</v>
      </c>
      <c r="Z4" s="225"/>
    </row>
    <row r="5" spans="1:26" ht="16" thickBot="1">
      <c r="A5" s="5">
        <v>2</v>
      </c>
      <c r="B5" s="5">
        <v>228</v>
      </c>
      <c r="C5" s="272">
        <f t="shared" ref="C5:C18" si="0">$B$24+$B$25*A5</f>
        <v>235.92121212121211</v>
      </c>
      <c r="D5" s="272">
        <f t="shared" ref="D5:D13" si="1">B5-C5</f>
        <v>-7.9212121212121076</v>
      </c>
      <c r="E5">
        <f t="shared" ref="E5:E13" si="2">ABS(D5)</f>
        <v>7.9212121212121076</v>
      </c>
      <c r="F5">
        <f>SUM($E$4:E5)/COUNT($E$4:E5)</f>
        <v>6.8969696969696912</v>
      </c>
      <c r="G5">
        <f>SUM($D$4:D5)/F5</f>
        <v>-0.29701230228470799</v>
      </c>
      <c r="J5" s="626"/>
      <c r="K5" s="253"/>
      <c r="L5" s="253"/>
      <c r="M5" s="8"/>
      <c r="N5" s="8"/>
      <c r="O5" s="8"/>
      <c r="V5" s="707" t="s">
        <v>146</v>
      </c>
      <c r="W5" s="707"/>
      <c r="X5" s="690"/>
      <c r="Y5" s="206">
        <v>198.33333333333331</v>
      </c>
      <c r="Z5" s="225"/>
    </row>
    <row r="6" spans="1:26" ht="16" thickBot="1">
      <c r="A6" s="5">
        <v>3</v>
      </c>
      <c r="B6" s="5">
        <v>262</v>
      </c>
      <c r="C6" s="272">
        <f t="shared" si="0"/>
        <v>254.71515151515149</v>
      </c>
      <c r="D6" s="272">
        <f t="shared" si="1"/>
        <v>7.28484848484851</v>
      </c>
      <c r="E6">
        <f t="shared" si="2"/>
        <v>7.28484848484851</v>
      </c>
      <c r="F6">
        <f>SUM($E$4:E6)/COUNT($E$4:E6)</f>
        <v>7.0262626262626311</v>
      </c>
      <c r="G6">
        <f>SUM($D$4:D6)/F6</f>
        <v>0.74525589419206972</v>
      </c>
      <c r="J6" s="325" t="s">
        <v>20</v>
      </c>
      <c r="K6" s="253" t="s">
        <v>107</v>
      </c>
      <c r="L6" s="253">
        <f>E20/COUNT(E4:E13)</f>
        <v>6.3793939393939327</v>
      </c>
      <c r="M6" s="8"/>
      <c r="N6" s="8"/>
      <c r="O6" s="8"/>
      <c r="V6" s="225"/>
      <c r="W6" s="225"/>
      <c r="X6" s="225"/>
      <c r="Y6" s="225"/>
      <c r="Z6" s="225"/>
    </row>
    <row r="7" spans="1:26" ht="16">
      <c r="A7" s="5">
        <v>4</v>
      </c>
      <c r="B7" s="5">
        <v>270</v>
      </c>
      <c r="C7" s="272">
        <f t="shared" si="0"/>
        <v>273.5090909090909</v>
      </c>
      <c r="D7" s="272">
        <f t="shared" si="1"/>
        <v>-3.5090909090909008</v>
      </c>
      <c r="E7">
        <f t="shared" si="2"/>
        <v>3.5090909090909008</v>
      </c>
      <c r="F7">
        <f>SUM($E$4:E7)/COUNT($E$4:E7)</f>
        <v>6.1469696969696983</v>
      </c>
      <c r="G7">
        <f>SUM($D$4:D7)/F7</f>
        <v>0.28099580971161747</v>
      </c>
      <c r="J7" s="626"/>
      <c r="K7" s="253" t="s">
        <v>111</v>
      </c>
      <c r="L7" s="640">
        <f>E20/B20</f>
        <v>2.1144825785196993E-2</v>
      </c>
      <c r="M7" s="8"/>
      <c r="N7" s="8"/>
      <c r="O7" s="8"/>
      <c r="V7" s="226" t="s">
        <v>121</v>
      </c>
      <c r="W7" s="162">
        <v>6.3793939393939469</v>
      </c>
      <c r="X7" s="227" t="s">
        <v>147</v>
      </c>
      <c r="Y7" s="207">
        <v>0.97890033392467191</v>
      </c>
      <c r="Z7" s="225"/>
    </row>
    <row r="8" spans="1:26" ht="16" thickBot="1">
      <c r="A8" s="5">
        <v>5</v>
      </c>
      <c r="B8" s="5">
        <v>290</v>
      </c>
      <c r="C8" s="272">
        <f t="shared" si="0"/>
        <v>292.30303030303031</v>
      </c>
      <c r="D8" s="272">
        <f t="shared" si="1"/>
        <v>-2.3030303030303116</v>
      </c>
      <c r="E8">
        <f t="shared" si="2"/>
        <v>2.3030303030303116</v>
      </c>
      <c r="F8">
        <f>SUM($E$4:E8)/COUNT($E$4:E8)</f>
        <v>5.3781818181818206</v>
      </c>
      <c r="G8">
        <f>SUM($D$4:D8)/F8</f>
        <v>-0.1070543159792577</v>
      </c>
      <c r="J8" s="626"/>
      <c r="V8" s="226" t="s">
        <v>122</v>
      </c>
      <c r="W8" s="163">
        <v>2.1144825785197038E-2</v>
      </c>
      <c r="X8" s="227" t="s">
        <v>148</v>
      </c>
      <c r="Y8" s="208">
        <v>0.97517918096723966</v>
      </c>
      <c r="Z8" s="225"/>
    </row>
    <row r="9" spans="1:26" ht="16" thickBot="1">
      <c r="A9" s="5">
        <v>6</v>
      </c>
      <c r="B9" s="5">
        <v>319</v>
      </c>
      <c r="C9" s="272">
        <f t="shared" si="0"/>
        <v>311.09696969696972</v>
      </c>
      <c r="D9" s="272">
        <f t="shared" si="1"/>
        <v>7.9030303030302775</v>
      </c>
      <c r="E9">
        <f t="shared" si="2"/>
        <v>7.9030303030302775</v>
      </c>
      <c r="F9">
        <f>SUM($E$4:E9)/COUNT($E$4:E9)</f>
        <v>5.7989898989898974</v>
      </c>
      <c r="G9">
        <f>SUM($D$4:D9)/F9</f>
        <v>1.2635429367706004</v>
      </c>
      <c r="J9" s="325" t="s">
        <v>21</v>
      </c>
      <c r="V9" s="226"/>
      <c r="W9" s="209"/>
      <c r="X9" s="227"/>
      <c r="Y9" s="210"/>
      <c r="Z9" s="225"/>
    </row>
    <row r="10" spans="1:26" ht="16" thickBot="1">
      <c r="A10" s="5">
        <v>7</v>
      </c>
      <c r="B10" s="5">
        <v>313</v>
      </c>
      <c r="C10" s="272">
        <f t="shared" si="0"/>
        <v>329.89090909090908</v>
      </c>
      <c r="D10" s="272">
        <f t="shared" si="1"/>
        <v>-16.890909090909076</v>
      </c>
      <c r="E10">
        <f t="shared" si="2"/>
        <v>16.890909090909076</v>
      </c>
      <c r="F10">
        <f>SUM($E$4:E10)/COUNT($E$4:E10)</f>
        <v>7.3835497835497801</v>
      </c>
      <c r="G10">
        <f>SUM($D$4:D10)/F10</f>
        <v>-1.2952626641650997</v>
      </c>
      <c r="V10" s="708" t="s">
        <v>149</v>
      </c>
      <c r="W10" s="708"/>
      <c r="X10" s="691"/>
      <c r="Y10" s="211">
        <v>11</v>
      </c>
      <c r="Z10" s="225"/>
    </row>
    <row r="11" spans="1:26" ht="16" thickBot="1">
      <c r="A11" s="5">
        <v>8</v>
      </c>
      <c r="B11" s="5">
        <v>349</v>
      </c>
      <c r="C11" s="272">
        <f t="shared" si="0"/>
        <v>348.68484848484849</v>
      </c>
      <c r="D11" s="272">
        <f t="shared" si="1"/>
        <v>0.31515151515151274</v>
      </c>
      <c r="E11">
        <f t="shared" si="2"/>
        <v>0.31515151515151274</v>
      </c>
      <c r="F11">
        <f>SUM($E$4:E11)/COUNT($E$4:E11)</f>
        <v>6.4999999999999964</v>
      </c>
      <c r="G11">
        <f>SUM($D$4:D11)/F11</f>
        <v>-1.4228438228438194</v>
      </c>
      <c r="V11" s="708" t="str">
        <f xml:space="preserve"> "Prediction of period " &amp; Y10 &amp; " ="</f>
        <v>Prediction of period 11 =</v>
      </c>
      <c r="W11" s="708"/>
      <c r="X11" s="708"/>
      <c r="Y11" s="212">
        <v>405.06666666666661</v>
      </c>
      <c r="Z11" s="225"/>
    </row>
    <row r="12" spans="1:26" ht="16" thickBot="1">
      <c r="A12" s="5">
        <v>9</v>
      </c>
      <c r="B12" s="5">
        <v>378</v>
      </c>
      <c r="C12" s="272">
        <f t="shared" si="0"/>
        <v>367.4787878787879</v>
      </c>
      <c r="D12" s="272">
        <f t="shared" si="1"/>
        <v>10.521212121212102</v>
      </c>
      <c r="E12">
        <f t="shared" si="2"/>
        <v>10.521212121212102</v>
      </c>
      <c r="F12">
        <f>SUM($E$4:E12)/COUNT($E$4:E12)</f>
        <v>6.9468013468013412</v>
      </c>
      <c r="G12">
        <f>SUM($D$4:D12)/F12</f>
        <v>0.18321054672353751</v>
      </c>
      <c r="V12" s="225"/>
      <c r="W12" s="225"/>
      <c r="X12" s="225"/>
      <c r="Y12" s="225"/>
      <c r="Z12" s="225"/>
    </row>
    <row r="13" spans="1:26" ht="30" thickBot="1">
      <c r="A13" s="5">
        <v>10</v>
      </c>
      <c r="B13" s="5">
        <v>385</v>
      </c>
      <c r="C13" s="272">
        <f t="shared" si="0"/>
        <v>386.27272727272725</v>
      </c>
      <c r="D13" s="272">
        <f t="shared" si="1"/>
        <v>-1.2727272727272521</v>
      </c>
      <c r="E13">
        <f t="shared" si="2"/>
        <v>1.2727272727272521</v>
      </c>
      <c r="F13">
        <f>SUM($E$4:E13)/COUNT($E$4:E13)</f>
        <v>6.3793939393939327</v>
      </c>
      <c r="G13">
        <f>SUM($D$4:D13)/F13</f>
        <v>4.4552366103141426E-15</v>
      </c>
      <c r="V13" s="164" t="s">
        <v>39</v>
      </c>
      <c r="W13" s="164" t="s">
        <v>38</v>
      </c>
      <c r="X13" s="164" t="s">
        <v>185</v>
      </c>
      <c r="Y13" s="164" t="s">
        <v>37</v>
      </c>
      <c r="Z13" s="165" t="s">
        <v>123</v>
      </c>
    </row>
    <row r="14" spans="1:26">
      <c r="A14" s="5">
        <v>11</v>
      </c>
      <c r="B14" s="5"/>
      <c r="C14" s="641">
        <f t="shared" si="0"/>
        <v>405.06666666666666</v>
      </c>
      <c r="D14" s="272"/>
      <c r="V14" s="166">
        <v>1</v>
      </c>
      <c r="W14" s="200">
        <v>223</v>
      </c>
      <c r="X14" s="168">
        <v>217.1272727272727</v>
      </c>
      <c r="Y14" s="194">
        <v>5.8727272727273032</v>
      </c>
      <c r="Z14" s="213">
        <v>1</v>
      </c>
    </row>
    <row r="15" spans="1:26">
      <c r="A15" s="5">
        <v>12</v>
      </c>
      <c r="B15" s="5"/>
      <c r="C15" s="641">
        <f t="shared" si="0"/>
        <v>423.86060606060607</v>
      </c>
      <c r="D15" s="272"/>
      <c r="V15" s="171">
        <v>2</v>
      </c>
      <c r="W15" s="167">
        <v>228</v>
      </c>
      <c r="X15" s="172">
        <v>235.92121212121211</v>
      </c>
      <c r="Y15" s="195">
        <v>-7.9212121212121076</v>
      </c>
      <c r="Z15" s="214">
        <v>-0.29701230228470327</v>
      </c>
    </row>
    <row r="16" spans="1:26">
      <c r="A16" s="5">
        <v>13</v>
      </c>
      <c r="B16" s="5"/>
      <c r="C16" s="641">
        <f t="shared" si="0"/>
        <v>442.65454545454548</v>
      </c>
      <c r="D16" s="272"/>
      <c r="V16" s="171">
        <v>3</v>
      </c>
      <c r="W16" s="167">
        <v>262</v>
      </c>
      <c r="X16" s="172">
        <v>254.71515151515149</v>
      </c>
      <c r="Y16" s="195">
        <v>7.28484848484851</v>
      </c>
      <c r="Z16" s="214">
        <v>0.74525589419207283</v>
      </c>
    </row>
    <row r="17" spans="1:26">
      <c r="A17" s="5">
        <v>14</v>
      </c>
      <c r="B17" s="5"/>
      <c r="C17" s="641">
        <f t="shared" si="0"/>
        <v>461.44848484848484</v>
      </c>
      <c r="D17" s="272"/>
      <c r="V17" s="171">
        <v>4</v>
      </c>
      <c r="W17" s="167">
        <v>270</v>
      </c>
      <c r="X17" s="172">
        <v>273.5090909090909</v>
      </c>
      <c r="Y17" s="195">
        <v>-3.5090909090909008</v>
      </c>
      <c r="Z17" s="214">
        <v>0.2809958097116218</v>
      </c>
    </row>
    <row r="18" spans="1:26">
      <c r="A18" s="5">
        <v>15</v>
      </c>
      <c r="B18" s="5"/>
      <c r="C18" s="641">
        <f t="shared" si="0"/>
        <v>480.24242424242425</v>
      </c>
      <c r="D18" s="272"/>
      <c r="V18" s="171">
        <v>5</v>
      </c>
      <c r="W18" s="167">
        <v>290</v>
      </c>
      <c r="X18" s="172">
        <v>292.30303030303025</v>
      </c>
      <c r="Y18" s="195">
        <v>-2.3030303030302548</v>
      </c>
      <c r="Z18" s="214">
        <v>-0.10705431597924195</v>
      </c>
    </row>
    <row r="19" spans="1:26">
      <c r="A19" s="270"/>
      <c r="B19" s="271"/>
      <c r="C19" s="42"/>
      <c r="D19" s="26"/>
      <c r="E19" s="240"/>
      <c r="V19" s="171">
        <v>6</v>
      </c>
      <c r="W19" s="167">
        <v>319</v>
      </c>
      <c r="X19" s="172">
        <v>311.09696969696967</v>
      </c>
      <c r="Y19" s="195">
        <v>7.9030303030303344</v>
      </c>
      <c r="Z19" s="214">
        <v>1.2635429367706239</v>
      </c>
    </row>
    <row r="20" spans="1:26">
      <c r="A20" s="270" t="s">
        <v>158</v>
      </c>
      <c r="B20" s="271">
        <f>SUM(B4:B13)</f>
        <v>3017</v>
      </c>
      <c r="C20" s="271"/>
      <c r="D20" s="26"/>
      <c r="E20" s="240">
        <f>SUM(E4:E13)</f>
        <v>63.793939393939326</v>
      </c>
      <c r="V20" s="171">
        <v>7</v>
      </c>
      <c r="W20" s="167">
        <v>313</v>
      </c>
      <c r="X20" s="172">
        <v>329.89090909090908</v>
      </c>
      <c r="Y20" s="195">
        <v>-16.890909090909076</v>
      </c>
      <c r="Z20" s="214">
        <v>-1.29526266416508</v>
      </c>
    </row>
    <row r="21" spans="1:26">
      <c r="A21" s="61"/>
      <c r="B21" s="61"/>
      <c r="C21" s="61"/>
      <c r="D21" s="26"/>
      <c r="V21" s="171">
        <v>8</v>
      </c>
      <c r="W21" s="167">
        <v>349</v>
      </c>
      <c r="X21" s="172">
        <v>348.68484848484843</v>
      </c>
      <c r="Y21" s="195">
        <v>0.31515151515156958</v>
      </c>
      <c r="Z21" s="214">
        <v>-1.4228438228437865</v>
      </c>
    </row>
    <row r="22" spans="1:26">
      <c r="A22" t="s">
        <v>183</v>
      </c>
      <c r="D22" s="26"/>
      <c r="V22" s="171">
        <v>9</v>
      </c>
      <c r="W22" s="167">
        <v>378</v>
      </c>
      <c r="X22" s="172">
        <v>367.47878787878784</v>
      </c>
      <c r="Y22" s="195">
        <v>10.521212121212159</v>
      </c>
      <c r="Z22" s="214">
        <v>0.18321054672357392</v>
      </c>
    </row>
    <row r="23" spans="1:26">
      <c r="A23" t="s">
        <v>184</v>
      </c>
      <c r="B23">
        <f>B31</f>
        <v>0.97890033392467202</v>
      </c>
      <c r="D23" s="26"/>
      <c r="V23" s="171">
        <v>10</v>
      </c>
      <c r="W23" s="167">
        <v>385</v>
      </c>
      <c r="X23" s="172">
        <v>386.27272727272725</v>
      </c>
      <c r="Y23" s="195">
        <v>-1.2727272727272521</v>
      </c>
      <c r="Z23" s="214">
        <v>4.4552366103141323E-14</v>
      </c>
    </row>
    <row r="24" spans="1:26">
      <c r="A24" t="s">
        <v>63</v>
      </c>
      <c r="B24">
        <f>B43</f>
        <v>198.33333333333331</v>
      </c>
      <c r="D24" s="26"/>
      <c r="V24" s="171">
        <v>11</v>
      </c>
      <c r="W24" s="167"/>
      <c r="X24" s="172">
        <v>405.06666666666661</v>
      </c>
      <c r="Y24" s="195" t="s">
        <v>124</v>
      </c>
      <c r="Z24" s="214"/>
    </row>
    <row r="25" spans="1:26">
      <c r="A25" t="s">
        <v>151</v>
      </c>
      <c r="B25">
        <f>B44</f>
        <v>18.793939393939397</v>
      </c>
      <c r="J25" s="6"/>
    </row>
    <row r="26" spans="1:26">
      <c r="J26" s="325" t="s">
        <v>25</v>
      </c>
      <c r="K26" s="6" t="s">
        <v>188</v>
      </c>
      <c r="L26" s="640">
        <f>(C18-C13)/C13</f>
        <v>0.24327292696320713</v>
      </c>
    </row>
    <row r="27" spans="1:26">
      <c r="A27" t="s">
        <v>40</v>
      </c>
      <c r="J27" s="626"/>
    </row>
    <row r="28" spans="1:26" ht="16" thickBot="1">
      <c r="J28" s="626"/>
    </row>
    <row r="29" spans="1:26">
      <c r="A29" s="105" t="s">
        <v>41</v>
      </c>
      <c r="B29" s="105"/>
      <c r="J29" s="626"/>
    </row>
    <row r="30" spans="1:26">
      <c r="A30" s="87" t="s">
        <v>42</v>
      </c>
      <c r="B30" s="87">
        <v>0.98939392252260783</v>
      </c>
      <c r="J30" s="325" t="s">
        <v>187</v>
      </c>
    </row>
    <row r="31" spans="1:26">
      <c r="A31" s="87" t="s">
        <v>43</v>
      </c>
      <c r="B31" s="87">
        <v>0.97890033392467202</v>
      </c>
      <c r="J31" s="626"/>
    </row>
    <row r="32" spans="1:26">
      <c r="A32" s="87" t="s">
        <v>44</v>
      </c>
      <c r="B32" s="87">
        <v>0.97626287566525605</v>
      </c>
    </row>
    <row r="33" spans="1:9">
      <c r="A33" s="87" t="s">
        <v>45</v>
      </c>
      <c r="B33" s="87">
        <v>8.8607065865043317</v>
      </c>
    </row>
    <row r="34" spans="1:9" ht="16" thickBot="1">
      <c r="A34" s="88" t="s">
        <v>46</v>
      </c>
      <c r="B34" s="88">
        <v>10</v>
      </c>
    </row>
    <row r="36" spans="1:9" ht="16" thickBot="1">
      <c r="A36" t="s">
        <v>47</v>
      </c>
    </row>
    <row r="37" spans="1:9">
      <c r="A37" s="104"/>
      <c r="B37" s="104" t="s">
        <v>48</v>
      </c>
      <c r="C37" s="104" t="s">
        <v>49</v>
      </c>
      <c r="D37" s="104" t="s">
        <v>50</v>
      </c>
      <c r="E37" s="104" t="s">
        <v>51</v>
      </c>
      <c r="F37" s="104" t="s">
        <v>52</v>
      </c>
    </row>
    <row r="38" spans="1:9">
      <c r="A38" s="87" t="s">
        <v>53</v>
      </c>
      <c r="B38" s="87">
        <v>1</v>
      </c>
      <c r="C38" s="87">
        <v>29140.003030303033</v>
      </c>
      <c r="D38" s="87">
        <v>29140.003030303033</v>
      </c>
      <c r="E38" s="87">
        <v>371.15291983480631</v>
      </c>
      <c r="F38" s="87">
        <v>5.4658671672394312E-8</v>
      </c>
    </row>
    <row r="39" spans="1:9">
      <c r="A39" s="87" t="s">
        <v>54</v>
      </c>
      <c r="B39" s="87">
        <v>8</v>
      </c>
      <c r="C39" s="87">
        <v>628.09696969696995</v>
      </c>
      <c r="D39" s="87">
        <v>78.512121212121244</v>
      </c>
      <c r="E39" s="87"/>
      <c r="F39" s="87"/>
    </row>
    <row r="40" spans="1:9" ht="16" thickBot="1">
      <c r="A40" s="88" t="s">
        <v>55</v>
      </c>
      <c r="B40" s="88">
        <v>9</v>
      </c>
      <c r="C40" s="88">
        <v>29768.100000000002</v>
      </c>
      <c r="D40" s="88"/>
      <c r="E40" s="88"/>
      <c r="F40" s="88"/>
    </row>
    <row r="41" spans="1:9" ht="16" thickBot="1"/>
    <row r="42" spans="1:9">
      <c r="A42" s="104"/>
      <c r="B42" s="104" t="s">
        <v>56</v>
      </c>
      <c r="C42" s="104" t="s">
        <v>45</v>
      </c>
      <c r="D42" s="104" t="s">
        <v>57</v>
      </c>
      <c r="E42" s="104" t="s">
        <v>58</v>
      </c>
      <c r="F42" s="104" t="s">
        <v>59</v>
      </c>
      <c r="G42" s="104" t="s">
        <v>60</v>
      </c>
      <c r="H42" s="104" t="s">
        <v>61</v>
      </c>
      <c r="I42" s="104" t="s">
        <v>62</v>
      </c>
    </row>
    <row r="43" spans="1:9">
      <c r="A43" s="87" t="s">
        <v>63</v>
      </c>
      <c r="B43" s="87">
        <v>198.33333333333331</v>
      </c>
      <c r="C43" s="87">
        <v>6.053014942901588</v>
      </c>
      <c r="D43" s="87">
        <v>32.766040593691272</v>
      </c>
      <c r="E43" s="87">
        <v>8.2076474963500142E-10</v>
      </c>
      <c r="F43" s="87">
        <v>184.37505584454965</v>
      </c>
      <c r="G43" s="87">
        <v>212.29161082211698</v>
      </c>
      <c r="H43" s="87">
        <v>184.37505584454965</v>
      </c>
      <c r="I43" s="87">
        <v>212.29161082211698</v>
      </c>
    </row>
    <row r="44" spans="1:9" ht="16" thickBot="1">
      <c r="A44" s="88" t="s">
        <v>64</v>
      </c>
      <c r="B44" s="88">
        <v>18.793939393939397</v>
      </c>
      <c r="C44" s="88">
        <v>0.97553168851577521</v>
      </c>
      <c r="D44" s="88">
        <v>19.265329476414525</v>
      </c>
      <c r="E44" s="88">
        <v>5.4658671672394213E-8</v>
      </c>
      <c r="F44" s="88">
        <v>16.544359286199317</v>
      </c>
      <c r="G44" s="88">
        <v>21.043519501679476</v>
      </c>
      <c r="H44" s="88">
        <v>16.544359286199317</v>
      </c>
      <c r="I44" s="88">
        <v>21.043519501679476</v>
      </c>
    </row>
  </sheetData>
  <mergeCells count="5">
    <mergeCell ref="V3:Y3"/>
    <mergeCell ref="V4:X4"/>
    <mergeCell ref="V5:X5"/>
    <mergeCell ref="V10:X10"/>
    <mergeCell ref="V11:X11"/>
  </mergeCells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227"/>
  <sheetViews>
    <sheetView topLeftCell="A19" workbookViewId="0">
      <selection activeCell="A47" sqref="A47"/>
    </sheetView>
  </sheetViews>
  <sheetFormatPr baseColWidth="10" defaultColWidth="8.83203125" defaultRowHeight="15"/>
  <cols>
    <col min="1" max="1" width="24.83203125" bestFit="1" customWidth="1"/>
    <col min="2" max="2" width="27.6640625" bestFit="1" customWidth="1"/>
    <col min="3" max="5" width="17.6640625" customWidth="1"/>
    <col min="6" max="6" width="19.83203125" customWidth="1"/>
    <col min="7" max="7" width="16.33203125" bestFit="1" customWidth="1"/>
    <col min="8" max="8" width="18" bestFit="1" customWidth="1"/>
  </cols>
  <sheetData>
    <row r="1" spans="1:13">
      <c r="A1" s="6" t="s">
        <v>293</v>
      </c>
    </row>
    <row r="2" spans="1:13">
      <c r="A2" s="6"/>
    </row>
    <row r="3" spans="1:13" ht="16">
      <c r="A3" s="727" t="s">
        <v>286</v>
      </c>
      <c r="B3" s="727"/>
      <c r="F3" s="516" t="s">
        <v>280</v>
      </c>
    </row>
    <row r="4" spans="1:13" ht="29">
      <c r="A4" s="281" t="s">
        <v>189</v>
      </c>
      <c r="B4" s="281" t="s">
        <v>190</v>
      </c>
      <c r="C4" s="281" t="s">
        <v>191</v>
      </c>
      <c r="D4" s="281" t="s">
        <v>37</v>
      </c>
      <c r="E4" s="281"/>
      <c r="F4" s="6" t="s">
        <v>193</v>
      </c>
      <c r="G4" s="724" t="s">
        <v>192</v>
      </c>
      <c r="H4" s="725"/>
      <c r="I4" s="725"/>
      <c r="J4" s="725"/>
      <c r="K4" s="725"/>
      <c r="L4" s="725"/>
      <c r="M4" s="725"/>
    </row>
    <row r="5" spans="1:13">
      <c r="A5" s="280">
        <v>5921</v>
      </c>
      <c r="B5" s="282">
        <v>67555873</v>
      </c>
      <c r="C5">
        <f t="shared" ref="C5:C36" si="0">$G$5+A5*$G$6</f>
        <v>64523845.226522431</v>
      </c>
      <c r="D5" s="160">
        <f>B5-C5</f>
        <v>3032027.7734775692</v>
      </c>
      <c r="E5" s="160"/>
      <c r="F5" s="6" t="s">
        <v>151</v>
      </c>
      <c r="G5" s="253">
        <f>G24</f>
        <v>-5526996.2142679989</v>
      </c>
      <c r="H5" s="253"/>
      <c r="I5" s="253"/>
      <c r="J5" s="253"/>
      <c r="K5" s="253"/>
      <c r="L5" s="253"/>
      <c r="M5" s="253"/>
    </row>
    <row r="6" spans="1:13">
      <c r="A6" s="280">
        <v>10485</v>
      </c>
      <c r="B6" s="282">
        <v>96240231</v>
      </c>
      <c r="C6">
        <f t="shared" si="0"/>
        <v>118520136.45026293</v>
      </c>
      <c r="D6" s="160">
        <f t="shared" ref="D6:D69" si="1">B6-C6</f>
        <v>-22279905.450262934</v>
      </c>
      <c r="E6" s="160"/>
      <c r="F6" s="6" t="s">
        <v>63</v>
      </c>
      <c r="G6" s="253">
        <f>G25</f>
        <v>11830.913940346298</v>
      </c>
      <c r="H6" s="253"/>
      <c r="I6" s="253"/>
      <c r="J6" s="253"/>
      <c r="K6" s="253"/>
      <c r="L6" s="253"/>
      <c r="M6" s="253"/>
    </row>
    <row r="7" spans="1:13">
      <c r="A7" s="280">
        <v>19637</v>
      </c>
      <c r="B7" s="282">
        <v>200721155</v>
      </c>
      <c r="C7">
        <f t="shared" si="0"/>
        <v>226796660.83231226</v>
      </c>
      <c r="D7" s="160">
        <f t="shared" si="1"/>
        <v>-26075505.832312256</v>
      </c>
      <c r="E7" s="160"/>
    </row>
    <row r="8" spans="1:13">
      <c r="A8" s="280">
        <v>5915</v>
      </c>
      <c r="B8" s="282">
        <v>71400316</v>
      </c>
      <c r="C8">
        <f t="shared" si="0"/>
        <v>64452859.742880359</v>
      </c>
      <c r="D8" s="160">
        <f t="shared" si="1"/>
        <v>6947456.2571196407</v>
      </c>
      <c r="E8" s="160"/>
      <c r="F8" t="s">
        <v>40</v>
      </c>
    </row>
    <row r="9" spans="1:13" ht="16" thickBot="1">
      <c r="A9" s="280">
        <v>10589</v>
      </c>
      <c r="B9" s="282">
        <v>107639420</v>
      </c>
      <c r="C9">
        <f t="shared" si="0"/>
        <v>119750551.50005895</v>
      </c>
      <c r="D9" s="160">
        <f t="shared" si="1"/>
        <v>-12111131.500058949</v>
      </c>
      <c r="E9" s="160"/>
    </row>
    <row r="10" spans="1:13">
      <c r="A10" s="280">
        <v>10475</v>
      </c>
      <c r="B10" s="282">
        <v>146775276</v>
      </c>
      <c r="C10">
        <f t="shared" si="0"/>
        <v>118401827.31085947</v>
      </c>
      <c r="D10" s="160">
        <f t="shared" si="1"/>
        <v>28373448.689140528</v>
      </c>
      <c r="E10" s="160"/>
      <c r="F10" s="105" t="s">
        <v>41</v>
      </c>
      <c r="G10" s="105"/>
    </row>
    <row r="11" spans="1:13">
      <c r="A11" s="280">
        <v>18446</v>
      </c>
      <c r="B11" s="282">
        <v>151981618</v>
      </c>
      <c r="C11">
        <f t="shared" si="0"/>
        <v>212706042.3293598</v>
      </c>
      <c r="D11" s="160">
        <f t="shared" si="1"/>
        <v>-60724424.3293598</v>
      </c>
      <c r="E11" s="160"/>
      <c r="F11" s="87" t="s">
        <v>42</v>
      </c>
      <c r="G11" s="87">
        <v>0.95353356463873473</v>
      </c>
    </row>
    <row r="12" spans="1:13">
      <c r="A12" s="280">
        <v>10205</v>
      </c>
      <c r="B12" s="282">
        <v>126553616</v>
      </c>
      <c r="C12">
        <f t="shared" si="0"/>
        <v>115207480.54696597</v>
      </c>
      <c r="D12" s="160">
        <f t="shared" si="1"/>
        <v>11346135.453034028</v>
      </c>
      <c r="E12" s="160"/>
      <c r="F12" s="87" t="s">
        <v>43</v>
      </c>
      <c r="G12" s="87">
        <v>0.90922625889265218</v>
      </c>
    </row>
    <row r="13" spans="1:13">
      <c r="A13" s="280">
        <v>10569</v>
      </c>
      <c r="B13" s="282">
        <v>84646537</v>
      </c>
      <c r="C13">
        <f t="shared" si="0"/>
        <v>119513933.22125202</v>
      </c>
      <c r="D13" s="160">
        <f t="shared" si="1"/>
        <v>-34867396.221252024</v>
      </c>
      <c r="E13" s="160"/>
      <c r="F13" s="87" t="s">
        <v>44</v>
      </c>
      <c r="G13" s="87">
        <v>0.90880986558482035</v>
      </c>
    </row>
    <row r="14" spans="1:13">
      <c r="A14" s="280">
        <v>10525</v>
      </c>
      <c r="B14" s="282">
        <v>95886490</v>
      </c>
      <c r="C14">
        <f t="shared" si="0"/>
        <v>118993373.00787678</v>
      </c>
      <c r="D14" s="160">
        <f t="shared" si="1"/>
        <v>-23106883.007876784</v>
      </c>
      <c r="E14" s="160"/>
      <c r="F14" s="87" t="s">
        <v>45</v>
      </c>
      <c r="G14" s="87">
        <v>57458767.531265877</v>
      </c>
    </row>
    <row r="15" spans="1:13" ht="16" thickBot="1">
      <c r="A15" s="280">
        <v>9393</v>
      </c>
      <c r="B15" s="282">
        <v>103656623</v>
      </c>
      <c r="C15">
        <f t="shared" si="0"/>
        <v>105600778.42740478</v>
      </c>
      <c r="D15" s="160">
        <f t="shared" si="1"/>
        <v>-1944155.4274047762</v>
      </c>
      <c r="E15" s="160"/>
      <c r="F15" s="88" t="s">
        <v>46</v>
      </c>
      <c r="G15" s="88">
        <v>220</v>
      </c>
    </row>
    <row r="16" spans="1:13">
      <c r="A16" s="280">
        <v>21276</v>
      </c>
      <c r="B16" s="282">
        <v>200515329</v>
      </c>
      <c r="C16">
        <f t="shared" si="0"/>
        <v>246187528.78053984</v>
      </c>
      <c r="D16" s="160">
        <f t="shared" si="1"/>
        <v>-45672199.78053984</v>
      </c>
      <c r="E16" s="160"/>
    </row>
    <row r="17" spans="1:14" ht="16" thickBot="1">
      <c r="A17" s="280">
        <v>7288</v>
      </c>
      <c r="B17" s="282">
        <v>74401783</v>
      </c>
      <c r="C17">
        <f t="shared" si="0"/>
        <v>80696704.58297582</v>
      </c>
      <c r="D17" s="160">
        <f t="shared" si="1"/>
        <v>-6294921.5829758197</v>
      </c>
      <c r="E17" s="160"/>
      <c r="F17" t="s">
        <v>47</v>
      </c>
    </row>
    <row r="18" spans="1:14">
      <c r="A18" s="280">
        <v>13564</v>
      </c>
      <c r="B18" s="282">
        <v>176110409</v>
      </c>
      <c r="C18">
        <f t="shared" si="0"/>
        <v>154947520.47258919</v>
      </c>
      <c r="D18" s="160">
        <f t="shared" si="1"/>
        <v>21162888.527410805</v>
      </c>
      <c r="E18" s="160"/>
      <c r="F18" s="104"/>
      <c r="G18" s="104" t="s">
        <v>48</v>
      </c>
      <c r="H18" s="104" t="s">
        <v>49</v>
      </c>
      <c r="I18" s="104" t="s">
        <v>50</v>
      </c>
      <c r="J18" s="104" t="s">
        <v>51</v>
      </c>
      <c r="K18" s="104" t="s">
        <v>52</v>
      </c>
    </row>
    <row r="19" spans="1:14">
      <c r="A19" s="280">
        <v>16326</v>
      </c>
      <c r="B19" s="282">
        <v>200210762</v>
      </c>
      <c r="C19">
        <f t="shared" si="0"/>
        <v>187624504.77582565</v>
      </c>
      <c r="D19" s="160">
        <f t="shared" si="1"/>
        <v>12586257.224174351</v>
      </c>
      <c r="E19" s="160"/>
      <c r="F19" s="87" t="s">
        <v>53</v>
      </c>
      <c r="G19" s="87">
        <v>1</v>
      </c>
      <c r="H19" s="87">
        <v>7.2090965412149504E+18</v>
      </c>
      <c r="I19" s="87">
        <v>7.2090965412149504E+18</v>
      </c>
      <c r="J19" s="87">
        <v>2183.5755805657063</v>
      </c>
      <c r="K19" s="87">
        <v>1.4802889565381175E-115</v>
      </c>
    </row>
    <row r="20" spans="1:14">
      <c r="A20" s="280">
        <v>5548</v>
      </c>
      <c r="B20" s="282">
        <v>60410844</v>
      </c>
      <c r="C20">
        <f t="shared" si="0"/>
        <v>60110914.326773264</v>
      </c>
      <c r="D20" s="160">
        <f t="shared" si="1"/>
        <v>299929.67322673649</v>
      </c>
      <c r="E20" s="160"/>
      <c r="F20" s="87" t="s">
        <v>54</v>
      </c>
      <c r="G20" s="87">
        <v>218</v>
      </c>
      <c r="H20" s="87">
        <v>7.1972917263422771E+17</v>
      </c>
      <c r="I20" s="87">
        <v>3301509966212053.5</v>
      </c>
      <c r="J20" s="87"/>
      <c r="K20" s="87"/>
    </row>
    <row r="21" spans="1:14" ht="16" thickBot="1">
      <c r="A21" s="280">
        <v>7857</v>
      </c>
      <c r="B21" s="282">
        <v>79931298</v>
      </c>
      <c r="C21">
        <f t="shared" si="0"/>
        <v>87428494.615032867</v>
      </c>
      <c r="D21" s="160">
        <f t="shared" si="1"/>
        <v>-7497196.6150328666</v>
      </c>
      <c r="E21" s="160"/>
      <c r="F21" s="88" t="s">
        <v>55</v>
      </c>
      <c r="G21" s="88">
        <v>219</v>
      </c>
      <c r="H21" s="88">
        <v>7.9288257138491781E+18</v>
      </c>
      <c r="I21" s="88"/>
      <c r="J21" s="88"/>
      <c r="K21" s="88"/>
    </row>
    <row r="22" spans="1:14" ht="16" thickBot="1">
      <c r="A22" s="280">
        <v>9988</v>
      </c>
      <c r="B22" s="282">
        <v>123062636</v>
      </c>
      <c r="C22">
        <f t="shared" si="0"/>
        <v>112640172.22191082</v>
      </c>
      <c r="D22" s="160">
        <f t="shared" si="1"/>
        <v>10422463.778089181</v>
      </c>
      <c r="E22" s="160"/>
    </row>
    <row r="23" spans="1:14">
      <c r="A23" s="280">
        <v>5782</v>
      </c>
      <c r="B23" s="282">
        <v>45530111</v>
      </c>
      <c r="C23">
        <f t="shared" si="0"/>
        <v>62879348.188814297</v>
      </c>
      <c r="D23" s="160">
        <f t="shared" si="1"/>
        <v>-17349237.188814297</v>
      </c>
      <c r="E23" s="160"/>
      <c r="F23" s="104"/>
      <c r="G23" s="104" t="s">
        <v>56</v>
      </c>
      <c r="H23" s="104" t="s">
        <v>45</v>
      </c>
      <c r="I23" s="104" t="s">
        <v>57</v>
      </c>
      <c r="J23" s="104" t="s">
        <v>58</v>
      </c>
      <c r="K23" s="104" t="s">
        <v>59</v>
      </c>
      <c r="L23" s="104" t="s">
        <v>60</v>
      </c>
      <c r="M23" s="104" t="s">
        <v>61</v>
      </c>
      <c r="N23" s="104" t="s">
        <v>62</v>
      </c>
    </row>
    <row r="24" spans="1:14">
      <c r="A24" s="280">
        <v>11701</v>
      </c>
      <c r="B24" s="282">
        <v>239501973</v>
      </c>
      <c r="C24">
        <f t="shared" si="0"/>
        <v>132906527.80172402</v>
      </c>
      <c r="D24" s="160">
        <f t="shared" si="1"/>
        <v>106595445.19827598</v>
      </c>
      <c r="E24" s="160"/>
      <c r="F24" s="87" t="s">
        <v>63</v>
      </c>
      <c r="G24" s="87">
        <v>-5526996.2142679989</v>
      </c>
      <c r="H24" s="87">
        <v>5735541.0500329677</v>
      </c>
      <c r="I24" s="87">
        <v>-0.9636399018077344</v>
      </c>
      <c r="J24" s="87">
        <v>0.33629420012966094</v>
      </c>
      <c r="K24" s="87">
        <v>-16831206.194999263</v>
      </c>
      <c r="L24" s="87">
        <v>5777213.7664632667</v>
      </c>
      <c r="M24" s="87">
        <v>-16831206.194999263</v>
      </c>
      <c r="N24" s="87">
        <v>5777213.7664632667</v>
      </c>
    </row>
    <row r="25" spans="1:14" ht="16" thickBot="1">
      <c r="A25" s="280">
        <v>14057</v>
      </c>
      <c r="B25" s="282">
        <v>135514524</v>
      </c>
      <c r="C25">
        <f t="shared" si="0"/>
        <v>160780161.0451799</v>
      </c>
      <c r="D25" s="160">
        <f t="shared" si="1"/>
        <v>-25265637.045179904</v>
      </c>
      <c r="E25" s="160"/>
      <c r="F25" s="88" t="s">
        <v>64</v>
      </c>
      <c r="G25" s="88">
        <v>11830.913940346298</v>
      </c>
      <c r="H25" s="88">
        <v>253.18278969661665</v>
      </c>
      <c r="I25" s="88">
        <v>46.728744692808782</v>
      </c>
      <c r="J25" s="88">
        <v>1.4802889565382016E-115</v>
      </c>
      <c r="K25" s="88">
        <v>11331.914562036307</v>
      </c>
      <c r="L25" s="88">
        <v>12329.913318656289</v>
      </c>
      <c r="M25" s="88">
        <v>11331.914562036307</v>
      </c>
      <c r="N25" s="88">
        <v>12329.913318656289</v>
      </c>
    </row>
    <row r="26" spans="1:14">
      <c r="A26" s="280">
        <v>33739</v>
      </c>
      <c r="B26" s="282">
        <v>519077361</v>
      </c>
      <c r="C26">
        <f t="shared" si="0"/>
        <v>393636209.2190758</v>
      </c>
      <c r="D26" s="160">
        <f t="shared" si="1"/>
        <v>125441151.7809242</v>
      </c>
      <c r="E26" s="160"/>
    </row>
    <row r="27" spans="1:14">
      <c r="A27" s="280">
        <v>18155</v>
      </c>
      <c r="B27" s="282">
        <v>223134236</v>
      </c>
      <c r="C27">
        <f t="shared" si="0"/>
        <v>209263246.37271905</v>
      </c>
      <c r="D27" s="160">
        <f t="shared" si="1"/>
        <v>13870989.627280951</v>
      </c>
      <c r="E27" s="160"/>
      <c r="F27" s="642" t="s">
        <v>21</v>
      </c>
      <c r="G27" s="644">
        <v>10000</v>
      </c>
      <c r="H27" s="645">
        <f>G5+G6*G27</f>
        <v>112782143.18919498</v>
      </c>
      <c r="I27" s="8"/>
      <c r="J27" s="8"/>
    </row>
    <row r="28" spans="1:14">
      <c r="A28" s="280">
        <v>7702</v>
      </c>
      <c r="B28" s="282">
        <v>74123357</v>
      </c>
      <c r="C28">
        <f t="shared" si="0"/>
        <v>85594702.954279184</v>
      </c>
      <c r="D28" s="160">
        <f t="shared" si="1"/>
        <v>-11471345.954279184</v>
      </c>
      <c r="E28" s="160"/>
      <c r="F28" s="642"/>
      <c r="G28" s="644">
        <v>20000</v>
      </c>
      <c r="H28" s="645">
        <f>G5+G28*G6</f>
        <v>231091282.59265795</v>
      </c>
      <c r="I28" s="8"/>
      <c r="J28" s="8"/>
    </row>
    <row r="29" spans="1:14">
      <c r="A29" s="280">
        <v>6962</v>
      </c>
      <c r="B29" s="282">
        <v>102788044</v>
      </c>
      <c r="C29">
        <f t="shared" si="0"/>
        <v>76839826.638422921</v>
      </c>
      <c r="D29" s="160">
        <f t="shared" si="1"/>
        <v>25948217.361577079</v>
      </c>
      <c r="E29" s="160"/>
      <c r="F29" s="642"/>
      <c r="G29" s="283" t="s">
        <v>194</v>
      </c>
      <c r="H29" s="646">
        <f>(H28-H27)/H27</f>
        <v>1.0490059512789744</v>
      </c>
      <c r="I29" s="8"/>
      <c r="J29" s="8"/>
    </row>
    <row r="30" spans="1:14">
      <c r="A30" s="280">
        <v>12258</v>
      </c>
      <c r="B30" s="282">
        <v>146571308</v>
      </c>
      <c r="C30">
        <f t="shared" si="0"/>
        <v>139496346.86649692</v>
      </c>
      <c r="D30" s="160">
        <f t="shared" si="1"/>
        <v>7074961.1335030794</v>
      </c>
      <c r="E30" s="160"/>
      <c r="F30" s="642"/>
      <c r="G30" s="283"/>
      <c r="H30" s="28"/>
      <c r="I30" s="8"/>
      <c r="J30" s="8"/>
    </row>
    <row r="31" spans="1:14">
      <c r="A31" s="280">
        <v>5775</v>
      </c>
      <c r="B31" s="282">
        <v>28728017</v>
      </c>
      <c r="C31">
        <f t="shared" si="0"/>
        <v>62796531.791231871</v>
      </c>
      <c r="D31" s="160">
        <f t="shared" si="1"/>
        <v>-34068514.791231871</v>
      </c>
      <c r="E31" s="160"/>
      <c r="F31" s="642" t="s">
        <v>25</v>
      </c>
      <c r="G31" s="644">
        <v>50000</v>
      </c>
      <c r="H31" s="645">
        <f>G5+G31*G6</f>
        <v>586018700.80304694</v>
      </c>
      <c r="I31" s="8"/>
      <c r="J31" s="8"/>
    </row>
    <row r="32" spans="1:14">
      <c r="A32" s="280">
        <v>5879</v>
      </c>
      <c r="B32" s="282">
        <v>74474537</v>
      </c>
      <c r="C32">
        <f t="shared" si="0"/>
        <v>64026946.841027886</v>
      </c>
      <c r="D32" s="160">
        <f t="shared" si="1"/>
        <v>10447590.158972114</v>
      </c>
      <c r="E32" s="160"/>
      <c r="F32" s="642"/>
      <c r="G32" s="644">
        <v>60000</v>
      </c>
      <c r="H32" s="645">
        <f>G5+G6*G32</f>
        <v>704327840.20650995</v>
      </c>
      <c r="I32" s="8"/>
      <c r="J32" s="8"/>
    </row>
    <row r="33" spans="1:10">
      <c r="A33" s="280">
        <v>6616</v>
      </c>
      <c r="B33" s="282">
        <v>86643652</v>
      </c>
      <c r="C33">
        <f t="shared" si="0"/>
        <v>72746330.415063113</v>
      </c>
      <c r="D33" s="160">
        <f t="shared" si="1"/>
        <v>13897321.584936887</v>
      </c>
      <c r="E33" s="160"/>
      <c r="F33" s="642"/>
      <c r="G33" s="283" t="s">
        <v>194</v>
      </c>
      <c r="H33" s="581">
        <f>(H32-H31)/H31</f>
        <v>0.20188628663443478</v>
      </c>
      <c r="I33" s="8"/>
      <c r="J33" s="8"/>
    </row>
    <row r="34" spans="1:10">
      <c r="A34" s="280">
        <v>6503</v>
      </c>
      <c r="B34" s="282">
        <v>87126446</v>
      </c>
      <c r="C34">
        <f t="shared" si="0"/>
        <v>71409437.139803976</v>
      </c>
      <c r="D34" s="160">
        <f t="shared" si="1"/>
        <v>15717008.860196024</v>
      </c>
      <c r="E34" s="160"/>
      <c r="F34" s="642"/>
      <c r="G34" s="283"/>
      <c r="H34" s="28"/>
      <c r="I34" s="8"/>
      <c r="J34" s="8"/>
    </row>
    <row r="35" spans="1:10">
      <c r="A35" s="280">
        <v>13415</v>
      </c>
      <c r="B35" s="282">
        <v>149634118</v>
      </c>
      <c r="C35">
        <f t="shared" si="0"/>
        <v>153184714.2954776</v>
      </c>
      <c r="D35" s="160">
        <f t="shared" si="1"/>
        <v>-3550596.2954775989</v>
      </c>
      <c r="E35" s="160"/>
      <c r="F35" s="642" t="s">
        <v>187</v>
      </c>
      <c r="G35" s="644">
        <v>100000</v>
      </c>
      <c r="H35" s="645">
        <f>G5+G6*G35</f>
        <v>1177564397.8203619</v>
      </c>
      <c r="I35" s="8"/>
      <c r="J35" s="8"/>
    </row>
    <row r="36" spans="1:10">
      <c r="A36" s="280">
        <v>139369</v>
      </c>
      <c r="B36" s="282">
        <v>1968199107</v>
      </c>
      <c r="C36">
        <f t="shared" si="0"/>
        <v>1643335648.7378552</v>
      </c>
      <c r="D36" s="160">
        <f t="shared" si="1"/>
        <v>324863458.2621448</v>
      </c>
      <c r="E36" s="160"/>
      <c r="F36" s="642"/>
      <c r="G36" s="644">
        <v>110000</v>
      </c>
      <c r="H36" s="645">
        <f>G5+G6*G36</f>
        <v>1295873537.2238247</v>
      </c>
      <c r="I36" s="8"/>
      <c r="J36" s="8"/>
    </row>
    <row r="37" spans="1:10">
      <c r="A37" s="280">
        <v>8588</v>
      </c>
      <c r="B37" s="282">
        <v>117206594</v>
      </c>
      <c r="C37">
        <f t="shared" ref="C37:C69" si="2">$G$5+A37*$G$6</f>
        <v>96076892.705426008</v>
      </c>
      <c r="D37" s="160">
        <f t="shared" si="1"/>
        <v>21129701.294573992</v>
      </c>
      <c r="E37" s="160"/>
      <c r="F37" s="642"/>
      <c r="G37" s="283" t="s">
        <v>194</v>
      </c>
      <c r="H37" s="581">
        <f>(H36-H35)/H35</f>
        <v>0.10046935829789838</v>
      </c>
      <c r="I37" s="8"/>
      <c r="J37" s="8"/>
    </row>
    <row r="38" spans="1:10">
      <c r="A38" s="280">
        <v>3946</v>
      </c>
      <c r="B38" s="282">
        <v>62293833</v>
      </c>
      <c r="C38">
        <f t="shared" si="2"/>
        <v>41157790.194338493</v>
      </c>
      <c r="D38" s="160">
        <f t="shared" si="1"/>
        <v>21136042.805661507</v>
      </c>
      <c r="E38" s="160"/>
      <c r="F38" s="642"/>
      <c r="G38" s="28"/>
      <c r="H38" s="28"/>
      <c r="I38" s="8"/>
      <c r="J38" s="8"/>
    </row>
    <row r="39" spans="1:10">
      <c r="A39" s="280">
        <v>23852</v>
      </c>
      <c r="B39" s="282">
        <v>195646882</v>
      </c>
      <c r="C39">
        <f t="shared" si="2"/>
        <v>276663963.09087193</v>
      </c>
      <c r="D39" s="160">
        <f t="shared" si="1"/>
        <v>-81017081.09087193</v>
      </c>
      <c r="E39" s="160"/>
      <c r="F39" s="642" t="s">
        <v>195</v>
      </c>
      <c r="G39" s="647">
        <v>100000000</v>
      </c>
      <c r="H39" s="33">
        <f>(G39-G5)/G6</f>
        <v>8919.5979910220831</v>
      </c>
      <c r="I39" s="8"/>
      <c r="J39" s="8"/>
    </row>
    <row r="40" spans="1:10">
      <c r="A40" s="280">
        <v>19032</v>
      </c>
      <c r="B40" s="282">
        <v>263586184</v>
      </c>
      <c r="C40">
        <f t="shared" si="2"/>
        <v>219638957.89840275</v>
      </c>
      <c r="D40" s="160">
        <f t="shared" si="1"/>
        <v>43947226.10159725</v>
      </c>
      <c r="E40" s="160"/>
      <c r="F40" s="643"/>
      <c r="G40" s="647">
        <v>500000000</v>
      </c>
      <c r="H40" s="33">
        <f>(G40-G5)/G6</f>
        <v>42729.327485875612</v>
      </c>
      <c r="I40" s="8"/>
      <c r="J40" s="8"/>
    </row>
    <row r="41" spans="1:10">
      <c r="A41" s="280">
        <v>5796</v>
      </c>
      <c r="B41" s="282">
        <v>83303710</v>
      </c>
      <c r="C41">
        <f t="shared" si="2"/>
        <v>63044980.983979136</v>
      </c>
      <c r="D41" s="160">
        <f t="shared" si="1"/>
        <v>20258729.016020864</v>
      </c>
      <c r="E41" s="160"/>
      <c r="F41" s="643"/>
      <c r="G41" s="8"/>
      <c r="H41" s="8"/>
      <c r="I41" s="8"/>
      <c r="J41" s="8"/>
    </row>
    <row r="42" spans="1:10" ht="17.25" customHeight="1">
      <c r="A42" s="280">
        <v>10876</v>
      </c>
      <c r="B42" s="282">
        <v>86766644</v>
      </c>
      <c r="C42">
        <f t="shared" si="2"/>
        <v>123146023.80093834</v>
      </c>
      <c r="D42" s="160">
        <f t="shared" si="1"/>
        <v>-36379379.800938338</v>
      </c>
      <c r="E42" s="160"/>
      <c r="F42" s="642" t="s">
        <v>196</v>
      </c>
      <c r="G42" s="726" t="s">
        <v>197</v>
      </c>
      <c r="H42" s="726"/>
      <c r="I42" s="726"/>
      <c r="J42" s="726"/>
    </row>
    <row r="43" spans="1:10">
      <c r="A43" s="280">
        <v>6674</v>
      </c>
      <c r="B43" s="282">
        <v>76681291</v>
      </c>
      <c r="C43">
        <f t="shared" si="2"/>
        <v>73432523.423603192</v>
      </c>
      <c r="D43" s="160">
        <f t="shared" si="1"/>
        <v>3248767.576396808</v>
      </c>
      <c r="E43" s="160"/>
      <c r="F43" s="626"/>
      <c r="G43" s="726"/>
      <c r="H43" s="726"/>
      <c r="I43" s="726"/>
      <c r="J43" s="726"/>
    </row>
    <row r="44" spans="1:10">
      <c r="A44" s="280">
        <v>8063</v>
      </c>
      <c r="B44" s="282">
        <v>94555952</v>
      </c>
      <c r="C44">
        <f t="shared" si="2"/>
        <v>89865662.886744201</v>
      </c>
      <c r="D44" s="160">
        <f t="shared" si="1"/>
        <v>4690289.1132557988</v>
      </c>
      <c r="E44" s="160"/>
      <c r="G44" s="726"/>
      <c r="H44" s="726"/>
      <c r="I44" s="726"/>
      <c r="J44" s="726"/>
    </row>
    <row r="45" spans="1:10">
      <c r="A45" s="280">
        <v>17346</v>
      </c>
      <c r="B45" s="282">
        <v>183840966</v>
      </c>
      <c r="C45">
        <f t="shared" si="2"/>
        <v>199692036.99497887</v>
      </c>
      <c r="D45" s="160">
        <f t="shared" si="1"/>
        <v>-15851070.994978875</v>
      </c>
      <c r="E45" s="160"/>
      <c r="G45" s="726"/>
      <c r="H45" s="726"/>
      <c r="I45" s="726"/>
      <c r="J45" s="726"/>
    </row>
    <row r="46" spans="1:10">
      <c r="A46" s="280">
        <v>8362</v>
      </c>
      <c r="B46" s="282">
        <v>101445108</v>
      </c>
      <c r="C46">
        <f t="shared" si="2"/>
        <v>93403106.154907748</v>
      </c>
      <c r="D46" s="160">
        <f t="shared" si="1"/>
        <v>8042001.8450922519</v>
      </c>
      <c r="E46" s="160"/>
      <c r="G46" s="726"/>
      <c r="H46" s="726"/>
      <c r="I46" s="726"/>
      <c r="J46" s="726"/>
    </row>
    <row r="47" spans="1:10">
      <c r="A47" s="280">
        <v>10269</v>
      </c>
      <c r="B47" s="282">
        <v>225132560</v>
      </c>
      <c r="C47">
        <f t="shared" si="2"/>
        <v>115964659.03914814</v>
      </c>
      <c r="D47" s="160">
        <f t="shared" si="1"/>
        <v>109167900.96085186</v>
      </c>
      <c r="E47" s="160"/>
      <c r="G47" s="726"/>
      <c r="H47" s="726"/>
      <c r="I47" s="726"/>
      <c r="J47" s="726"/>
    </row>
    <row r="48" spans="1:10">
      <c r="A48" s="280">
        <v>9330</v>
      </c>
      <c r="B48" s="282">
        <v>187495584</v>
      </c>
      <c r="C48">
        <f t="shared" si="2"/>
        <v>104855430.84916297</v>
      </c>
      <c r="D48" s="160">
        <f t="shared" si="1"/>
        <v>82640153.150837034</v>
      </c>
      <c r="E48" s="160"/>
    </row>
    <row r="49" spans="1:5">
      <c r="A49" s="280">
        <v>27401</v>
      </c>
      <c r="B49" s="282">
        <v>327059693</v>
      </c>
      <c r="C49">
        <f t="shared" si="2"/>
        <v>318651876.66516089</v>
      </c>
      <c r="D49" s="160">
        <f t="shared" si="1"/>
        <v>8407816.3348391056</v>
      </c>
      <c r="E49" s="160"/>
    </row>
    <row r="50" spans="1:5">
      <c r="A50" s="280">
        <v>9786</v>
      </c>
      <c r="B50" s="282">
        <v>112163846</v>
      </c>
      <c r="C50">
        <f t="shared" si="2"/>
        <v>110250327.60596088</v>
      </c>
      <c r="D50" s="160">
        <f t="shared" si="1"/>
        <v>1913518.3940391243</v>
      </c>
      <c r="E50" s="160"/>
    </row>
    <row r="51" spans="1:5">
      <c r="A51" s="280">
        <v>14769</v>
      </c>
      <c r="B51" s="282">
        <v>160113015</v>
      </c>
      <c r="C51">
        <f t="shared" si="2"/>
        <v>169203771.77070647</v>
      </c>
      <c r="D51" s="160">
        <f t="shared" si="1"/>
        <v>-9090756.7707064748</v>
      </c>
      <c r="E51" s="160"/>
    </row>
    <row r="52" spans="1:5">
      <c r="A52" s="280">
        <v>73694</v>
      </c>
      <c r="B52" s="282">
        <v>1145132068</v>
      </c>
      <c r="C52">
        <f t="shared" si="2"/>
        <v>866340375.70561206</v>
      </c>
      <c r="D52" s="160">
        <f t="shared" si="1"/>
        <v>278791692.29438794</v>
      </c>
      <c r="E52" s="160"/>
    </row>
    <row r="53" spans="1:5">
      <c r="A53" s="280">
        <v>12286</v>
      </c>
      <c r="B53" s="282">
        <v>117352999</v>
      </c>
      <c r="C53">
        <f t="shared" si="2"/>
        <v>139827612.45682663</v>
      </c>
      <c r="D53" s="160">
        <f t="shared" si="1"/>
        <v>-22474613.456826627</v>
      </c>
      <c r="E53" s="160"/>
    </row>
    <row r="54" spans="1:5">
      <c r="A54" s="280">
        <v>9256</v>
      </c>
      <c r="B54" s="282">
        <v>132510273</v>
      </c>
      <c r="C54">
        <f t="shared" si="2"/>
        <v>103979943.21757734</v>
      </c>
      <c r="D54" s="160">
        <f t="shared" si="1"/>
        <v>28530329.782422662</v>
      </c>
      <c r="E54" s="160"/>
    </row>
    <row r="55" spans="1:5">
      <c r="A55" s="280">
        <v>10459</v>
      </c>
      <c r="B55" s="282">
        <v>234259597</v>
      </c>
      <c r="C55">
        <f t="shared" si="2"/>
        <v>118212532.68781392</v>
      </c>
      <c r="D55" s="160">
        <f t="shared" si="1"/>
        <v>116047064.31218608</v>
      </c>
      <c r="E55" s="160"/>
    </row>
    <row r="56" spans="1:5">
      <c r="A56" s="280">
        <v>11173</v>
      </c>
      <c r="B56" s="282">
        <v>174005311</v>
      </c>
      <c r="C56">
        <f t="shared" si="2"/>
        <v>126659805.24122119</v>
      </c>
      <c r="D56" s="160">
        <f t="shared" si="1"/>
        <v>47345505.758778811</v>
      </c>
      <c r="E56" s="160"/>
    </row>
    <row r="57" spans="1:5">
      <c r="A57" s="280">
        <v>4946</v>
      </c>
      <c r="B57" s="282">
        <v>90441581</v>
      </c>
      <c r="C57">
        <f t="shared" si="2"/>
        <v>52988704.134684786</v>
      </c>
      <c r="D57" s="160">
        <f t="shared" si="1"/>
        <v>37452876.865315214</v>
      </c>
      <c r="E57" s="160"/>
    </row>
    <row r="58" spans="1:5">
      <c r="A58" s="280">
        <v>16790</v>
      </c>
      <c r="B58" s="282">
        <v>201059123</v>
      </c>
      <c r="C58">
        <f t="shared" si="2"/>
        <v>193114048.84414634</v>
      </c>
      <c r="D58" s="160">
        <f t="shared" si="1"/>
        <v>7945074.1558536589</v>
      </c>
      <c r="E58" s="160"/>
    </row>
    <row r="59" spans="1:5">
      <c r="A59" s="280">
        <v>7363</v>
      </c>
      <c r="B59" s="282">
        <v>122647004</v>
      </c>
      <c r="C59">
        <f t="shared" si="2"/>
        <v>81584023.128501788</v>
      </c>
      <c r="D59" s="160">
        <f t="shared" si="1"/>
        <v>41062980.871498212</v>
      </c>
      <c r="E59" s="160"/>
    </row>
    <row r="60" spans="1:5">
      <c r="A60" s="280">
        <v>17210</v>
      </c>
      <c r="B60" s="282">
        <v>202434635</v>
      </c>
      <c r="C60">
        <f t="shared" si="2"/>
        <v>198083032.69909179</v>
      </c>
      <c r="D60" s="160">
        <f t="shared" si="1"/>
        <v>4351602.3009082079</v>
      </c>
      <c r="E60" s="160"/>
    </row>
    <row r="61" spans="1:5">
      <c r="A61" s="280">
        <v>12469</v>
      </c>
      <c r="B61" s="282">
        <v>100371830</v>
      </c>
      <c r="C61">
        <f t="shared" si="2"/>
        <v>141992669.70791</v>
      </c>
      <c r="D61" s="160">
        <f t="shared" si="1"/>
        <v>-41620839.707910001</v>
      </c>
      <c r="E61" s="160"/>
    </row>
    <row r="62" spans="1:5">
      <c r="A62" s="280">
        <v>36265</v>
      </c>
      <c r="B62" s="282">
        <v>380299351</v>
      </c>
      <c r="C62">
        <f t="shared" si="2"/>
        <v>423521097.83239055</v>
      </c>
      <c r="D62" s="160">
        <f t="shared" si="1"/>
        <v>-43221746.832390547</v>
      </c>
      <c r="E62" s="160"/>
    </row>
    <row r="63" spans="1:5">
      <c r="A63" s="280">
        <v>5960</v>
      </c>
      <c r="B63" s="282">
        <v>62561952</v>
      </c>
      <c r="C63">
        <f t="shared" si="2"/>
        <v>64985250.87019594</v>
      </c>
      <c r="D63" s="160">
        <f t="shared" si="1"/>
        <v>-2423298.8701959401</v>
      </c>
      <c r="E63" s="160"/>
    </row>
    <row r="64" spans="1:5">
      <c r="A64" s="280">
        <v>19231</v>
      </c>
      <c r="B64" s="282">
        <v>194684814</v>
      </c>
      <c r="C64">
        <f t="shared" si="2"/>
        <v>221993309.77253166</v>
      </c>
      <c r="D64" s="160">
        <f t="shared" si="1"/>
        <v>-27308495.772531658</v>
      </c>
      <c r="E64" s="160"/>
    </row>
    <row r="65" spans="1:5">
      <c r="A65" s="280">
        <v>7550</v>
      </c>
      <c r="B65" s="282">
        <v>35701560</v>
      </c>
      <c r="C65">
        <f t="shared" si="2"/>
        <v>83796404.035346553</v>
      </c>
      <c r="D65" s="160">
        <f t="shared" si="1"/>
        <v>-48094844.035346553</v>
      </c>
      <c r="E65" s="160"/>
    </row>
    <row r="66" spans="1:5">
      <c r="A66" s="280">
        <v>33253</v>
      </c>
      <c r="B66" s="282">
        <v>369569629</v>
      </c>
      <c r="C66">
        <f t="shared" si="2"/>
        <v>387886385.04406738</v>
      </c>
      <c r="D66" s="160">
        <f t="shared" si="1"/>
        <v>-18316756.044067383</v>
      </c>
      <c r="E66" s="160"/>
    </row>
    <row r="67" spans="1:5">
      <c r="A67" s="280">
        <v>13833</v>
      </c>
      <c r="B67" s="282">
        <v>189064665</v>
      </c>
      <c r="C67">
        <f t="shared" si="2"/>
        <v>158130036.32254234</v>
      </c>
      <c r="D67" s="160">
        <f t="shared" si="1"/>
        <v>30934628.67745766</v>
      </c>
      <c r="E67" s="160"/>
    </row>
    <row r="68" spans="1:5">
      <c r="A68" s="280">
        <v>10319</v>
      </c>
      <c r="B68" s="282">
        <v>152575529</v>
      </c>
      <c r="C68">
        <f t="shared" si="2"/>
        <v>116556204.73616545</v>
      </c>
      <c r="D68" s="160">
        <f t="shared" si="1"/>
        <v>36019324.263834551</v>
      </c>
      <c r="E68" s="160"/>
    </row>
    <row r="69" spans="1:5">
      <c r="A69" s="280">
        <v>9069</v>
      </c>
      <c r="B69" s="282">
        <v>86264114</v>
      </c>
      <c r="C69">
        <f t="shared" si="2"/>
        <v>101767562.31073257</v>
      </c>
      <c r="D69" s="160">
        <f t="shared" si="1"/>
        <v>-15503448.310732573</v>
      </c>
      <c r="E69" s="160"/>
    </row>
    <row r="70" spans="1:5">
      <c r="A70" s="280">
        <v>19340</v>
      </c>
      <c r="B70" s="282">
        <v>205412167</v>
      </c>
      <c r="C70">
        <f t="shared" ref="C70:C133" si="3">$G$5+A70*$G$6</f>
        <v>223282879.3920294</v>
      </c>
      <c r="D70" s="160">
        <f t="shared" ref="D70:D133" si="4">B70-C70</f>
        <v>-17870712.392029405</v>
      </c>
      <c r="E70" s="160"/>
    </row>
    <row r="71" spans="1:5">
      <c r="A71" s="280">
        <v>16695</v>
      </c>
      <c r="B71" s="282">
        <v>182216815</v>
      </c>
      <c r="C71">
        <f t="shared" si="3"/>
        <v>191990112.01981345</v>
      </c>
      <c r="D71" s="160">
        <f t="shared" si="4"/>
        <v>-9773297.0198134482</v>
      </c>
      <c r="E71" s="160"/>
    </row>
    <row r="72" spans="1:5">
      <c r="A72" s="280">
        <v>15629</v>
      </c>
      <c r="B72" s="282">
        <v>186949829</v>
      </c>
      <c r="C72">
        <f t="shared" si="3"/>
        <v>179378357.7594043</v>
      </c>
      <c r="D72" s="160">
        <f t="shared" si="4"/>
        <v>7571471.2405956984</v>
      </c>
      <c r="E72" s="160"/>
    </row>
    <row r="73" spans="1:5">
      <c r="A73" s="280">
        <v>7884</v>
      </c>
      <c r="B73" s="282">
        <v>95229434</v>
      </c>
      <c r="C73">
        <f t="shared" si="3"/>
        <v>87747929.291422218</v>
      </c>
      <c r="D73" s="160">
        <f t="shared" si="4"/>
        <v>7481504.7085777819</v>
      </c>
      <c r="E73" s="160"/>
    </row>
    <row r="74" spans="1:5">
      <c r="A74" s="280">
        <v>11236</v>
      </c>
      <c r="B74" s="282">
        <v>161657885</v>
      </c>
      <c r="C74">
        <f t="shared" si="3"/>
        <v>127405152.819463</v>
      </c>
      <c r="D74" s="160">
        <f t="shared" si="4"/>
        <v>34252732.180537</v>
      </c>
      <c r="E74" s="160"/>
    </row>
    <row r="75" spans="1:5">
      <c r="A75" s="280">
        <v>7741</v>
      </c>
      <c r="B75" s="282">
        <v>64519999</v>
      </c>
      <c r="C75">
        <f t="shared" si="3"/>
        <v>86056108.597952694</v>
      </c>
      <c r="D75" s="160">
        <f t="shared" si="4"/>
        <v>-21536109.597952694</v>
      </c>
      <c r="E75" s="160"/>
    </row>
    <row r="76" spans="1:5">
      <c r="A76" s="280">
        <v>11300</v>
      </c>
      <c r="B76" s="282">
        <v>143792616</v>
      </c>
      <c r="C76">
        <f t="shared" si="3"/>
        <v>128162331.31164517</v>
      </c>
      <c r="D76" s="160">
        <f t="shared" si="4"/>
        <v>15630284.688354835</v>
      </c>
      <c r="E76" s="160"/>
    </row>
    <row r="77" spans="1:5">
      <c r="A77" s="280">
        <v>12936</v>
      </c>
      <c r="B77" s="282">
        <v>172517723</v>
      </c>
      <c r="C77">
        <f t="shared" si="3"/>
        <v>147517706.51805171</v>
      </c>
      <c r="D77" s="160">
        <f t="shared" si="4"/>
        <v>25000016.481948286</v>
      </c>
      <c r="E77" s="160"/>
    </row>
    <row r="78" spans="1:5">
      <c r="A78" s="280">
        <v>11280</v>
      </c>
      <c r="B78" s="282">
        <v>128124203</v>
      </c>
      <c r="C78">
        <f t="shared" si="3"/>
        <v>127925713.03283824</v>
      </c>
      <c r="D78" s="160">
        <f t="shared" si="4"/>
        <v>198489.96716175973</v>
      </c>
      <c r="E78" s="160"/>
    </row>
    <row r="79" spans="1:5">
      <c r="A79" s="280">
        <v>10267</v>
      </c>
      <c r="B79" s="282">
        <v>76615316</v>
      </c>
      <c r="C79">
        <f t="shared" si="3"/>
        <v>115940997.21126744</v>
      </c>
      <c r="D79" s="160">
        <f t="shared" si="4"/>
        <v>-39325681.211267442</v>
      </c>
      <c r="E79" s="160"/>
    </row>
    <row r="80" spans="1:5">
      <c r="A80" s="280">
        <v>8798</v>
      </c>
      <c r="B80" s="282">
        <v>114766765</v>
      </c>
      <c r="C80">
        <f t="shared" si="3"/>
        <v>98561384.632898733</v>
      </c>
      <c r="D80" s="160">
        <f t="shared" si="4"/>
        <v>16205380.367101267</v>
      </c>
      <c r="E80" s="160"/>
    </row>
    <row r="81" spans="1:5">
      <c r="A81" s="280">
        <v>10774</v>
      </c>
      <c r="B81" s="282">
        <v>93761568</v>
      </c>
      <c r="C81">
        <f t="shared" si="3"/>
        <v>121939270.57902302</v>
      </c>
      <c r="D81" s="160">
        <f t="shared" si="4"/>
        <v>-28177702.579023018</v>
      </c>
      <c r="E81" s="160"/>
    </row>
    <row r="82" spans="1:5">
      <c r="A82" s="280">
        <v>5338</v>
      </c>
      <c r="B82" s="282">
        <v>43932406</v>
      </c>
      <c r="C82">
        <f t="shared" si="3"/>
        <v>57626422.399300538</v>
      </c>
      <c r="D82" s="160">
        <f t="shared" si="4"/>
        <v>-13694016.399300538</v>
      </c>
      <c r="E82" s="160"/>
    </row>
    <row r="83" spans="1:5">
      <c r="A83" s="280">
        <v>13553</v>
      </c>
      <c r="B83" s="282">
        <v>130391899</v>
      </c>
      <c r="C83">
        <f t="shared" si="3"/>
        <v>154817380.41924536</v>
      </c>
      <c r="D83" s="160">
        <f t="shared" si="4"/>
        <v>-24425481.419245362</v>
      </c>
      <c r="E83" s="160"/>
    </row>
    <row r="84" spans="1:5">
      <c r="A84" s="280">
        <v>19750</v>
      </c>
      <c r="B84" s="282">
        <v>200421595</v>
      </c>
      <c r="C84">
        <f t="shared" si="3"/>
        <v>228133554.10757139</v>
      </c>
      <c r="D84" s="160">
        <f t="shared" si="4"/>
        <v>-27711959.107571393</v>
      </c>
      <c r="E84" s="160"/>
    </row>
    <row r="85" spans="1:5">
      <c r="A85" s="280">
        <v>12941</v>
      </c>
      <c r="B85" s="282">
        <v>207666072</v>
      </c>
      <c r="C85">
        <f t="shared" si="3"/>
        <v>147576861.08775344</v>
      </c>
      <c r="D85" s="160">
        <f t="shared" si="4"/>
        <v>60089210.912246555</v>
      </c>
      <c r="E85" s="160"/>
    </row>
    <row r="86" spans="1:5">
      <c r="A86" s="280">
        <v>12268</v>
      </c>
      <c r="B86" s="282">
        <v>168760428</v>
      </c>
      <c r="C86">
        <f t="shared" si="3"/>
        <v>139614656.00590038</v>
      </c>
      <c r="D86" s="160">
        <f t="shared" si="4"/>
        <v>29145771.994099617</v>
      </c>
      <c r="E86" s="160"/>
    </row>
    <row r="87" spans="1:5">
      <c r="A87" s="280">
        <v>17781</v>
      </c>
      <c r="B87" s="282">
        <v>217261473</v>
      </c>
      <c r="C87">
        <f t="shared" si="3"/>
        <v>204838484.55902952</v>
      </c>
      <c r="D87" s="160">
        <f t="shared" si="4"/>
        <v>12422988.44097048</v>
      </c>
      <c r="E87" s="160"/>
    </row>
    <row r="88" spans="1:5">
      <c r="A88" s="280">
        <v>20979</v>
      </c>
      <c r="B88" s="282">
        <v>207900445</v>
      </c>
      <c r="C88">
        <f t="shared" si="3"/>
        <v>242673747.34025699</v>
      </c>
      <c r="D88" s="160">
        <f t="shared" si="4"/>
        <v>-34773302.340256989</v>
      </c>
      <c r="E88" s="160"/>
    </row>
    <row r="89" spans="1:5">
      <c r="A89" s="280">
        <v>7691</v>
      </c>
      <c r="B89" s="282">
        <v>72499231</v>
      </c>
      <c r="C89">
        <f t="shared" si="3"/>
        <v>85464562.900935382</v>
      </c>
      <c r="D89" s="160">
        <f t="shared" si="4"/>
        <v>-12965331.900935382</v>
      </c>
      <c r="E89" s="160"/>
    </row>
    <row r="90" spans="1:5">
      <c r="A90" s="280">
        <v>49628</v>
      </c>
      <c r="B90" s="282">
        <v>420112046</v>
      </c>
      <c r="C90">
        <f t="shared" si="3"/>
        <v>581617600.81723809</v>
      </c>
      <c r="D90" s="160">
        <f t="shared" si="4"/>
        <v>-161505554.81723809</v>
      </c>
      <c r="E90" s="160"/>
    </row>
    <row r="91" spans="1:5">
      <c r="A91" s="280">
        <v>37862</v>
      </c>
      <c r="B91" s="282">
        <v>460243839</v>
      </c>
      <c r="C91">
        <f t="shared" si="3"/>
        <v>442415067.39512348</v>
      </c>
      <c r="D91" s="160">
        <f t="shared" si="4"/>
        <v>17828771.604876518</v>
      </c>
      <c r="E91" s="160"/>
    </row>
    <row r="92" spans="1:5">
      <c r="A92" s="280">
        <v>10463</v>
      </c>
      <c r="B92" s="282">
        <v>82083138</v>
      </c>
      <c r="C92">
        <f t="shared" si="3"/>
        <v>118259856.34357531</v>
      </c>
      <c r="D92" s="160">
        <f t="shared" si="4"/>
        <v>-36176718.343575314</v>
      </c>
      <c r="E92" s="160"/>
    </row>
    <row r="93" spans="1:5">
      <c r="A93" s="280">
        <v>11199</v>
      </c>
      <c r="B93" s="282">
        <v>118307122</v>
      </c>
      <c r="C93">
        <f t="shared" si="3"/>
        <v>126967409.00367019</v>
      </c>
      <c r="D93" s="160">
        <f t="shared" si="4"/>
        <v>-8660287.0036701858</v>
      </c>
      <c r="E93" s="160"/>
    </row>
    <row r="94" spans="1:5">
      <c r="A94" s="280">
        <v>11916</v>
      </c>
      <c r="B94" s="282">
        <v>147521827</v>
      </c>
      <c r="C94">
        <f t="shared" si="3"/>
        <v>135450174.29889849</v>
      </c>
      <c r="D94" s="160">
        <f t="shared" si="4"/>
        <v>12071652.701101512</v>
      </c>
      <c r="E94" s="160"/>
    </row>
    <row r="95" spans="1:5">
      <c r="A95" s="280">
        <v>9784</v>
      </c>
      <c r="B95" s="282">
        <v>135681373</v>
      </c>
      <c r="C95">
        <f t="shared" si="3"/>
        <v>110226665.77808018</v>
      </c>
      <c r="D95" s="160">
        <f t="shared" si="4"/>
        <v>25454707.22191982</v>
      </c>
      <c r="E95" s="160"/>
    </row>
    <row r="96" spans="1:5">
      <c r="A96" s="280">
        <v>12402</v>
      </c>
      <c r="B96" s="282">
        <v>111552819</v>
      </c>
      <c r="C96">
        <f t="shared" si="3"/>
        <v>141199998.47390679</v>
      </c>
      <c r="D96" s="160">
        <f t="shared" si="4"/>
        <v>-29647179.473906785</v>
      </c>
      <c r="E96" s="160"/>
    </row>
    <row r="97" spans="1:5">
      <c r="A97" s="280">
        <v>5887</v>
      </c>
      <c r="B97" s="282">
        <v>60152045</v>
      </c>
      <c r="C97">
        <f t="shared" si="3"/>
        <v>64121594.152550653</v>
      </c>
      <c r="D97" s="160">
        <f t="shared" si="4"/>
        <v>-3969549.1525506526</v>
      </c>
      <c r="E97" s="160"/>
    </row>
    <row r="98" spans="1:5">
      <c r="A98" s="280">
        <v>33774</v>
      </c>
      <c r="B98" s="282">
        <v>378967678</v>
      </c>
      <c r="C98">
        <f t="shared" si="3"/>
        <v>394050291.20698786</v>
      </c>
      <c r="D98" s="160">
        <f t="shared" si="4"/>
        <v>-15082613.206987858</v>
      </c>
      <c r="E98" s="160"/>
    </row>
    <row r="99" spans="1:5">
      <c r="A99" s="280">
        <v>30101</v>
      </c>
      <c r="B99" s="282">
        <v>236920113</v>
      </c>
      <c r="C99">
        <f t="shared" si="3"/>
        <v>350595344.30409586</v>
      </c>
      <c r="D99" s="160">
        <f t="shared" si="4"/>
        <v>-113675231.30409586</v>
      </c>
      <c r="E99" s="160"/>
    </row>
    <row r="100" spans="1:5">
      <c r="A100" s="280">
        <v>14896</v>
      </c>
      <c r="B100" s="282">
        <v>138591072</v>
      </c>
      <c r="C100">
        <f t="shared" si="3"/>
        <v>170706297.84113047</v>
      </c>
      <c r="D100" s="160">
        <f t="shared" si="4"/>
        <v>-32115225.841130465</v>
      </c>
      <c r="E100" s="160"/>
    </row>
    <row r="101" spans="1:5">
      <c r="A101" s="280">
        <v>19855</v>
      </c>
      <c r="B101" s="282">
        <v>208179003</v>
      </c>
      <c r="C101">
        <f t="shared" si="3"/>
        <v>229375800.07130775</v>
      </c>
      <c r="D101" s="160">
        <f t="shared" si="4"/>
        <v>-21196797.071307749</v>
      </c>
      <c r="E101" s="160"/>
    </row>
    <row r="102" spans="1:5">
      <c r="A102" s="280">
        <v>10257</v>
      </c>
      <c r="B102" s="282">
        <v>236324125</v>
      </c>
      <c r="C102">
        <f t="shared" si="3"/>
        <v>115822688.07186398</v>
      </c>
      <c r="D102" s="160">
        <f t="shared" si="4"/>
        <v>120501436.92813602</v>
      </c>
      <c r="E102" s="160"/>
    </row>
    <row r="103" spans="1:5">
      <c r="A103" s="280">
        <v>63154</v>
      </c>
      <c r="B103" s="282">
        <v>561373875</v>
      </c>
      <c r="C103">
        <f t="shared" si="3"/>
        <v>741642542.77436209</v>
      </c>
      <c r="D103" s="160">
        <f t="shared" si="4"/>
        <v>-180268667.77436209</v>
      </c>
      <c r="E103" s="160"/>
    </row>
    <row r="104" spans="1:5">
      <c r="A104" s="280">
        <v>13075</v>
      </c>
      <c r="B104" s="282">
        <v>197731000</v>
      </c>
      <c r="C104">
        <f t="shared" si="3"/>
        <v>149162203.55575985</v>
      </c>
      <c r="D104" s="160">
        <f t="shared" si="4"/>
        <v>48568796.444240153</v>
      </c>
      <c r="E104" s="160"/>
    </row>
    <row r="105" spans="1:5">
      <c r="A105" s="280">
        <v>16383</v>
      </c>
      <c r="B105" s="282">
        <v>268721597</v>
      </c>
      <c r="C105">
        <f t="shared" si="3"/>
        <v>188298866.8704254</v>
      </c>
      <c r="D105" s="160">
        <f t="shared" si="4"/>
        <v>80422730.129574597</v>
      </c>
      <c r="E105" s="160"/>
    </row>
    <row r="106" spans="1:5">
      <c r="A106" s="280">
        <v>9953</v>
      </c>
      <c r="B106" s="282">
        <v>116899583</v>
      </c>
      <c r="C106">
        <f t="shared" si="3"/>
        <v>112226090.2339987</v>
      </c>
      <c r="D106" s="160">
        <f t="shared" si="4"/>
        <v>4673492.766001299</v>
      </c>
      <c r="E106" s="160"/>
    </row>
    <row r="107" spans="1:5">
      <c r="A107" s="280">
        <v>12898</v>
      </c>
      <c r="B107" s="282">
        <v>122622336</v>
      </c>
      <c r="C107">
        <f t="shared" si="3"/>
        <v>147068131.78831854</v>
      </c>
      <c r="D107" s="160">
        <f t="shared" si="4"/>
        <v>-24445795.788318545</v>
      </c>
      <c r="E107" s="160"/>
    </row>
    <row r="108" spans="1:5">
      <c r="A108" s="280">
        <v>29313</v>
      </c>
      <c r="B108" s="282">
        <v>487171239</v>
      </c>
      <c r="C108">
        <f t="shared" si="3"/>
        <v>341272584.11910307</v>
      </c>
      <c r="D108" s="160">
        <f t="shared" si="4"/>
        <v>145898654.88089693</v>
      </c>
      <c r="E108" s="160"/>
    </row>
    <row r="109" spans="1:5">
      <c r="A109" s="280">
        <v>13617</v>
      </c>
      <c r="B109" s="282">
        <v>160398755</v>
      </c>
      <c r="C109">
        <f t="shared" si="3"/>
        <v>155574558.91142753</v>
      </c>
      <c r="D109" s="160">
        <f t="shared" si="4"/>
        <v>4824196.0885724723</v>
      </c>
      <c r="E109" s="160"/>
    </row>
    <row r="110" spans="1:5">
      <c r="A110" s="280">
        <v>12369</v>
      </c>
      <c r="B110" s="282">
        <v>100247480</v>
      </c>
      <c r="C110">
        <f t="shared" si="3"/>
        <v>140809578.31387535</v>
      </c>
      <c r="D110" s="160">
        <f t="shared" si="4"/>
        <v>-40562098.313875347</v>
      </c>
      <c r="E110" s="160"/>
    </row>
    <row r="111" spans="1:5">
      <c r="A111" s="280">
        <v>10276</v>
      </c>
      <c r="B111" s="282">
        <v>128878838</v>
      </c>
      <c r="C111">
        <f t="shared" si="3"/>
        <v>116047475.43673056</v>
      </c>
      <c r="D111" s="160">
        <f t="shared" si="4"/>
        <v>12831362.563269436</v>
      </c>
      <c r="E111" s="160"/>
    </row>
    <row r="112" spans="1:5">
      <c r="A112" s="280">
        <v>13674</v>
      </c>
      <c r="B112" s="282">
        <v>180492567</v>
      </c>
      <c r="C112">
        <f t="shared" si="3"/>
        <v>156248921.00602728</v>
      </c>
      <c r="D112" s="160">
        <f t="shared" si="4"/>
        <v>24243645.993972719</v>
      </c>
      <c r="E112" s="160"/>
    </row>
    <row r="113" spans="1:5">
      <c r="A113" s="280">
        <v>5707</v>
      </c>
      <c r="B113" s="282">
        <v>106479010</v>
      </c>
      <c r="C113">
        <f t="shared" si="3"/>
        <v>61992029.643288329</v>
      </c>
      <c r="D113" s="160">
        <f t="shared" si="4"/>
        <v>44486980.356711671</v>
      </c>
      <c r="E113" s="160"/>
    </row>
    <row r="114" spans="1:5">
      <c r="A114" s="280">
        <v>9037</v>
      </c>
      <c r="B114" s="282">
        <v>77070230</v>
      </c>
      <c r="C114">
        <f t="shared" si="3"/>
        <v>101388973.06464149</v>
      </c>
      <c r="D114" s="160">
        <f t="shared" si="4"/>
        <v>-24318743.064641491</v>
      </c>
      <c r="E114" s="160"/>
    </row>
    <row r="115" spans="1:5">
      <c r="A115" s="280">
        <v>8198</v>
      </c>
      <c r="B115" s="282">
        <v>63024468</v>
      </c>
      <c r="C115">
        <f t="shared" si="3"/>
        <v>91462836.268690944</v>
      </c>
      <c r="D115" s="160">
        <f t="shared" si="4"/>
        <v>-28438368.268690944</v>
      </c>
      <c r="E115" s="160"/>
    </row>
    <row r="116" spans="1:5">
      <c r="A116" s="280">
        <v>25456</v>
      </c>
      <c r="B116" s="282">
        <v>329093574</v>
      </c>
      <c r="C116">
        <f t="shared" si="3"/>
        <v>295640749.0511874</v>
      </c>
      <c r="D116" s="160">
        <f t="shared" si="4"/>
        <v>33452824.948812604</v>
      </c>
      <c r="E116" s="160"/>
    </row>
    <row r="117" spans="1:5">
      <c r="A117" s="280">
        <v>5954</v>
      </c>
      <c r="B117" s="282">
        <v>53187545</v>
      </c>
      <c r="C117">
        <f t="shared" si="3"/>
        <v>64914265.386553854</v>
      </c>
      <c r="D117" s="160">
        <f t="shared" si="4"/>
        <v>-11726720.386553854</v>
      </c>
      <c r="E117" s="160"/>
    </row>
    <row r="118" spans="1:5">
      <c r="A118" s="280">
        <v>6892</v>
      </c>
      <c r="B118" s="282">
        <v>77801858</v>
      </c>
      <c r="C118">
        <f t="shared" si="3"/>
        <v>76011662.662598684</v>
      </c>
      <c r="D118" s="160">
        <f t="shared" si="4"/>
        <v>1790195.3374013156</v>
      </c>
      <c r="E118" s="160"/>
    </row>
    <row r="119" spans="1:5">
      <c r="A119" s="280">
        <v>8559</v>
      </c>
      <c r="B119" s="282">
        <v>112930925</v>
      </c>
      <c r="C119">
        <f t="shared" si="3"/>
        <v>95733796.201155961</v>
      </c>
      <c r="D119" s="160">
        <f t="shared" si="4"/>
        <v>17197128.798844039</v>
      </c>
      <c r="E119" s="160"/>
    </row>
    <row r="120" spans="1:5">
      <c r="A120" s="280">
        <v>6137</v>
      </c>
      <c r="B120" s="282">
        <v>80797046</v>
      </c>
      <c r="C120">
        <f t="shared" si="3"/>
        <v>67079322.637637228</v>
      </c>
      <c r="D120" s="160">
        <f t="shared" si="4"/>
        <v>13717723.362362772</v>
      </c>
      <c r="E120" s="160"/>
    </row>
    <row r="121" spans="1:5">
      <c r="A121" s="280">
        <v>11559</v>
      </c>
      <c r="B121" s="282">
        <v>113808960</v>
      </c>
      <c r="C121">
        <f t="shared" si="3"/>
        <v>131226538.02219486</v>
      </c>
      <c r="D121" s="160">
        <f t="shared" si="4"/>
        <v>-17417578.022194862</v>
      </c>
      <c r="E121" s="160"/>
    </row>
    <row r="122" spans="1:5">
      <c r="A122" s="280">
        <v>23676</v>
      </c>
      <c r="B122" s="282">
        <v>324246762</v>
      </c>
      <c r="C122">
        <f t="shared" si="3"/>
        <v>274581722.23737097</v>
      </c>
      <c r="D122" s="160">
        <f t="shared" si="4"/>
        <v>49665039.762629032</v>
      </c>
      <c r="E122" s="160"/>
    </row>
    <row r="123" spans="1:5">
      <c r="A123" s="280">
        <v>12413</v>
      </c>
      <c r="B123" s="282">
        <v>102580846</v>
      </c>
      <c r="C123">
        <f t="shared" si="3"/>
        <v>141330138.52725059</v>
      </c>
      <c r="D123" s="160">
        <f t="shared" si="4"/>
        <v>-38749292.527250588</v>
      </c>
      <c r="E123" s="160"/>
    </row>
    <row r="124" spans="1:5">
      <c r="A124" s="280">
        <v>18178</v>
      </c>
      <c r="B124" s="282">
        <v>142888677</v>
      </c>
      <c r="C124">
        <f t="shared" si="3"/>
        <v>209535357.393347</v>
      </c>
      <c r="D124" s="160">
        <f t="shared" si="4"/>
        <v>-66646680.393346995</v>
      </c>
      <c r="E124" s="160"/>
    </row>
    <row r="125" spans="1:5">
      <c r="A125" s="280">
        <v>7561</v>
      </c>
      <c r="B125" s="282">
        <v>56049114</v>
      </c>
      <c r="C125">
        <f t="shared" si="3"/>
        <v>83926544.088690355</v>
      </c>
      <c r="D125" s="160">
        <f t="shared" si="4"/>
        <v>-27877430.088690355</v>
      </c>
      <c r="E125" s="160"/>
    </row>
    <row r="126" spans="1:5">
      <c r="A126" s="280">
        <v>37037</v>
      </c>
      <c r="B126" s="282">
        <v>414617442</v>
      </c>
      <c r="C126">
        <f t="shared" si="3"/>
        <v>432654563.39433777</v>
      </c>
      <c r="D126" s="160">
        <f t="shared" si="4"/>
        <v>-18037121.394337773</v>
      </c>
      <c r="E126" s="160"/>
    </row>
    <row r="127" spans="1:5">
      <c r="A127" s="280">
        <v>10756</v>
      </c>
      <c r="B127" s="282">
        <v>143977159</v>
      </c>
      <c r="C127">
        <f t="shared" si="3"/>
        <v>121726314.12809677</v>
      </c>
      <c r="D127" s="160">
        <f t="shared" si="4"/>
        <v>22250844.871903226</v>
      </c>
      <c r="E127" s="160"/>
    </row>
    <row r="128" spans="1:5">
      <c r="A128" s="280">
        <v>8681</v>
      </c>
      <c r="B128" s="282">
        <v>82457632</v>
      </c>
      <c r="C128">
        <f t="shared" si="3"/>
        <v>97177167.701878205</v>
      </c>
      <c r="D128" s="160">
        <f t="shared" si="4"/>
        <v>-14719535.701878205</v>
      </c>
      <c r="E128" s="160"/>
    </row>
    <row r="129" spans="1:5">
      <c r="A129" s="280">
        <v>48273</v>
      </c>
      <c r="B129" s="282">
        <v>566879683</v>
      </c>
      <c r="C129">
        <f t="shared" si="3"/>
        <v>565586712.42806888</v>
      </c>
      <c r="D129" s="160">
        <f t="shared" si="4"/>
        <v>1292970.5719311237</v>
      </c>
      <c r="E129" s="160"/>
    </row>
    <row r="130" spans="1:5">
      <c r="A130" s="280">
        <v>32463</v>
      </c>
      <c r="B130" s="282">
        <v>269283069</v>
      </c>
      <c r="C130">
        <f t="shared" si="3"/>
        <v>378539963.03119385</v>
      </c>
      <c r="D130" s="160">
        <f t="shared" si="4"/>
        <v>-109256894.03119385</v>
      </c>
      <c r="E130" s="160"/>
    </row>
    <row r="131" spans="1:5">
      <c r="A131" s="280">
        <v>6443</v>
      </c>
      <c r="B131" s="282">
        <v>87287138</v>
      </c>
      <c r="C131">
        <f t="shared" si="3"/>
        <v>70699582.303383201</v>
      </c>
      <c r="D131" s="160">
        <f t="shared" si="4"/>
        <v>16587555.696616799</v>
      </c>
      <c r="E131" s="160"/>
    </row>
    <row r="132" spans="1:5">
      <c r="A132" s="280">
        <v>6041</v>
      </c>
      <c r="B132" s="282">
        <v>73797046</v>
      </c>
      <c r="C132">
        <f t="shared" si="3"/>
        <v>65943554.89936398</v>
      </c>
      <c r="D132" s="160">
        <f t="shared" si="4"/>
        <v>7853491.1006360203</v>
      </c>
      <c r="E132" s="160"/>
    </row>
    <row r="133" spans="1:5">
      <c r="A133" s="280">
        <v>15465</v>
      </c>
      <c r="B133" s="282">
        <v>162315785</v>
      </c>
      <c r="C133">
        <f t="shared" si="3"/>
        <v>177438087.87318748</v>
      </c>
      <c r="D133" s="160">
        <f t="shared" si="4"/>
        <v>-15122302.873187482</v>
      </c>
      <c r="E133" s="160"/>
    </row>
    <row r="134" spans="1:5">
      <c r="A134" s="280">
        <v>7597</v>
      </c>
      <c r="B134" s="282">
        <v>121217933</v>
      </c>
      <c r="C134">
        <f t="shared" ref="C134:C197" si="5">$G$5+A134*$G$6</f>
        <v>84352456.990542829</v>
      </c>
      <c r="D134" s="160">
        <f t="shared" ref="D134:D197" si="6">B134-C134</f>
        <v>36865476.009457171</v>
      </c>
      <c r="E134" s="160"/>
    </row>
    <row r="135" spans="1:5">
      <c r="A135" s="280">
        <v>5925</v>
      </c>
      <c r="B135" s="282">
        <v>85149212</v>
      </c>
      <c r="C135">
        <f t="shared" si="5"/>
        <v>64571168.882283822</v>
      </c>
      <c r="D135" s="160">
        <f t="shared" si="6"/>
        <v>20578043.117716178</v>
      </c>
      <c r="E135" s="160"/>
    </row>
    <row r="136" spans="1:5">
      <c r="A136" s="280">
        <v>17974</v>
      </c>
      <c r="B136" s="282">
        <v>260712844</v>
      </c>
      <c r="C136">
        <f t="shared" si="5"/>
        <v>207121850.94951636</v>
      </c>
      <c r="D136" s="160">
        <f t="shared" si="6"/>
        <v>53590993.050483644</v>
      </c>
      <c r="E136" s="160"/>
    </row>
    <row r="137" spans="1:5">
      <c r="A137" s="280">
        <v>21138</v>
      </c>
      <c r="B137" s="282">
        <v>241093844</v>
      </c>
      <c r="C137">
        <f t="shared" si="5"/>
        <v>244554862.65677205</v>
      </c>
      <c r="D137" s="160">
        <f t="shared" si="6"/>
        <v>-3461018.6567720473</v>
      </c>
      <c r="E137" s="160"/>
    </row>
    <row r="138" spans="1:5">
      <c r="A138" s="280">
        <v>34430</v>
      </c>
      <c r="B138" s="282">
        <v>444372224</v>
      </c>
      <c r="C138">
        <f t="shared" si="5"/>
        <v>401811370.75185502</v>
      </c>
      <c r="D138" s="160">
        <f t="shared" si="6"/>
        <v>42560853.248144984</v>
      </c>
      <c r="E138" s="160"/>
    </row>
    <row r="139" spans="1:5">
      <c r="A139" s="280">
        <v>27662</v>
      </c>
      <c r="B139" s="282">
        <v>271958076</v>
      </c>
      <c r="C139">
        <f t="shared" si="5"/>
        <v>321739745.20359135</v>
      </c>
      <c r="D139" s="160">
        <f t="shared" si="6"/>
        <v>-49781669.203591347</v>
      </c>
      <c r="E139" s="160"/>
    </row>
    <row r="140" spans="1:5">
      <c r="A140" s="280">
        <v>36867</v>
      </c>
      <c r="B140" s="282">
        <v>288067201</v>
      </c>
      <c r="C140">
        <f t="shared" si="5"/>
        <v>430643308.02447891</v>
      </c>
      <c r="D140" s="160">
        <f t="shared" si="6"/>
        <v>-142576107.02447891</v>
      </c>
      <c r="E140" s="160"/>
    </row>
    <row r="141" spans="1:5">
      <c r="A141" s="280">
        <v>29820</v>
      </c>
      <c r="B141" s="282">
        <v>329267992</v>
      </c>
      <c r="C141">
        <f t="shared" si="5"/>
        <v>347270857.48685861</v>
      </c>
      <c r="D141" s="160">
        <f t="shared" si="6"/>
        <v>-18002865.486858606</v>
      </c>
      <c r="E141" s="160"/>
    </row>
    <row r="142" spans="1:5">
      <c r="A142" s="280">
        <v>20262</v>
      </c>
      <c r="B142" s="282">
        <v>213649486</v>
      </c>
      <c r="C142">
        <f t="shared" si="5"/>
        <v>234190982.04502869</v>
      </c>
      <c r="D142" s="160">
        <f t="shared" si="6"/>
        <v>-20541496.045028687</v>
      </c>
      <c r="E142" s="160"/>
    </row>
    <row r="143" spans="1:5">
      <c r="A143" s="280">
        <v>40133</v>
      </c>
      <c r="B143" s="282">
        <v>416506358</v>
      </c>
      <c r="C143">
        <f t="shared" si="5"/>
        <v>469283072.95365</v>
      </c>
      <c r="D143" s="160">
        <f t="shared" si="6"/>
        <v>-52776714.953649998</v>
      </c>
      <c r="E143" s="160"/>
    </row>
    <row r="144" spans="1:5">
      <c r="A144" s="280">
        <v>7516</v>
      </c>
      <c r="B144" s="282">
        <v>136587951</v>
      </c>
      <c r="C144">
        <f t="shared" si="5"/>
        <v>83394152.961374775</v>
      </c>
      <c r="D144" s="160">
        <f t="shared" si="6"/>
        <v>53193798.038625225</v>
      </c>
      <c r="E144" s="160"/>
    </row>
    <row r="145" spans="1:5">
      <c r="A145" s="280">
        <v>17099</v>
      </c>
      <c r="B145" s="282">
        <v>157794190</v>
      </c>
      <c r="C145">
        <f t="shared" si="5"/>
        <v>196769801.25171334</v>
      </c>
      <c r="D145" s="160">
        <f t="shared" si="6"/>
        <v>-38975611.251713336</v>
      </c>
      <c r="E145" s="160"/>
    </row>
    <row r="146" spans="1:5">
      <c r="A146" s="280">
        <v>15013</v>
      </c>
      <c r="B146" s="282">
        <v>202073625</v>
      </c>
      <c r="C146">
        <f t="shared" si="5"/>
        <v>172090514.77215096</v>
      </c>
      <c r="D146" s="160">
        <f t="shared" si="6"/>
        <v>29983110.227849036</v>
      </c>
      <c r="E146" s="160"/>
    </row>
    <row r="147" spans="1:5">
      <c r="A147" s="280">
        <v>28957</v>
      </c>
      <c r="B147" s="282">
        <v>273058705</v>
      </c>
      <c r="C147">
        <f t="shared" si="5"/>
        <v>337060778.75633979</v>
      </c>
      <c r="D147" s="160">
        <f t="shared" si="6"/>
        <v>-64002073.756339788</v>
      </c>
      <c r="E147" s="160"/>
    </row>
    <row r="148" spans="1:5">
      <c r="A148" s="280">
        <v>23711</v>
      </c>
      <c r="B148" s="282">
        <v>267329957</v>
      </c>
      <c r="C148">
        <f t="shared" si="5"/>
        <v>274995804.22528303</v>
      </c>
      <c r="D148" s="160">
        <f t="shared" si="6"/>
        <v>-7665847.2252830267</v>
      </c>
      <c r="E148" s="160"/>
    </row>
    <row r="149" spans="1:5">
      <c r="A149" s="280">
        <v>6003</v>
      </c>
      <c r="B149" s="282">
        <v>42404961</v>
      </c>
      <c r="C149">
        <f t="shared" si="5"/>
        <v>65493980.169630826</v>
      </c>
      <c r="D149" s="160">
        <f t="shared" si="6"/>
        <v>-23089019.169630826</v>
      </c>
      <c r="E149" s="160"/>
    </row>
    <row r="150" spans="1:5">
      <c r="A150" s="280">
        <v>25042</v>
      </c>
      <c r="B150" s="282">
        <v>354901324</v>
      </c>
      <c r="C150">
        <f t="shared" si="5"/>
        <v>290742750.67988396</v>
      </c>
      <c r="D150" s="160">
        <f t="shared" si="6"/>
        <v>64158573.320116043</v>
      </c>
      <c r="E150" s="160"/>
    </row>
    <row r="151" spans="1:5">
      <c r="A151" s="280">
        <v>5286</v>
      </c>
      <c r="B151" s="282">
        <v>69258840</v>
      </c>
      <c r="C151">
        <f t="shared" si="5"/>
        <v>57011214.87440253</v>
      </c>
      <c r="D151" s="160">
        <f t="shared" si="6"/>
        <v>12247625.12559747</v>
      </c>
      <c r="E151" s="160"/>
    </row>
    <row r="152" spans="1:5">
      <c r="A152" s="280">
        <v>5507</v>
      </c>
      <c r="B152" s="282">
        <v>105120150</v>
      </c>
      <c r="C152">
        <f t="shared" si="5"/>
        <v>59625846.855219066</v>
      </c>
      <c r="D152" s="160">
        <f t="shared" si="6"/>
        <v>45494303.144780934</v>
      </c>
      <c r="E152" s="160"/>
    </row>
    <row r="153" spans="1:5">
      <c r="A153" s="280">
        <v>6336</v>
      </c>
      <c r="B153" s="282">
        <v>78417235</v>
      </c>
      <c r="C153">
        <f t="shared" si="5"/>
        <v>69433674.511766151</v>
      </c>
      <c r="D153" s="160">
        <f t="shared" si="6"/>
        <v>8983560.4882338494</v>
      </c>
      <c r="E153" s="160"/>
    </row>
    <row r="154" spans="1:5">
      <c r="A154" s="280">
        <v>17441</v>
      </c>
      <c r="B154" s="282">
        <v>235016224</v>
      </c>
      <c r="C154">
        <f t="shared" si="5"/>
        <v>200815973.81931177</v>
      </c>
      <c r="D154" s="160">
        <f t="shared" si="6"/>
        <v>34200250.180688232</v>
      </c>
      <c r="E154" s="160"/>
    </row>
    <row r="155" spans="1:5">
      <c r="A155" s="280">
        <v>25150</v>
      </c>
      <c r="B155" s="282">
        <v>295033817</v>
      </c>
      <c r="C155">
        <f t="shared" si="5"/>
        <v>292020489.38544142</v>
      </c>
      <c r="D155" s="160">
        <f t="shared" si="6"/>
        <v>3013327.6145585775</v>
      </c>
      <c r="E155" s="160"/>
    </row>
    <row r="156" spans="1:5">
      <c r="A156" s="280">
        <v>11955</v>
      </c>
      <c r="B156" s="282">
        <v>143035665</v>
      </c>
      <c r="C156">
        <f t="shared" si="5"/>
        <v>135911579.942572</v>
      </c>
      <c r="D156" s="160">
        <f t="shared" si="6"/>
        <v>7124085.0574280024</v>
      </c>
      <c r="E156" s="160"/>
    </row>
    <row r="157" spans="1:5">
      <c r="A157" s="280">
        <v>8495</v>
      </c>
      <c r="B157" s="282">
        <v>84559572</v>
      </c>
      <c r="C157">
        <f t="shared" si="5"/>
        <v>94976617.708973795</v>
      </c>
      <c r="D157" s="160">
        <f t="shared" si="6"/>
        <v>-10417045.708973795</v>
      </c>
      <c r="E157" s="160"/>
    </row>
    <row r="158" spans="1:5">
      <c r="A158" s="280">
        <v>9845</v>
      </c>
      <c r="B158" s="282">
        <v>113305535</v>
      </c>
      <c r="C158">
        <f t="shared" si="5"/>
        <v>110948351.5284413</v>
      </c>
      <c r="D158" s="160">
        <f t="shared" si="6"/>
        <v>2357183.471558705</v>
      </c>
      <c r="E158" s="160"/>
    </row>
    <row r="159" spans="1:5">
      <c r="A159" s="280">
        <v>7441</v>
      </c>
      <c r="B159" s="282">
        <v>83246557</v>
      </c>
      <c r="C159">
        <f t="shared" si="5"/>
        <v>82506834.415848807</v>
      </c>
      <c r="D159" s="160">
        <f t="shared" si="6"/>
        <v>739722.5841511935</v>
      </c>
      <c r="E159" s="160"/>
    </row>
    <row r="160" spans="1:5">
      <c r="A160" s="280">
        <v>7322</v>
      </c>
      <c r="B160" s="282">
        <v>86248364</v>
      </c>
      <c r="C160">
        <f t="shared" si="5"/>
        <v>81098955.656947598</v>
      </c>
      <c r="D160" s="160">
        <f t="shared" si="6"/>
        <v>5149408.3430524021</v>
      </c>
      <c r="E160" s="160"/>
    </row>
    <row r="161" spans="1:5">
      <c r="A161" s="280">
        <v>15470</v>
      </c>
      <c r="B161" s="282">
        <v>195143501</v>
      </c>
      <c r="C161">
        <f t="shared" si="5"/>
        <v>177497242.44288921</v>
      </c>
      <c r="D161" s="160">
        <f t="shared" si="6"/>
        <v>17646258.557110786</v>
      </c>
      <c r="E161" s="160"/>
    </row>
    <row r="162" spans="1:5">
      <c r="A162" s="280">
        <v>11722</v>
      </c>
      <c r="B162" s="282">
        <v>124610228</v>
      </c>
      <c r="C162">
        <f t="shared" si="5"/>
        <v>133154976.99447131</v>
      </c>
      <c r="D162" s="160">
        <f t="shared" si="6"/>
        <v>-8544748.9944713116</v>
      </c>
      <c r="E162" s="160"/>
    </row>
    <row r="163" spans="1:5">
      <c r="A163" s="280">
        <v>17150</v>
      </c>
      <c r="B163" s="282">
        <v>241653283</v>
      </c>
      <c r="C163">
        <f t="shared" si="5"/>
        <v>197373177.86267102</v>
      </c>
      <c r="D163" s="160">
        <f t="shared" si="6"/>
        <v>44280105.137328982</v>
      </c>
      <c r="E163" s="160"/>
    </row>
    <row r="164" spans="1:5">
      <c r="A164" s="280">
        <v>23129</v>
      </c>
      <c r="B164" s="282">
        <v>228706431</v>
      </c>
      <c r="C164">
        <f t="shared" si="5"/>
        <v>268110212.3120015</v>
      </c>
      <c r="D164" s="160">
        <f t="shared" si="6"/>
        <v>-39403781.312001497</v>
      </c>
      <c r="E164" s="160"/>
    </row>
    <row r="165" spans="1:5">
      <c r="A165" s="280">
        <v>43166</v>
      </c>
      <c r="B165" s="282">
        <v>356941047</v>
      </c>
      <c r="C165">
        <f t="shared" si="5"/>
        <v>505166234.93472028</v>
      </c>
      <c r="D165" s="160">
        <f t="shared" si="6"/>
        <v>-148225187.93472028</v>
      </c>
      <c r="E165" s="160"/>
    </row>
    <row r="166" spans="1:5">
      <c r="A166" s="280">
        <v>34542</v>
      </c>
      <c r="B166" s="282">
        <v>453169138</v>
      </c>
      <c r="C166">
        <f t="shared" si="5"/>
        <v>403136433.11317384</v>
      </c>
      <c r="D166" s="160">
        <f t="shared" si="6"/>
        <v>50032704.886826158</v>
      </c>
      <c r="E166" s="160"/>
    </row>
    <row r="167" spans="1:5">
      <c r="A167" s="280">
        <v>10600</v>
      </c>
      <c r="B167" s="282">
        <v>120950290</v>
      </c>
      <c r="C167">
        <f t="shared" si="5"/>
        <v>119880691.55340275</v>
      </c>
      <c r="D167" s="160">
        <f t="shared" si="6"/>
        <v>1069598.4465972483</v>
      </c>
      <c r="E167" s="160"/>
    </row>
    <row r="168" spans="1:5">
      <c r="A168" s="280">
        <v>7532</v>
      </c>
      <c r="B168" s="282">
        <v>63795289</v>
      </c>
      <c r="C168">
        <f t="shared" si="5"/>
        <v>83583447.584420308</v>
      </c>
      <c r="D168" s="160">
        <f t="shared" si="6"/>
        <v>-19788158.584420308</v>
      </c>
      <c r="E168" s="160"/>
    </row>
    <row r="169" spans="1:5">
      <c r="A169" s="280">
        <v>36268</v>
      </c>
      <c r="B169" s="282">
        <v>573516046</v>
      </c>
      <c r="C169">
        <f t="shared" si="5"/>
        <v>423556590.57421148</v>
      </c>
      <c r="D169" s="160">
        <f t="shared" si="6"/>
        <v>149959455.42578852</v>
      </c>
      <c r="E169" s="160"/>
    </row>
    <row r="170" spans="1:5">
      <c r="A170" s="280">
        <v>6232</v>
      </c>
      <c r="B170" s="282">
        <v>57210647</v>
      </c>
      <c r="C170">
        <f t="shared" si="5"/>
        <v>68203259.461970136</v>
      </c>
      <c r="D170" s="160">
        <f t="shared" si="6"/>
        <v>-10992612.461970136</v>
      </c>
      <c r="E170" s="160"/>
    </row>
    <row r="171" spans="1:5">
      <c r="A171" s="280">
        <v>11270</v>
      </c>
      <c r="B171" s="282">
        <v>93376536</v>
      </c>
      <c r="C171">
        <f t="shared" si="5"/>
        <v>127807403.89343478</v>
      </c>
      <c r="D171" s="160">
        <f t="shared" si="6"/>
        <v>-34430867.893434778</v>
      </c>
      <c r="E171" s="160"/>
    </row>
    <row r="172" spans="1:5">
      <c r="A172" s="280">
        <v>5574</v>
      </c>
      <c r="B172" s="282">
        <v>34719601</v>
      </c>
      <c r="C172">
        <f t="shared" si="5"/>
        <v>60418518.089222267</v>
      </c>
      <c r="D172" s="160">
        <f t="shared" si="6"/>
        <v>-25698917.089222267</v>
      </c>
      <c r="E172" s="160"/>
    </row>
    <row r="173" spans="1:5">
      <c r="A173" s="280">
        <v>7802</v>
      </c>
      <c r="B173" s="282">
        <v>137487324</v>
      </c>
      <c r="C173">
        <f t="shared" si="5"/>
        <v>86777794.348313823</v>
      </c>
      <c r="D173" s="160">
        <f t="shared" si="6"/>
        <v>50709529.651686177</v>
      </c>
      <c r="E173" s="160"/>
    </row>
    <row r="174" spans="1:5">
      <c r="A174" s="280">
        <v>13479</v>
      </c>
      <c r="B174" s="282">
        <v>121612884</v>
      </c>
      <c r="C174">
        <f t="shared" si="5"/>
        <v>153941892.78765973</v>
      </c>
      <c r="D174" s="160">
        <f t="shared" si="6"/>
        <v>-32329008.787659734</v>
      </c>
      <c r="E174" s="160"/>
    </row>
    <row r="175" spans="1:5">
      <c r="A175" s="280">
        <v>6590</v>
      </c>
      <c r="B175" s="282">
        <v>84825021</v>
      </c>
      <c r="C175">
        <f t="shared" si="5"/>
        <v>72438726.652614102</v>
      </c>
      <c r="D175" s="160">
        <f t="shared" si="6"/>
        <v>12386294.347385898</v>
      </c>
      <c r="E175" s="160"/>
    </row>
    <row r="176" spans="1:5">
      <c r="A176" s="280">
        <v>12571</v>
      </c>
      <c r="B176" s="282">
        <v>93759989</v>
      </c>
      <c r="C176">
        <f t="shared" si="5"/>
        <v>143199422.92982531</v>
      </c>
      <c r="D176" s="160">
        <f t="shared" si="6"/>
        <v>-49439433.929825306</v>
      </c>
      <c r="E176" s="160"/>
    </row>
    <row r="177" spans="1:5">
      <c r="A177" s="280">
        <v>5800</v>
      </c>
      <c r="B177" s="282">
        <v>79231731</v>
      </c>
      <c r="C177">
        <f t="shared" si="5"/>
        <v>63092304.639740527</v>
      </c>
      <c r="D177" s="160">
        <f t="shared" si="6"/>
        <v>16139426.360259473</v>
      </c>
      <c r="E177" s="160"/>
    </row>
    <row r="178" spans="1:5">
      <c r="A178" s="280">
        <v>35197</v>
      </c>
      <c r="B178" s="282">
        <v>295256882</v>
      </c>
      <c r="C178">
        <f t="shared" si="5"/>
        <v>410885681.74410069</v>
      </c>
      <c r="D178" s="160">
        <f t="shared" si="6"/>
        <v>-115628799.74410069</v>
      </c>
      <c r="E178" s="160"/>
    </row>
    <row r="179" spans="1:5">
      <c r="A179" s="280">
        <v>80734</v>
      </c>
      <c r="B179" s="282">
        <v>684717396</v>
      </c>
      <c r="C179">
        <f t="shared" si="5"/>
        <v>949630009.84565008</v>
      </c>
      <c r="D179" s="160">
        <f t="shared" si="6"/>
        <v>-264912613.84565008</v>
      </c>
      <c r="E179" s="160"/>
    </row>
    <row r="180" spans="1:5">
      <c r="A180" s="280">
        <v>10870</v>
      </c>
      <c r="B180" s="282">
        <v>187272976</v>
      </c>
      <c r="C180">
        <f t="shared" si="5"/>
        <v>123075038.31729625</v>
      </c>
      <c r="D180" s="160">
        <f t="shared" si="6"/>
        <v>64197937.682703748</v>
      </c>
      <c r="E180" s="160"/>
    </row>
    <row r="181" spans="1:5">
      <c r="A181" s="280">
        <v>8969</v>
      </c>
      <c r="B181" s="282">
        <v>96633430</v>
      </c>
      <c r="C181">
        <f t="shared" si="5"/>
        <v>100584470.91669795</v>
      </c>
      <c r="D181" s="160">
        <f t="shared" si="6"/>
        <v>-3951040.9166979492</v>
      </c>
      <c r="E181" s="160"/>
    </row>
    <row r="182" spans="1:5">
      <c r="A182" s="280">
        <v>7156</v>
      </c>
      <c r="B182" s="282">
        <v>83384631</v>
      </c>
      <c r="C182">
        <f t="shared" si="5"/>
        <v>79135023.942850113</v>
      </c>
      <c r="D182" s="160">
        <f t="shared" si="6"/>
        <v>4249607.0571498871</v>
      </c>
      <c r="E182" s="160"/>
    </row>
    <row r="183" spans="1:5">
      <c r="A183" s="280">
        <v>8027</v>
      </c>
      <c r="B183" s="282">
        <v>107646159</v>
      </c>
      <c r="C183">
        <f t="shared" si="5"/>
        <v>89439749.984891728</v>
      </c>
      <c r="D183" s="160">
        <f t="shared" si="6"/>
        <v>18206409.015108272</v>
      </c>
      <c r="E183" s="160"/>
    </row>
    <row r="184" spans="1:5">
      <c r="A184" s="280">
        <v>11266</v>
      </c>
      <c r="B184" s="282">
        <v>162416534</v>
      </c>
      <c r="C184">
        <f t="shared" si="5"/>
        <v>127760080.23767339</v>
      </c>
      <c r="D184" s="160">
        <f t="shared" si="6"/>
        <v>34656453.762326613</v>
      </c>
      <c r="E184" s="160"/>
    </row>
    <row r="185" spans="1:5">
      <c r="A185" s="280">
        <v>28651</v>
      </c>
      <c r="B185" s="282">
        <v>336322174</v>
      </c>
      <c r="C185">
        <f t="shared" si="5"/>
        <v>333440519.09059381</v>
      </c>
      <c r="D185" s="160">
        <f t="shared" si="6"/>
        <v>2881654.9094061852</v>
      </c>
      <c r="E185" s="160"/>
    </row>
    <row r="186" spans="1:5">
      <c r="A186" s="280">
        <v>32216</v>
      </c>
      <c r="B186" s="282">
        <v>329305353</v>
      </c>
      <c r="C186">
        <f t="shared" si="5"/>
        <v>375617727.28792834</v>
      </c>
      <c r="D186" s="160">
        <f t="shared" si="6"/>
        <v>-46312374.287928343</v>
      </c>
      <c r="E186" s="160"/>
    </row>
    <row r="187" spans="1:5">
      <c r="A187" s="280">
        <v>22505</v>
      </c>
      <c r="B187" s="282">
        <v>262146552</v>
      </c>
      <c r="C187">
        <f t="shared" si="5"/>
        <v>260727722.01322544</v>
      </c>
      <c r="D187" s="160">
        <f t="shared" si="6"/>
        <v>1418829.9867745638</v>
      </c>
      <c r="E187" s="160"/>
    </row>
    <row r="188" spans="1:5">
      <c r="A188" s="280">
        <v>18662</v>
      </c>
      <c r="B188" s="282">
        <v>193035282</v>
      </c>
      <c r="C188">
        <f t="shared" si="5"/>
        <v>215261519.74047461</v>
      </c>
      <c r="D188" s="160">
        <f t="shared" si="6"/>
        <v>-22226237.740474612</v>
      </c>
      <c r="E188" s="160"/>
    </row>
    <row r="189" spans="1:5">
      <c r="A189" s="280">
        <v>13914</v>
      </c>
      <c r="B189" s="282">
        <v>206443321</v>
      </c>
      <c r="C189">
        <f t="shared" si="5"/>
        <v>159088340.35171038</v>
      </c>
      <c r="D189" s="160">
        <f t="shared" si="6"/>
        <v>47354980.648289621</v>
      </c>
      <c r="E189" s="160"/>
    </row>
    <row r="190" spans="1:5">
      <c r="A190" s="280">
        <v>26609</v>
      </c>
      <c r="B190" s="282">
        <v>227913448</v>
      </c>
      <c r="C190">
        <f t="shared" si="5"/>
        <v>309281792.82440662</v>
      </c>
      <c r="D190" s="160">
        <f t="shared" si="6"/>
        <v>-81368344.824406624</v>
      </c>
      <c r="E190" s="160"/>
    </row>
    <row r="191" spans="1:5">
      <c r="A191" s="280">
        <v>6684</v>
      </c>
      <c r="B191" s="282">
        <v>104220490</v>
      </c>
      <c r="C191">
        <f t="shared" si="5"/>
        <v>73550832.563006654</v>
      </c>
      <c r="D191" s="160">
        <f t="shared" si="6"/>
        <v>30669657.436993346</v>
      </c>
      <c r="E191" s="160"/>
    </row>
    <row r="192" spans="1:5">
      <c r="A192" s="280">
        <v>7089</v>
      </c>
      <c r="B192" s="282">
        <v>120586480</v>
      </c>
      <c r="C192">
        <f t="shared" si="5"/>
        <v>78342352.708846912</v>
      </c>
      <c r="D192" s="160">
        <f t="shared" si="6"/>
        <v>42244127.291153088</v>
      </c>
      <c r="E192" s="160"/>
    </row>
    <row r="193" spans="1:5">
      <c r="A193" s="280">
        <v>5568</v>
      </c>
      <c r="B193" s="282">
        <v>66220753</v>
      </c>
      <c r="C193">
        <f t="shared" si="5"/>
        <v>60347532.605580188</v>
      </c>
      <c r="D193" s="160">
        <f t="shared" si="6"/>
        <v>5873220.3944198117</v>
      </c>
      <c r="E193" s="160"/>
    </row>
    <row r="194" spans="1:5">
      <c r="A194" s="280">
        <v>19210</v>
      </c>
      <c r="B194" s="282">
        <v>212163354</v>
      </c>
      <c r="C194">
        <f t="shared" si="5"/>
        <v>221744860.57978439</v>
      </c>
      <c r="D194" s="160">
        <f t="shared" si="6"/>
        <v>-9581506.5797843933</v>
      </c>
      <c r="E194" s="160"/>
    </row>
    <row r="195" spans="1:5">
      <c r="A195" s="280">
        <v>34149</v>
      </c>
      <c r="B195" s="282">
        <v>299698024</v>
      </c>
      <c r="C195">
        <f t="shared" si="5"/>
        <v>398486883.93461776</v>
      </c>
      <c r="D195" s="160">
        <f t="shared" si="6"/>
        <v>-98788859.934617758</v>
      </c>
      <c r="E195" s="160"/>
    </row>
    <row r="196" spans="1:5">
      <c r="A196" s="280">
        <v>17303</v>
      </c>
      <c r="B196" s="282">
        <v>247157175</v>
      </c>
      <c r="C196">
        <f t="shared" si="5"/>
        <v>199183307.695544</v>
      </c>
      <c r="D196" s="160">
        <f t="shared" si="6"/>
        <v>47973867.304455996</v>
      </c>
      <c r="E196" s="160"/>
    </row>
    <row r="197" spans="1:5">
      <c r="A197" s="280">
        <v>10932</v>
      </c>
      <c r="B197" s="282">
        <v>101333449</v>
      </c>
      <c r="C197">
        <f t="shared" si="5"/>
        <v>123808554.98159772</v>
      </c>
      <c r="D197" s="160">
        <f t="shared" si="6"/>
        <v>-22475105.981597722</v>
      </c>
      <c r="E197" s="160"/>
    </row>
    <row r="198" spans="1:5">
      <c r="A198" s="280">
        <v>6150</v>
      </c>
      <c r="B198" s="282">
        <v>108262083</v>
      </c>
      <c r="C198">
        <f t="shared" ref="C198:C224" si="7">$G$5+A198*$G$6</f>
        <v>67233124.518861726</v>
      </c>
      <c r="D198" s="160">
        <f t="shared" ref="D198:D224" si="8">B198-C198</f>
        <v>41028958.481138274</v>
      </c>
      <c r="E198" s="160"/>
    </row>
    <row r="199" spans="1:5">
      <c r="A199" s="280">
        <v>19528</v>
      </c>
      <c r="B199" s="282">
        <v>190498309</v>
      </c>
      <c r="C199">
        <f t="shared" si="7"/>
        <v>225507091.21281451</v>
      </c>
      <c r="D199" s="160">
        <f t="shared" si="8"/>
        <v>-35008782.21281451</v>
      </c>
      <c r="E199" s="160"/>
    </row>
    <row r="200" spans="1:5">
      <c r="A200" s="280">
        <v>8599</v>
      </c>
      <c r="B200" s="282">
        <v>117756626</v>
      </c>
      <c r="C200">
        <f t="shared" si="7"/>
        <v>96207032.75876981</v>
      </c>
      <c r="D200" s="160">
        <f t="shared" si="8"/>
        <v>21549593.24123019</v>
      </c>
      <c r="E200" s="160"/>
    </row>
    <row r="201" spans="1:5">
      <c r="A201" s="280">
        <v>9173</v>
      </c>
      <c r="B201" s="282">
        <v>114890739</v>
      </c>
      <c r="C201">
        <f t="shared" si="7"/>
        <v>102997977.36052859</v>
      </c>
      <c r="D201" s="160">
        <f t="shared" si="8"/>
        <v>11892761.639471412</v>
      </c>
      <c r="E201" s="160"/>
    </row>
    <row r="202" spans="1:5">
      <c r="A202" s="280">
        <v>9230</v>
      </c>
      <c r="B202" s="282">
        <v>105909568</v>
      </c>
      <c r="C202">
        <f t="shared" si="7"/>
        <v>103672339.45512833</v>
      </c>
      <c r="D202" s="160">
        <f t="shared" si="8"/>
        <v>2237228.544871673</v>
      </c>
      <c r="E202" s="160"/>
    </row>
    <row r="203" spans="1:5">
      <c r="A203" s="280">
        <v>28830</v>
      </c>
      <c r="B203" s="282">
        <v>229239990</v>
      </c>
      <c r="C203">
        <f t="shared" si="7"/>
        <v>335558252.68591571</v>
      </c>
      <c r="D203" s="160">
        <f t="shared" si="8"/>
        <v>-106318262.68591571</v>
      </c>
      <c r="E203" s="160"/>
    </row>
    <row r="204" spans="1:5">
      <c r="A204" s="280">
        <v>5839</v>
      </c>
      <c r="B204" s="282">
        <v>61581436</v>
      </c>
      <c r="C204">
        <f t="shared" si="7"/>
        <v>63553710.283414036</v>
      </c>
      <c r="D204" s="160">
        <f t="shared" si="8"/>
        <v>-1972274.283414036</v>
      </c>
      <c r="E204" s="160"/>
    </row>
    <row r="205" spans="1:5">
      <c r="A205" s="280">
        <v>40595</v>
      </c>
      <c r="B205" s="282">
        <v>432205624</v>
      </c>
      <c r="C205">
        <f t="shared" si="7"/>
        <v>474748955.19409001</v>
      </c>
      <c r="D205" s="160">
        <f t="shared" si="8"/>
        <v>-42543331.194090009</v>
      </c>
      <c r="E205" s="160"/>
    </row>
    <row r="206" spans="1:5">
      <c r="A206" s="280">
        <v>6417</v>
      </c>
      <c r="B206" s="282">
        <v>78551991</v>
      </c>
      <c r="C206">
        <f t="shared" si="7"/>
        <v>70391978.54093419</v>
      </c>
      <c r="D206" s="160">
        <f t="shared" si="8"/>
        <v>8160012.4590658098</v>
      </c>
      <c r="E206" s="160"/>
    </row>
    <row r="207" spans="1:5">
      <c r="A207" s="280">
        <v>8749</v>
      </c>
      <c r="B207" s="282">
        <v>90235412</v>
      </c>
      <c r="C207">
        <f t="shared" si="7"/>
        <v>97981669.849821761</v>
      </c>
      <c r="D207" s="160">
        <f t="shared" si="8"/>
        <v>-7746257.8498217613</v>
      </c>
      <c r="E207" s="160"/>
    </row>
    <row r="208" spans="1:5">
      <c r="A208" s="280">
        <v>5072</v>
      </c>
      <c r="B208" s="282">
        <v>52682733</v>
      </c>
      <c r="C208">
        <f t="shared" si="7"/>
        <v>54479399.291168422</v>
      </c>
      <c r="D208" s="160">
        <f t="shared" si="8"/>
        <v>-1796666.2911684215</v>
      </c>
      <c r="E208" s="160"/>
    </row>
    <row r="209" spans="1:5">
      <c r="A209" s="280">
        <v>12924</v>
      </c>
      <c r="B209" s="282">
        <v>185807696</v>
      </c>
      <c r="C209">
        <f t="shared" si="7"/>
        <v>147375735.55076754</v>
      </c>
      <c r="D209" s="160">
        <f t="shared" si="8"/>
        <v>38431960.449232459</v>
      </c>
      <c r="E209" s="160"/>
    </row>
    <row r="210" spans="1:5">
      <c r="A210" s="280">
        <v>9739</v>
      </c>
      <c r="B210" s="282">
        <v>115235850</v>
      </c>
      <c r="C210">
        <f t="shared" si="7"/>
        <v>109694274.6507646</v>
      </c>
      <c r="D210" s="160">
        <f t="shared" si="8"/>
        <v>5541575.3492354006</v>
      </c>
      <c r="E210" s="160"/>
    </row>
    <row r="211" spans="1:5">
      <c r="A211" s="280">
        <v>40944</v>
      </c>
      <c r="B211" s="282">
        <v>441688961</v>
      </c>
      <c r="C211">
        <f t="shared" si="7"/>
        <v>478877944.15927076</v>
      </c>
      <c r="D211" s="160">
        <f t="shared" si="8"/>
        <v>-37188983.159270763</v>
      </c>
      <c r="E211" s="160"/>
    </row>
    <row r="212" spans="1:5">
      <c r="A212" s="280">
        <v>20985</v>
      </c>
      <c r="B212" s="282">
        <v>265418262</v>
      </c>
      <c r="C212">
        <f t="shared" si="7"/>
        <v>242744732.82389906</v>
      </c>
      <c r="D212" s="160">
        <f t="shared" si="8"/>
        <v>22673529.17610094</v>
      </c>
      <c r="E212" s="160"/>
    </row>
    <row r="213" spans="1:5">
      <c r="A213" s="280">
        <v>86134</v>
      </c>
      <c r="B213" s="282">
        <v>966732386</v>
      </c>
      <c r="C213">
        <f t="shared" si="7"/>
        <v>1013516945.12352</v>
      </c>
      <c r="D213" s="160">
        <f t="shared" si="8"/>
        <v>-46784559.123520017</v>
      </c>
      <c r="E213" s="160"/>
    </row>
    <row r="214" spans="1:5">
      <c r="A214" s="280">
        <v>49759</v>
      </c>
      <c r="B214" s="282">
        <v>639516651</v>
      </c>
      <c r="C214">
        <f t="shared" si="7"/>
        <v>583167450.54342341</v>
      </c>
      <c r="D214" s="160">
        <f t="shared" si="8"/>
        <v>56349200.456576586</v>
      </c>
      <c r="E214" s="160"/>
    </row>
    <row r="215" spans="1:5">
      <c r="A215" s="280">
        <v>28068</v>
      </c>
      <c r="B215" s="282">
        <v>222156241</v>
      </c>
      <c r="C215">
        <f t="shared" si="7"/>
        <v>326543096.26337194</v>
      </c>
      <c r="D215" s="160">
        <f t="shared" si="8"/>
        <v>-104386855.26337194</v>
      </c>
      <c r="E215" s="160"/>
    </row>
    <row r="216" spans="1:5">
      <c r="A216" s="280">
        <v>11466</v>
      </c>
      <c r="B216" s="282">
        <v>118266364</v>
      </c>
      <c r="C216">
        <f t="shared" si="7"/>
        <v>130126263.02574265</v>
      </c>
      <c r="D216" s="160">
        <f t="shared" si="8"/>
        <v>-11859899.02574265</v>
      </c>
      <c r="E216" s="160"/>
    </row>
    <row r="217" spans="1:5">
      <c r="A217" s="280">
        <v>13860</v>
      </c>
      <c r="B217" s="282">
        <v>132208081</v>
      </c>
      <c r="C217">
        <f t="shared" si="7"/>
        <v>158449470.99893168</v>
      </c>
      <c r="D217" s="160">
        <f t="shared" si="8"/>
        <v>-26241389.998931676</v>
      </c>
      <c r="E217" s="160"/>
    </row>
    <row r="218" spans="1:5">
      <c r="A218" s="280">
        <v>11160</v>
      </c>
      <c r="B218" s="282">
        <v>92556428</v>
      </c>
      <c r="C218">
        <f t="shared" si="7"/>
        <v>126506003.35999669</v>
      </c>
      <c r="D218" s="160">
        <f t="shared" si="8"/>
        <v>-33949575.359996691</v>
      </c>
      <c r="E218" s="160"/>
    </row>
    <row r="219" spans="1:5">
      <c r="A219" s="280">
        <v>45732</v>
      </c>
      <c r="B219" s="282">
        <v>523380463</v>
      </c>
      <c r="C219">
        <f t="shared" si="7"/>
        <v>535524360.10564888</v>
      </c>
      <c r="D219" s="160">
        <f t="shared" si="8"/>
        <v>-12143897.105648875</v>
      </c>
      <c r="E219" s="160"/>
    </row>
    <row r="220" spans="1:5">
      <c r="A220" s="280">
        <v>10322</v>
      </c>
      <c r="B220" s="282">
        <v>177952498</v>
      </c>
      <c r="C220">
        <f t="shared" si="7"/>
        <v>116591697.47798648</v>
      </c>
      <c r="D220" s="160">
        <f t="shared" si="8"/>
        <v>61360800.522013515</v>
      </c>
      <c r="E220" s="160"/>
    </row>
    <row r="221" spans="1:5">
      <c r="A221" s="280">
        <v>14082</v>
      </c>
      <c r="B221" s="282">
        <v>162429210</v>
      </c>
      <c r="C221">
        <f t="shared" si="7"/>
        <v>161075933.89368856</v>
      </c>
      <c r="D221" s="160">
        <f t="shared" si="8"/>
        <v>1353276.1063114405</v>
      </c>
      <c r="E221" s="160"/>
    </row>
    <row r="222" spans="1:5">
      <c r="A222" s="280">
        <v>6068</v>
      </c>
      <c r="B222" s="282">
        <v>52041983</v>
      </c>
      <c r="C222">
        <f t="shared" si="7"/>
        <v>66262989.575753331</v>
      </c>
      <c r="D222" s="160">
        <f t="shared" si="8"/>
        <v>-14221006.575753331</v>
      </c>
      <c r="E222" s="160"/>
    </row>
    <row r="223" spans="1:5">
      <c r="A223" s="280">
        <v>7651</v>
      </c>
      <c r="B223" s="282">
        <v>66827791</v>
      </c>
      <c r="C223">
        <f t="shared" si="7"/>
        <v>84991326.343321532</v>
      </c>
      <c r="D223" s="160">
        <f t="shared" si="8"/>
        <v>-18163535.343321532</v>
      </c>
      <c r="E223" s="160"/>
    </row>
    <row r="224" spans="1:5">
      <c r="A224" s="280">
        <v>5113</v>
      </c>
      <c r="B224" s="282">
        <v>46656815</v>
      </c>
      <c r="C224">
        <f t="shared" si="7"/>
        <v>54964466.762722619</v>
      </c>
      <c r="D224" s="160">
        <f t="shared" si="8"/>
        <v>-8307651.7627226189</v>
      </c>
      <c r="E224" s="160"/>
    </row>
    <row r="227" spans="2:2">
      <c r="B227" s="160"/>
    </row>
  </sheetData>
  <mergeCells count="3">
    <mergeCell ref="G4:M4"/>
    <mergeCell ref="G42:J47"/>
    <mergeCell ref="A3:B3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baseColWidth="10" defaultColWidth="8.8320312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2"/>
  <sheetViews>
    <sheetView workbookViewId="0">
      <selection activeCell="M57" sqref="M57"/>
    </sheetView>
  </sheetViews>
  <sheetFormatPr baseColWidth="10" defaultColWidth="8.83203125" defaultRowHeight="15"/>
  <cols>
    <col min="1" max="1" width="12" customWidth="1"/>
    <col min="2" max="2" width="9.33203125" customWidth="1"/>
    <col min="3" max="3" width="15.5" customWidth="1"/>
    <col min="4" max="4" width="14.83203125" customWidth="1"/>
    <col min="257" max="257" width="12" customWidth="1"/>
    <col min="258" max="258" width="9.33203125" customWidth="1"/>
    <col min="259" max="259" width="11" customWidth="1"/>
    <col min="260" max="260" width="11.83203125" customWidth="1"/>
    <col min="513" max="513" width="12" customWidth="1"/>
    <col min="514" max="514" width="9.33203125" customWidth="1"/>
    <col min="515" max="515" width="11" customWidth="1"/>
    <col min="516" max="516" width="11.83203125" customWidth="1"/>
    <col min="769" max="769" width="12" customWidth="1"/>
    <col min="770" max="770" width="9.33203125" customWidth="1"/>
    <col min="771" max="771" width="11" customWidth="1"/>
    <col min="772" max="772" width="11.83203125" customWidth="1"/>
    <col min="1025" max="1025" width="12" customWidth="1"/>
    <col min="1026" max="1026" width="9.33203125" customWidth="1"/>
    <col min="1027" max="1027" width="11" customWidth="1"/>
    <col min="1028" max="1028" width="11.83203125" customWidth="1"/>
    <col min="1281" max="1281" width="12" customWidth="1"/>
    <col min="1282" max="1282" width="9.33203125" customWidth="1"/>
    <col min="1283" max="1283" width="11" customWidth="1"/>
    <col min="1284" max="1284" width="11.83203125" customWidth="1"/>
    <col min="1537" max="1537" width="12" customWidth="1"/>
    <col min="1538" max="1538" width="9.33203125" customWidth="1"/>
    <col min="1539" max="1539" width="11" customWidth="1"/>
    <col min="1540" max="1540" width="11.83203125" customWidth="1"/>
    <col min="1793" max="1793" width="12" customWidth="1"/>
    <col min="1794" max="1794" width="9.33203125" customWidth="1"/>
    <col min="1795" max="1795" width="11" customWidth="1"/>
    <col min="1796" max="1796" width="11.83203125" customWidth="1"/>
    <col min="2049" max="2049" width="12" customWidth="1"/>
    <col min="2050" max="2050" width="9.33203125" customWidth="1"/>
    <col min="2051" max="2051" width="11" customWidth="1"/>
    <col min="2052" max="2052" width="11.83203125" customWidth="1"/>
    <col min="2305" max="2305" width="12" customWidth="1"/>
    <col min="2306" max="2306" width="9.33203125" customWidth="1"/>
    <col min="2307" max="2307" width="11" customWidth="1"/>
    <col min="2308" max="2308" width="11.83203125" customWidth="1"/>
    <col min="2561" max="2561" width="12" customWidth="1"/>
    <col min="2562" max="2562" width="9.33203125" customWidth="1"/>
    <col min="2563" max="2563" width="11" customWidth="1"/>
    <col min="2564" max="2564" width="11.83203125" customWidth="1"/>
    <col min="2817" max="2817" width="12" customWidth="1"/>
    <col min="2818" max="2818" width="9.33203125" customWidth="1"/>
    <col min="2819" max="2819" width="11" customWidth="1"/>
    <col min="2820" max="2820" width="11.83203125" customWidth="1"/>
    <col min="3073" max="3073" width="12" customWidth="1"/>
    <col min="3074" max="3074" width="9.33203125" customWidth="1"/>
    <col min="3075" max="3075" width="11" customWidth="1"/>
    <col min="3076" max="3076" width="11.83203125" customWidth="1"/>
    <col min="3329" max="3329" width="12" customWidth="1"/>
    <col min="3330" max="3330" width="9.33203125" customWidth="1"/>
    <col min="3331" max="3331" width="11" customWidth="1"/>
    <col min="3332" max="3332" width="11.83203125" customWidth="1"/>
    <col min="3585" max="3585" width="12" customWidth="1"/>
    <col min="3586" max="3586" width="9.33203125" customWidth="1"/>
    <col min="3587" max="3587" width="11" customWidth="1"/>
    <col min="3588" max="3588" width="11.83203125" customWidth="1"/>
    <col min="3841" max="3841" width="12" customWidth="1"/>
    <col min="3842" max="3842" width="9.33203125" customWidth="1"/>
    <col min="3843" max="3843" width="11" customWidth="1"/>
    <col min="3844" max="3844" width="11.83203125" customWidth="1"/>
    <col min="4097" max="4097" width="12" customWidth="1"/>
    <col min="4098" max="4098" width="9.33203125" customWidth="1"/>
    <col min="4099" max="4099" width="11" customWidth="1"/>
    <col min="4100" max="4100" width="11.83203125" customWidth="1"/>
    <col min="4353" max="4353" width="12" customWidth="1"/>
    <col min="4354" max="4354" width="9.33203125" customWidth="1"/>
    <col min="4355" max="4355" width="11" customWidth="1"/>
    <col min="4356" max="4356" width="11.83203125" customWidth="1"/>
    <col min="4609" max="4609" width="12" customWidth="1"/>
    <col min="4610" max="4610" width="9.33203125" customWidth="1"/>
    <col min="4611" max="4611" width="11" customWidth="1"/>
    <col min="4612" max="4612" width="11.83203125" customWidth="1"/>
    <col min="4865" max="4865" width="12" customWidth="1"/>
    <col min="4866" max="4866" width="9.33203125" customWidth="1"/>
    <col min="4867" max="4867" width="11" customWidth="1"/>
    <col min="4868" max="4868" width="11.83203125" customWidth="1"/>
    <col min="5121" max="5121" width="12" customWidth="1"/>
    <col min="5122" max="5122" width="9.33203125" customWidth="1"/>
    <col min="5123" max="5123" width="11" customWidth="1"/>
    <col min="5124" max="5124" width="11.83203125" customWidth="1"/>
    <col min="5377" max="5377" width="12" customWidth="1"/>
    <col min="5378" max="5378" width="9.33203125" customWidth="1"/>
    <col min="5379" max="5379" width="11" customWidth="1"/>
    <col min="5380" max="5380" width="11.83203125" customWidth="1"/>
    <col min="5633" max="5633" width="12" customWidth="1"/>
    <col min="5634" max="5634" width="9.33203125" customWidth="1"/>
    <col min="5635" max="5635" width="11" customWidth="1"/>
    <col min="5636" max="5636" width="11.83203125" customWidth="1"/>
    <col min="5889" max="5889" width="12" customWidth="1"/>
    <col min="5890" max="5890" width="9.33203125" customWidth="1"/>
    <col min="5891" max="5891" width="11" customWidth="1"/>
    <col min="5892" max="5892" width="11.83203125" customWidth="1"/>
    <col min="6145" max="6145" width="12" customWidth="1"/>
    <col min="6146" max="6146" width="9.33203125" customWidth="1"/>
    <col min="6147" max="6147" width="11" customWidth="1"/>
    <col min="6148" max="6148" width="11.83203125" customWidth="1"/>
    <col min="6401" max="6401" width="12" customWidth="1"/>
    <col min="6402" max="6402" width="9.33203125" customWidth="1"/>
    <col min="6403" max="6403" width="11" customWidth="1"/>
    <col min="6404" max="6404" width="11.83203125" customWidth="1"/>
    <col min="6657" max="6657" width="12" customWidth="1"/>
    <col min="6658" max="6658" width="9.33203125" customWidth="1"/>
    <col min="6659" max="6659" width="11" customWidth="1"/>
    <col min="6660" max="6660" width="11.83203125" customWidth="1"/>
    <col min="6913" max="6913" width="12" customWidth="1"/>
    <col min="6914" max="6914" width="9.33203125" customWidth="1"/>
    <col min="6915" max="6915" width="11" customWidth="1"/>
    <col min="6916" max="6916" width="11.83203125" customWidth="1"/>
    <col min="7169" max="7169" width="12" customWidth="1"/>
    <col min="7170" max="7170" width="9.33203125" customWidth="1"/>
    <col min="7171" max="7171" width="11" customWidth="1"/>
    <col min="7172" max="7172" width="11.83203125" customWidth="1"/>
    <col min="7425" max="7425" width="12" customWidth="1"/>
    <col min="7426" max="7426" width="9.33203125" customWidth="1"/>
    <col min="7427" max="7427" width="11" customWidth="1"/>
    <col min="7428" max="7428" width="11.83203125" customWidth="1"/>
    <col min="7681" max="7681" width="12" customWidth="1"/>
    <col min="7682" max="7682" width="9.33203125" customWidth="1"/>
    <col min="7683" max="7683" width="11" customWidth="1"/>
    <col min="7684" max="7684" width="11.83203125" customWidth="1"/>
    <col min="7937" max="7937" width="12" customWidth="1"/>
    <col min="7938" max="7938" width="9.33203125" customWidth="1"/>
    <col min="7939" max="7939" width="11" customWidth="1"/>
    <col min="7940" max="7940" width="11.83203125" customWidth="1"/>
    <col min="8193" max="8193" width="12" customWidth="1"/>
    <col min="8194" max="8194" width="9.33203125" customWidth="1"/>
    <col min="8195" max="8195" width="11" customWidth="1"/>
    <col min="8196" max="8196" width="11.83203125" customWidth="1"/>
    <col min="8449" max="8449" width="12" customWidth="1"/>
    <col min="8450" max="8450" width="9.33203125" customWidth="1"/>
    <col min="8451" max="8451" width="11" customWidth="1"/>
    <col min="8452" max="8452" width="11.83203125" customWidth="1"/>
    <col min="8705" max="8705" width="12" customWidth="1"/>
    <col min="8706" max="8706" width="9.33203125" customWidth="1"/>
    <col min="8707" max="8707" width="11" customWidth="1"/>
    <col min="8708" max="8708" width="11.83203125" customWidth="1"/>
    <col min="8961" max="8961" width="12" customWidth="1"/>
    <col min="8962" max="8962" width="9.33203125" customWidth="1"/>
    <col min="8963" max="8963" width="11" customWidth="1"/>
    <col min="8964" max="8964" width="11.83203125" customWidth="1"/>
    <col min="9217" max="9217" width="12" customWidth="1"/>
    <col min="9218" max="9218" width="9.33203125" customWidth="1"/>
    <col min="9219" max="9219" width="11" customWidth="1"/>
    <col min="9220" max="9220" width="11.83203125" customWidth="1"/>
    <col min="9473" max="9473" width="12" customWidth="1"/>
    <col min="9474" max="9474" width="9.33203125" customWidth="1"/>
    <col min="9475" max="9475" width="11" customWidth="1"/>
    <col min="9476" max="9476" width="11.83203125" customWidth="1"/>
    <col min="9729" max="9729" width="12" customWidth="1"/>
    <col min="9730" max="9730" width="9.33203125" customWidth="1"/>
    <col min="9731" max="9731" width="11" customWidth="1"/>
    <col min="9732" max="9732" width="11.83203125" customWidth="1"/>
    <col min="9985" max="9985" width="12" customWidth="1"/>
    <col min="9986" max="9986" width="9.33203125" customWidth="1"/>
    <col min="9987" max="9987" width="11" customWidth="1"/>
    <col min="9988" max="9988" width="11.83203125" customWidth="1"/>
    <col min="10241" max="10241" width="12" customWidth="1"/>
    <col min="10242" max="10242" width="9.33203125" customWidth="1"/>
    <col min="10243" max="10243" width="11" customWidth="1"/>
    <col min="10244" max="10244" width="11.83203125" customWidth="1"/>
    <col min="10497" max="10497" width="12" customWidth="1"/>
    <col min="10498" max="10498" width="9.33203125" customWidth="1"/>
    <col min="10499" max="10499" width="11" customWidth="1"/>
    <col min="10500" max="10500" width="11.83203125" customWidth="1"/>
    <col min="10753" max="10753" width="12" customWidth="1"/>
    <col min="10754" max="10754" width="9.33203125" customWidth="1"/>
    <col min="10755" max="10755" width="11" customWidth="1"/>
    <col min="10756" max="10756" width="11.83203125" customWidth="1"/>
    <col min="11009" max="11009" width="12" customWidth="1"/>
    <col min="11010" max="11010" width="9.33203125" customWidth="1"/>
    <col min="11011" max="11011" width="11" customWidth="1"/>
    <col min="11012" max="11012" width="11.83203125" customWidth="1"/>
    <col min="11265" max="11265" width="12" customWidth="1"/>
    <col min="11266" max="11266" width="9.33203125" customWidth="1"/>
    <col min="11267" max="11267" width="11" customWidth="1"/>
    <col min="11268" max="11268" width="11.83203125" customWidth="1"/>
    <col min="11521" max="11521" width="12" customWidth="1"/>
    <col min="11522" max="11522" width="9.33203125" customWidth="1"/>
    <col min="11523" max="11523" width="11" customWidth="1"/>
    <col min="11524" max="11524" width="11.83203125" customWidth="1"/>
    <col min="11777" max="11777" width="12" customWidth="1"/>
    <col min="11778" max="11778" width="9.33203125" customWidth="1"/>
    <col min="11779" max="11779" width="11" customWidth="1"/>
    <col min="11780" max="11780" width="11.83203125" customWidth="1"/>
    <col min="12033" max="12033" width="12" customWidth="1"/>
    <col min="12034" max="12034" width="9.33203125" customWidth="1"/>
    <col min="12035" max="12035" width="11" customWidth="1"/>
    <col min="12036" max="12036" width="11.83203125" customWidth="1"/>
    <col min="12289" max="12289" width="12" customWidth="1"/>
    <col min="12290" max="12290" width="9.33203125" customWidth="1"/>
    <col min="12291" max="12291" width="11" customWidth="1"/>
    <col min="12292" max="12292" width="11.83203125" customWidth="1"/>
    <col min="12545" max="12545" width="12" customWidth="1"/>
    <col min="12546" max="12546" width="9.33203125" customWidth="1"/>
    <col min="12547" max="12547" width="11" customWidth="1"/>
    <col min="12548" max="12548" width="11.83203125" customWidth="1"/>
    <col min="12801" max="12801" width="12" customWidth="1"/>
    <col min="12802" max="12802" width="9.33203125" customWidth="1"/>
    <col min="12803" max="12803" width="11" customWidth="1"/>
    <col min="12804" max="12804" width="11.83203125" customWidth="1"/>
    <col min="13057" max="13057" width="12" customWidth="1"/>
    <col min="13058" max="13058" width="9.33203125" customWidth="1"/>
    <col min="13059" max="13059" width="11" customWidth="1"/>
    <col min="13060" max="13060" width="11.83203125" customWidth="1"/>
    <col min="13313" max="13313" width="12" customWidth="1"/>
    <col min="13314" max="13314" width="9.33203125" customWidth="1"/>
    <col min="13315" max="13315" width="11" customWidth="1"/>
    <col min="13316" max="13316" width="11.83203125" customWidth="1"/>
    <col min="13569" max="13569" width="12" customWidth="1"/>
    <col min="13570" max="13570" width="9.33203125" customWidth="1"/>
    <col min="13571" max="13571" width="11" customWidth="1"/>
    <col min="13572" max="13572" width="11.83203125" customWidth="1"/>
    <col min="13825" max="13825" width="12" customWidth="1"/>
    <col min="13826" max="13826" width="9.33203125" customWidth="1"/>
    <col min="13827" max="13827" width="11" customWidth="1"/>
    <col min="13828" max="13828" width="11.83203125" customWidth="1"/>
    <col min="14081" max="14081" width="12" customWidth="1"/>
    <col min="14082" max="14082" width="9.33203125" customWidth="1"/>
    <col min="14083" max="14083" width="11" customWidth="1"/>
    <col min="14084" max="14084" width="11.83203125" customWidth="1"/>
    <col min="14337" max="14337" width="12" customWidth="1"/>
    <col min="14338" max="14338" width="9.33203125" customWidth="1"/>
    <col min="14339" max="14339" width="11" customWidth="1"/>
    <col min="14340" max="14340" width="11.83203125" customWidth="1"/>
    <col min="14593" max="14593" width="12" customWidth="1"/>
    <col min="14594" max="14594" width="9.33203125" customWidth="1"/>
    <col min="14595" max="14595" width="11" customWidth="1"/>
    <col min="14596" max="14596" width="11.83203125" customWidth="1"/>
    <col min="14849" max="14849" width="12" customWidth="1"/>
    <col min="14850" max="14850" width="9.33203125" customWidth="1"/>
    <col min="14851" max="14851" width="11" customWidth="1"/>
    <col min="14852" max="14852" width="11.83203125" customWidth="1"/>
    <col min="15105" max="15105" width="12" customWidth="1"/>
    <col min="15106" max="15106" width="9.33203125" customWidth="1"/>
    <col min="15107" max="15107" width="11" customWidth="1"/>
    <col min="15108" max="15108" width="11.83203125" customWidth="1"/>
    <col min="15361" max="15361" width="12" customWidth="1"/>
    <col min="15362" max="15362" width="9.33203125" customWidth="1"/>
    <col min="15363" max="15363" width="11" customWidth="1"/>
    <col min="15364" max="15364" width="11.83203125" customWidth="1"/>
    <col min="15617" max="15617" width="12" customWidth="1"/>
    <col min="15618" max="15618" width="9.33203125" customWidth="1"/>
    <col min="15619" max="15619" width="11" customWidth="1"/>
    <col min="15620" max="15620" width="11.83203125" customWidth="1"/>
    <col min="15873" max="15873" width="12" customWidth="1"/>
    <col min="15874" max="15874" width="9.33203125" customWidth="1"/>
    <col min="15875" max="15875" width="11" customWidth="1"/>
    <col min="15876" max="15876" width="11.83203125" customWidth="1"/>
    <col min="16129" max="16129" width="12" customWidth="1"/>
    <col min="16130" max="16130" width="9.33203125" customWidth="1"/>
    <col min="16131" max="16131" width="11" customWidth="1"/>
    <col min="16132" max="16132" width="11.83203125" customWidth="1"/>
  </cols>
  <sheetData>
    <row r="1" spans="1:8">
      <c r="A1" s="1" t="s">
        <v>32</v>
      </c>
    </row>
    <row r="2" spans="1:8">
      <c r="B2" s="6" t="s">
        <v>214</v>
      </c>
    </row>
    <row r="3" spans="1:8">
      <c r="A3" s="328" t="s">
        <v>27</v>
      </c>
      <c r="B3" s="6" t="s">
        <v>299</v>
      </c>
    </row>
    <row r="4" spans="1:8">
      <c r="B4" s="6" t="s">
        <v>300</v>
      </c>
    </row>
    <row r="6" spans="1:8">
      <c r="A6" s="24"/>
      <c r="B6" s="291"/>
      <c r="H6" s="24"/>
    </row>
    <row r="7" spans="1:8">
      <c r="A7" s="8"/>
      <c r="B7" s="28"/>
      <c r="C7" s="28"/>
      <c r="D7" s="28"/>
    </row>
    <row r="8" spans="1:8">
      <c r="A8" s="327"/>
      <c r="B8" s="79" t="s">
        <v>38</v>
      </c>
      <c r="C8" s="328" t="s">
        <v>12</v>
      </c>
      <c r="D8" s="328" t="s">
        <v>13</v>
      </c>
    </row>
    <row r="9" spans="1:8">
      <c r="A9" s="79" t="s">
        <v>22</v>
      </c>
      <c r="B9" s="79" t="s">
        <v>109</v>
      </c>
      <c r="C9" s="329" t="s">
        <v>3</v>
      </c>
      <c r="D9" s="329" t="s">
        <v>211</v>
      </c>
    </row>
    <row r="10" spans="1:8">
      <c r="A10" s="291" t="s">
        <v>10</v>
      </c>
      <c r="B10" s="291">
        <v>543</v>
      </c>
    </row>
    <row r="11" spans="1:8">
      <c r="A11" s="291" t="s">
        <v>23</v>
      </c>
      <c r="B11" s="291">
        <v>528</v>
      </c>
    </row>
    <row r="12" spans="1:8">
      <c r="A12" s="291" t="s">
        <v>24</v>
      </c>
      <c r="B12" s="291">
        <v>531</v>
      </c>
      <c r="C12" s="26"/>
      <c r="D12" s="26"/>
    </row>
    <row r="13" spans="1:8">
      <c r="A13" s="291" t="s">
        <v>14</v>
      </c>
      <c r="B13" s="291">
        <v>542</v>
      </c>
      <c r="C13" s="26"/>
      <c r="D13" s="26"/>
    </row>
    <row r="14" spans="1:8">
      <c r="A14" s="291" t="s">
        <v>15</v>
      </c>
      <c r="B14" s="291">
        <v>558</v>
      </c>
      <c r="C14" s="26">
        <f t="shared" ref="C14:C22" si="0">AVERAGE(B10:B13)</f>
        <v>536</v>
      </c>
      <c r="D14" s="26"/>
    </row>
    <row r="15" spans="1:8">
      <c r="A15" s="291" t="s">
        <v>16</v>
      </c>
      <c r="B15" s="291">
        <v>545</v>
      </c>
      <c r="C15" s="26">
        <f t="shared" si="0"/>
        <v>539.75</v>
      </c>
      <c r="D15" s="26"/>
    </row>
    <row r="16" spans="1:8">
      <c r="A16" s="291" t="s">
        <v>4</v>
      </c>
      <c r="B16" s="291">
        <v>543</v>
      </c>
      <c r="C16" s="26">
        <f t="shared" si="0"/>
        <v>544</v>
      </c>
      <c r="D16" s="26">
        <f t="shared" ref="D16:D22" si="1">AVERAGE(B10:B15)</f>
        <v>541.16666666666663</v>
      </c>
    </row>
    <row r="17" spans="1:6">
      <c r="A17" s="291" t="s">
        <v>5</v>
      </c>
      <c r="B17" s="291">
        <v>550</v>
      </c>
      <c r="C17" s="26">
        <f t="shared" si="0"/>
        <v>547</v>
      </c>
      <c r="D17" s="26">
        <f t="shared" si="1"/>
        <v>541.16666666666663</v>
      </c>
    </row>
    <row r="18" spans="1:6">
      <c r="A18" s="291" t="s">
        <v>6</v>
      </c>
      <c r="B18" s="291">
        <v>546</v>
      </c>
      <c r="C18" s="26">
        <f t="shared" si="0"/>
        <v>549</v>
      </c>
      <c r="D18" s="26">
        <f t="shared" si="1"/>
        <v>544.83333333333337</v>
      </c>
    </row>
    <row r="19" spans="1:6">
      <c r="A19" s="291" t="s">
        <v>7</v>
      </c>
      <c r="B19" s="291">
        <v>540</v>
      </c>
      <c r="C19" s="26">
        <f t="shared" si="0"/>
        <v>546</v>
      </c>
      <c r="D19" s="26">
        <f t="shared" si="1"/>
        <v>547.33333333333337</v>
      </c>
    </row>
    <row r="20" spans="1:6">
      <c r="A20" s="291" t="s">
        <v>8</v>
      </c>
      <c r="B20" s="291">
        <v>535</v>
      </c>
      <c r="C20" s="26">
        <f t="shared" si="0"/>
        <v>544.75</v>
      </c>
      <c r="D20" s="26">
        <f t="shared" si="1"/>
        <v>547</v>
      </c>
    </row>
    <row r="21" spans="1:6">
      <c r="A21" s="291" t="s">
        <v>9</v>
      </c>
      <c r="B21" s="291">
        <v>529</v>
      </c>
      <c r="C21" s="26">
        <f t="shared" si="0"/>
        <v>542.75</v>
      </c>
      <c r="D21" s="26">
        <f t="shared" si="1"/>
        <v>543.16666666666663</v>
      </c>
    </row>
    <row r="22" spans="1:6">
      <c r="A22" s="329" t="s">
        <v>10</v>
      </c>
      <c r="B22" s="504"/>
      <c r="C22" s="505">
        <f t="shared" si="0"/>
        <v>537.5</v>
      </c>
      <c r="D22" s="505">
        <f t="shared" si="1"/>
        <v>540.5</v>
      </c>
    </row>
    <row r="23" spans="1:6">
      <c r="A23" s="329"/>
      <c r="B23" s="504"/>
      <c r="C23" s="505"/>
      <c r="D23" s="505"/>
    </row>
    <row r="26" spans="1:6">
      <c r="A26" s="291"/>
      <c r="B26" s="291"/>
      <c r="C26" s="26"/>
      <c r="D26" s="26"/>
    </row>
    <row r="27" spans="1:6">
      <c r="A27" s="328" t="s">
        <v>25</v>
      </c>
      <c r="B27" s="240" t="s">
        <v>212</v>
      </c>
      <c r="D27" s="26"/>
    </row>
    <row r="28" spans="1:6">
      <c r="A28" s="79"/>
      <c r="B28" s="291"/>
      <c r="C28" s="26"/>
      <c r="D28" s="26"/>
    </row>
    <row r="29" spans="1:6">
      <c r="A29" s="333"/>
      <c r="B29" s="332"/>
      <c r="C29" s="331"/>
      <c r="D29" s="330"/>
      <c r="E29" s="330"/>
      <c r="F29" s="333"/>
    </row>
    <row r="30" spans="1:6">
      <c r="A30" s="61"/>
      <c r="B30" s="61"/>
      <c r="C30" s="61"/>
      <c r="D30" s="61"/>
      <c r="E30" s="61"/>
      <c r="F30" s="61"/>
    </row>
    <row r="31" spans="1:6">
      <c r="A31" s="61"/>
      <c r="B31" s="61"/>
      <c r="C31" s="61"/>
      <c r="D31" s="61"/>
      <c r="E31" s="61"/>
      <c r="F31" s="61"/>
    </row>
    <row r="32" spans="1:6">
      <c r="A32" s="61"/>
      <c r="B32" s="61"/>
      <c r="C32" s="61"/>
      <c r="D32" s="61"/>
      <c r="E32" s="61"/>
      <c r="F32" s="61"/>
    </row>
    <row r="33" spans="1:6">
      <c r="A33" s="61"/>
      <c r="B33" s="61"/>
      <c r="C33" s="61"/>
      <c r="D33" s="61"/>
      <c r="E33" s="61"/>
      <c r="F33" s="61"/>
    </row>
    <row r="34" spans="1:6">
      <c r="A34" s="61"/>
      <c r="B34" s="61"/>
      <c r="C34" s="61"/>
      <c r="D34" s="61"/>
      <c r="E34" s="61"/>
      <c r="F34" s="61"/>
    </row>
    <row r="35" spans="1:6">
      <c r="A35" s="61"/>
      <c r="B35" s="61"/>
      <c r="C35" s="61"/>
      <c r="D35" s="61"/>
      <c r="E35" s="61"/>
      <c r="F35" s="61"/>
    </row>
    <row r="36" spans="1:6">
      <c r="A36" s="61"/>
      <c r="B36" s="61"/>
      <c r="C36" s="61"/>
      <c r="D36" s="61"/>
      <c r="E36" s="61"/>
      <c r="F36" s="61"/>
    </row>
    <row r="51" spans="1:11">
      <c r="A51" s="82" t="s">
        <v>213</v>
      </c>
    </row>
    <row r="52" spans="1:11">
      <c r="A52" s="661" t="s">
        <v>119</v>
      </c>
      <c r="B52" s="661"/>
      <c r="C52" s="661"/>
      <c r="D52" s="661"/>
      <c r="E52" s="355"/>
      <c r="G52" s="661" t="s">
        <v>119</v>
      </c>
      <c r="H52" s="661"/>
      <c r="I52" s="661"/>
      <c r="J52" s="661"/>
      <c r="K52" s="355"/>
    </row>
    <row r="53" spans="1:11" ht="16" thickBot="1">
      <c r="A53" s="355"/>
      <c r="B53" s="355"/>
      <c r="C53" s="355"/>
      <c r="D53" s="355"/>
      <c r="E53" s="355"/>
      <c r="G53" s="355"/>
      <c r="H53" s="355"/>
      <c r="I53" s="355"/>
      <c r="J53" s="355"/>
      <c r="K53" s="355"/>
    </row>
    <row r="54" spans="1:11" ht="16" thickBot="1">
      <c r="A54" s="662" t="s">
        <v>120</v>
      </c>
      <c r="B54" s="662"/>
      <c r="C54" s="662"/>
      <c r="D54" s="356">
        <v>4</v>
      </c>
      <c r="E54" s="355"/>
      <c r="G54" s="662" t="s">
        <v>120</v>
      </c>
      <c r="H54" s="662"/>
      <c r="I54" s="662"/>
      <c r="J54" s="356">
        <v>6</v>
      </c>
      <c r="K54" s="355"/>
    </row>
    <row r="55" spans="1:11" ht="16" thickBot="1">
      <c r="A55" s="355"/>
      <c r="B55" s="355"/>
      <c r="C55" s="355"/>
      <c r="D55" s="355"/>
      <c r="E55" s="355"/>
      <c r="G55" s="355"/>
      <c r="H55" s="355"/>
      <c r="I55" s="355"/>
      <c r="J55" s="355"/>
      <c r="K55" s="355"/>
    </row>
    <row r="56" spans="1:11">
      <c r="A56" s="357" t="s">
        <v>121</v>
      </c>
      <c r="B56" s="358">
        <v>7.96875</v>
      </c>
      <c r="C56" s="359"/>
      <c r="D56" s="360"/>
      <c r="E56" s="355"/>
      <c r="G56" s="357" t="s">
        <v>121</v>
      </c>
      <c r="H56" s="358">
        <v>7.5555555555555616</v>
      </c>
      <c r="I56" s="359"/>
      <c r="J56" s="360"/>
      <c r="K56" s="355"/>
    </row>
    <row r="57" spans="1:11" ht="16" thickBot="1">
      <c r="A57" s="357" t="s">
        <v>122</v>
      </c>
      <c r="B57" s="361">
        <v>1.4668660837551771E-2</v>
      </c>
      <c r="C57" s="359"/>
      <c r="D57" s="360"/>
      <c r="E57" s="355"/>
      <c r="G57" s="357" t="s">
        <v>122</v>
      </c>
      <c r="H57" s="361">
        <v>1.397882618974202E-2</v>
      </c>
      <c r="I57" s="359"/>
      <c r="J57" s="360"/>
      <c r="K57" s="355"/>
    </row>
    <row r="58" spans="1:11" ht="16" thickBot="1">
      <c r="A58" s="355"/>
      <c r="B58" s="355"/>
      <c r="C58" s="355"/>
      <c r="D58" s="355"/>
      <c r="E58" s="355"/>
      <c r="G58" s="355"/>
      <c r="H58" s="355"/>
      <c r="I58" s="355"/>
      <c r="J58" s="355"/>
      <c r="K58" s="355"/>
    </row>
    <row r="59" spans="1:11" ht="30" thickBot="1">
      <c r="A59" s="362" t="s">
        <v>39</v>
      </c>
      <c r="B59" s="362" t="s">
        <v>38</v>
      </c>
      <c r="C59" s="362" t="s">
        <v>185</v>
      </c>
      <c r="D59" s="362" t="s">
        <v>37</v>
      </c>
      <c r="E59" s="363" t="s">
        <v>123</v>
      </c>
      <c r="G59" s="362" t="s">
        <v>39</v>
      </c>
      <c r="H59" s="362" t="s">
        <v>38</v>
      </c>
      <c r="I59" s="362" t="s">
        <v>185</v>
      </c>
      <c r="J59" s="362" t="s">
        <v>37</v>
      </c>
      <c r="K59" s="363" t="s">
        <v>123</v>
      </c>
    </row>
    <row r="60" spans="1:11">
      <c r="A60" s="364">
        <v>1</v>
      </c>
      <c r="B60" s="365">
        <v>543</v>
      </c>
      <c r="C60" s="366" t="s">
        <v>124</v>
      </c>
      <c r="D60" s="367" t="s">
        <v>124</v>
      </c>
      <c r="E60" s="368" t="s">
        <v>124</v>
      </c>
      <c r="G60" s="364">
        <v>1</v>
      </c>
      <c r="H60" s="365">
        <v>543</v>
      </c>
      <c r="I60" s="366" t="s">
        <v>124</v>
      </c>
      <c r="J60" s="367" t="s">
        <v>124</v>
      </c>
      <c r="K60" s="368" t="s">
        <v>124</v>
      </c>
    </row>
    <row r="61" spans="1:11">
      <c r="A61" s="369">
        <v>2</v>
      </c>
      <c r="B61" s="365">
        <v>528</v>
      </c>
      <c r="C61" s="370" t="s">
        <v>124</v>
      </c>
      <c r="D61" s="371" t="s">
        <v>124</v>
      </c>
      <c r="E61" s="372" t="s">
        <v>124</v>
      </c>
      <c r="G61" s="369">
        <v>2</v>
      </c>
      <c r="H61" s="365">
        <v>528</v>
      </c>
      <c r="I61" s="370" t="s">
        <v>124</v>
      </c>
      <c r="J61" s="371" t="s">
        <v>124</v>
      </c>
      <c r="K61" s="372" t="s">
        <v>124</v>
      </c>
    </row>
    <row r="62" spans="1:11">
      <c r="A62" s="369">
        <v>3</v>
      </c>
      <c r="B62" s="365">
        <v>531</v>
      </c>
      <c r="C62" s="370" t="s">
        <v>124</v>
      </c>
      <c r="D62" s="371" t="s">
        <v>124</v>
      </c>
      <c r="E62" s="372" t="s">
        <v>124</v>
      </c>
      <c r="G62" s="369">
        <v>3</v>
      </c>
      <c r="H62" s="365">
        <v>531</v>
      </c>
      <c r="I62" s="370" t="s">
        <v>124</v>
      </c>
      <c r="J62" s="371" t="s">
        <v>124</v>
      </c>
      <c r="K62" s="372" t="s">
        <v>124</v>
      </c>
    </row>
    <row r="63" spans="1:11">
      <c r="A63" s="369">
        <v>4</v>
      </c>
      <c r="B63" s="365">
        <v>542</v>
      </c>
      <c r="C63" s="370" t="s">
        <v>124</v>
      </c>
      <c r="D63" s="371" t="s">
        <v>124</v>
      </c>
      <c r="E63" s="372" t="s">
        <v>124</v>
      </c>
      <c r="G63" s="369">
        <v>4</v>
      </c>
      <c r="H63" s="365">
        <v>542</v>
      </c>
      <c r="I63" s="370" t="s">
        <v>124</v>
      </c>
      <c r="J63" s="371" t="s">
        <v>124</v>
      </c>
      <c r="K63" s="372" t="s">
        <v>124</v>
      </c>
    </row>
    <row r="64" spans="1:11">
      <c r="A64" s="369">
        <v>5</v>
      </c>
      <c r="B64" s="365">
        <v>558</v>
      </c>
      <c r="C64" s="370">
        <v>536</v>
      </c>
      <c r="D64" s="371">
        <v>22</v>
      </c>
      <c r="E64" s="372">
        <v>1</v>
      </c>
      <c r="G64" s="369">
        <v>5</v>
      </c>
      <c r="H64" s="365">
        <v>558</v>
      </c>
      <c r="I64" s="370" t="s">
        <v>124</v>
      </c>
      <c r="J64" s="371" t="s">
        <v>124</v>
      </c>
      <c r="K64" s="372" t="s">
        <v>124</v>
      </c>
    </row>
    <row r="65" spans="1:11">
      <c r="A65" s="369">
        <v>6</v>
      </c>
      <c r="B65" s="365">
        <v>545</v>
      </c>
      <c r="C65" s="370">
        <v>539.75</v>
      </c>
      <c r="D65" s="371">
        <v>5.25</v>
      </c>
      <c r="E65" s="372">
        <v>2</v>
      </c>
      <c r="G65" s="369">
        <v>6</v>
      </c>
      <c r="H65" s="365">
        <v>545</v>
      </c>
      <c r="I65" s="370" t="s">
        <v>124</v>
      </c>
      <c r="J65" s="371" t="s">
        <v>124</v>
      </c>
      <c r="K65" s="372" t="s">
        <v>124</v>
      </c>
    </row>
    <row r="66" spans="1:11">
      <c r="A66" s="369">
        <v>7</v>
      </c>
      <c r="B66" s="365">
        <v>543</v>
      </c>
      <c r="C66" s="370">
        <v>544</v>
      </c>
      <c r="D66" s="371">
        <v>-1</v>
      </c>
      <c r="E66" s="372">
        <v>2.7876106194690267</v>
      </c>
      <c r="G66" s="369">
        <v>7</v>
      </c>
      <c r="H66" s="365">
        <v>543</v>
      </c>
      <c r="I66" s="370">
        <v>541.16666666666663</v>
      </c>
      <c r="J66" s="371">
        <v>1.8333333333333712</v>
      </c>
      <c r="K66" s="372">
        <v>1</v>
      </c>
    </row>
    <row r="67" spans="1:11">
      <c r="A67" s="369">
        <v>8</v>
      </c>
      <c r="B67" s="365">
        <v>550</v>
      </c>
      <c r="C67" s="370">
        <v>547</v>
      </c>
      <c r="D67" s="371">
        <v>3</v>
      </c>
      <c r="E67" s="372">
        <v>3.7440000000000002</v>
      </c>
      <c r="G67" s="369">
        <v>8</v>
      </c>
      <c r="H67" s="365">
        <v>550</v>
      </c>
      <c r="I67" s="370">
        <v>541.16666666666663</v>
      </c>
      <c r="J67" s="371">
        <v>8.8333333333333712</v>
      </c>
      <c r="K67" s="372">
        <v>2</v>
      </c>
    </row>
    <row r="68" spans="1:11">
      <c r="A68" s="369">
        <v>9</v>
      </c>
      <c r="B68" s="365">
        <v>546</v>
      </c>
      <c r="C68" s="370">
        <v>549</v>
      </c>
      <c r="D68" s="371">
        <v>-3</v>
      </c>
      <c r="E68" s="372">
        <v>3.832116788321168</v>
      </c>
      <c r="G68" s="369">
        <v>9</v>
      </c>
      <c r="H68" s="365">
        <v>546</v>
      </c>
      <c r="I68" s="370">
        <v>544.83333333333337</v>
      </c>
      <c r="J68" s="371">
        <v>1.1666666666666288</v>
      </c>
      <c r="K68" s="372">
        <v>3</v>
      </c>
    </row>
    <row r="69" spans="1:11">
      <c r="A69" s="369">
        <v>10</v>
      </c>
      <c r="B69" s="365">
        <v>540</v>
      </c>
      <c r="C69" s="370">
        <v>546</v>
      </c>
      <c r="D69" s="371">
        <v>-6</v>
      </c>
      <c r="E69" s="372">
        <v>3.018633540372671</v>
      </c>
      <c r="G69" s="369">
        <v>10</v>
      </c>
      <c r="H69" s="365">
        <v>540</v>
      </c>
      <c r="I69" s="370">
        <v>547.33333333333337</v>
      </c>
      <c r="J69" s="371">
        <v>-7.3333333333333712</v>
      </c>
      <c r="K69" s="372">
        <v>0.93913043478260494</v>
      </c>
    </row>
    <row r="70" spans="1:11">
      <c r="A70" s="369">
        <v>11</v>
      </c>
      <c r="B70" s="365">
        <v>535</v>
      </c>
      <c r="C70" s="370">
        <v>544.75</v>
      </c>
      <c r="D70" s="371">
        <v>-9.75</v>
      </c>
      <c r="E70" s="372">
        <v>1.47</v>
      </c>
      <c r="G70" s="369">
        <v>11</v>
      </c>
      <c r="H70" s="365">
        <v>535</v>
      </c>
      <c r="I70" s="370">
        <v>547</v>
      </c>
      <c r="J70" s="371">
        <v>-12</v>
      </c>
      <c r="K70" s="372">
        <v>-1.2032085561497297</v>
      </c>
    </row>
    <row r="71" spans="1:11">
      <c r="A71" s="369">
        <v>12</v>
      </c>
      <c r="B71" s="365">
        <v>529</v>
      </c>
      <c r="C71" s="370">
        <v>542.75</v>
      </c>
      <c r="D71" s="371">
        <v>-13.75</v>
      </c>
      <c r="E71" s="372">
        <v>-0.40784313725490196</v>
      </c>
      <c r="G71" s="369">
        <v>12</v>
      </c>
      <c r="H71" s="365">
        <v>529</v>
      </c>
      <c r="I71" s="370">
        <v>543.16666666666663</v>
      </c>
      <c r="J71" s="371">
        <v>-14.166666666666629</v>
      </c>
      <c r="K71" s="372">
        <v>-2.8676470588235223</v>
      </c>
    </row>
    <row r="72" spans="1:11">
      <c r="A72" s="369">
        <v>13</v>
      </c>
      <c r="B72" s="373"/>
      <c r="C72" s="370">
        <v>537.5</v>
      </c>
      <c r="D72" s="371" t="s">
        <v>124</v>
      </c>
      <c r="E72" s="372" t="s">
        <v>124</v>
      </c>
      <c r="G72" s="369">
        <v>13</v>
      </c>
      <c r="H72" s="373"/>
      <c r="I72" s="370">
        <v>540.5</v>
      </c>
      <c r="J72" s="371" t="s">
        <v>124</v>
      </c>
      <c r="K72" s="372" t="s">
        <v>124</v>
      </c>
    </row>
  </sheetData>
  <mergeCells count="4">
    <mergeCell ref="A52:D52"/>
    <mergeCell ref="A54:C54"/>
    <mergeCell ref="G52:J52"/>
    <mergeCell ref="G54:I5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8"/>
  <sheetViews>
    <sheetView workbookViewId="0">
      <selection activeCell="I65" sqref="I65"/>
    </sheetView>
  </sheetViews>
  <sheetFormatPr baseColWidth="10" defaultColWidth="8.83203125" defaultRowHeight="15"/>
  <cols>
    <col min="1" max="1" width="13.1640625" customWidth="1"/>
    <col min="2" max="2" width="12.33203125" bestFit="1" customWidth="1"/>
    <col min="3" max="3" width="13.83203125" customWidth="1"/>
    <col min="4" max="4" width="24" style="291" customWidth="1"/>
    <col min="257" max="257" width="13.1640625" customWidth="1"/>
    <col min="258" max="258" width="12.33203125" bestFit="1" customWidth="1"/>
    <col min="259" max="259" width="13.83203125" customWidth="1"/>
    <col min="260" max="260" width="24" customWidth="1"/>
    <col min="513" max="513" width="13.1640625" customWidth="1"/>
    <col min="514" max="514" width="12.33203125" bestFit="1" customWidth="1"/>
    <col min="515" max="515" width="13.83203125" customWidth="1"/>
    <col min="516" max="516" width="24" customWidth="1"/>
    <col min="769" max="769" width="13.1640625" customWidth="1"/>
    <col min="770" max="770" width="12.33203125" bestFit="1" customWidth="1"/>
    <col min="771" max="771" width="13.83203125" customWidth="1"/>
    <col min="772" max="772" width="24" customWidth="1"/>
    <col min="1025" max="1025" width="13.1640625" customWidth="1"/>
    <col min="1026" max="1026" width="12.33203125" bestFit="1" customWidth="1"/>
    <col min="1027" max="1027" width="13.83203125" customWidth="1"/>
    <col min="1028" max="1028" width="24" customWidth="1"/>
    <col min="1281" max="1281" width="13.1640625" customWidth="1"/>
    <col min="1282" max="1282" width="12.33203125" bestFit="1" customWidth="1"/>
    <col min="1283" max="1283" width="13.83203125" customWidth="1"/>
    <col min="1284" max="1284" width="24" customWidth="1"/>
    <col min="1537" max="1537" width="13.1640625" customWidth="1"/>
    <col min="1538" max="1538" width="12.33203125" bestFit="1" customWidth="1"/>
    <col min="1539" max="1539" width="13.83203125" customWidth="1"/>
    <col min="1540" max="1540" width="24" customWidth="1"/>
    <col min="1793" max="1793" width="13.1640625" customWidth="1"/>
    <col min="1794" max="1794" width="12.33203125" bestFit="1" customWidth="1"/>
    <col min="1795" max="1795" width="13.83203125" customWidth="1"/>
    <col min="1796" max="1796" width="24" customWidth="1"/>
    <col min="2049" max="2049" width="13.1640625" customWidth="1"/>
    <col min="2050" max="2050" width="12.33203125" bestFit="1" customWidth="1"/>
    <col min="2051" max="2051" width="13.83203125" customWidth="1"/>
    <col min="2052" max="2052" width="24" customWidth="1"/>
    <col min="2305" max="2305" width="13.1640625" customWidth="1"/>
    <col min="2306" max="2306" width="12.33203125" bestFit="1" customWidth="1"/>
    <col min="2307" max="2307" width="13.83203125" customWidth="1"/>
    <col min="2308" max="2308" width="24" customWidth="1"/>
    <col min="2561" max="2561" width="13.1640625" customWidth="1"/>
    <col min="2562" max="2562" width="12.33203125" bestFit="1" customWidth="1"/>
    <col min="2563" max="2563" width="13.83203125" customWidth="1"/>
    <col min="2564" max="2564" width="24" customWidth="1"/>
    <col min="2817" max="2817" width="13.1640625" customWidth="1"/>
    <col min="2818" max="2818" width="12.33203125" bestFit="1" customWidth="1"/>
    <col min="2819" max="2819" width="13.83203125" customWidth="1"/>
    <col min="2820" max="2820" width="24" customWidth="1"/>
    <col min="3073" max="3073" width="13.1640625" customWidth="1"/>
    <col min="3074" max="3074" width="12.33203125" bestFit="1" customWidth="1"/>
    <col min="3075" max="3075" width="13.83203125" customWidth="1"/>
    <col min="3076" max="3076" width="24" customWidth="1"/>
    <col min="3329" max="3329" width="13.1640625" customWidth="1"/>
    <col min="3330" max="3330" width="12.33203125" bestFit="1" customWidth="1"/>
    <col min="3331" max="3331" width="13.83203125" customWidth="1"/>
    <col min="3332" max="3332" width="24" customWidth="1"/>
    <col min="3585" max="3585" width="13.1640625" customWidth="1"/>
    <col min="3586" max="3586" width="12.33203125" bestFit="1" customWidth="1"/>
    <col min="3587" max="3587" width="13.83203125" customWidth="1"/>
    <col min="3588" max="3588" width="24" customWidth="1"/>
    <col min="3841" max="3841" width="13.1640625" customWidth="1"/>
    <col min="3842" max="3842" width="12.33203125" bestFit="1" customWidth="1"/>
    <col min="3843" max="3843" width="13.83203125" customWidth="1"/>
    <col min="3844" max="3844" width="24" customWidth="1"/>
    <col min="4097" max="4097" width="13.1640625" customWidth="1"/>
    <col min="4098" max="4098" width="12.33203125" bestFit="1" customWidth="1"/>
    <col min="4099" max="4099" width="13.83203125" customWidth="1"/>
    <col min="4100" max="4100" width="24" customWidth="1"/>
    <col min="4353" max="4353" width="13.1640625" customWidth="1"/>
    <col min="4354" max="4354" width="12.33203125" bestFit="1" customWidth="1"/>
    <col min="4355" max="4355" width="13.83203125" customWidth="1"/>
    <col min="4356" max="4356" width="24" customWidth="1"/>
    <col min="4609" max="4609" width="13.1640625" customWidth="1"/>
    <col min="4610" max="4610" width="12.33203125" bestFit="1" customWidth="1"/>
    <col min="4611" max="4611" width="13.83203125" customWidth="1"/>
    <col min="4612" max="4612" width="24" customWidth="1"/>
    <col min="4865" max="4865" width="13.1640625" customWidth="1"/>
    <col min="4866" max="4866" width="12.33203125" bestFit="1" customWidth="1"/>
    <col min="4867" max="4867" width="13.83203125" customWidth="1"/>
    <col min="4868" max="4868" width="24" customWidth="1"/>
    <col min="5121" max="5121" width="13.1640625" customWidth="1"/>
    <col min="5122" max="5122" width="12.33203125" bestFit="1" customWidth="1"/>
    <col min="5123" max="5123" width="13.83203125" customWidth="1"/>
    <col min="5124" max="5124" width="24" customWidth="1"/>
    <col min="5377" max="5377" width="13.1640625" customWidth="1"/>
    <col min="5378" max="5378" width="12.33203125" bestFit="1" customWidth="1"/>
    <col min="5379" max="5379" width="13.83203125" customWidth="1"/>
    <col min="5380" max="5380" width="24" customWidth="1"/>
    <col min="5633" max="5633" width="13.1640625" customWidth="1"/>
    <col min="5634" max="5634" width="12.33203125" bestFit="1" customWidth="1"/>
    <col min="5635" max="5635" width="13.83203125" customWidth="1"/>
    <col min="5636" max="5636" width="24" customWidth="1"/>
    <col min="5889" max="5889" width="13.1640625" customWidth="1"/>
    <col min="5890" max="5890" width="12.33203125" bestFit="1" customWidth="1"/>
    <col min="5891" max="5891" width="13.83203125" customWidth="1"/>
    <col min="5892" max="5892" width="24" customWidth="1"/>
    <col min="6145" max="6145" width="13.1640625" customWidth="1"/>
    <col min="6146" max="6146" width="12.33203125" bestFit="1" customWidth="1"/>
    <col min="6147" max="6147" width="13.83203125" customWidth="1"/>
    <col min="6148" max="6148" width="24" customWidth="1"/>
    <col min="6401" max="6401" width="13.1640625" customWidth="1"/>
    <col min="6402" max="6402" width="12.33203125" bestFit="1" customWidth="1"/>
    <col min="6403" max="6403" width="13.83203125" customWidth="1"/>
    <col min="6404" max="6404" width="24" customWidth="1"/>
    <col min="6657" max="6657" width="13.1640625" customWidth="1"/>
    <col min="6658" max="6658" width="12.33203125" bestFit="1" customWidth="1"/>
    <col min="6659" max="6659" width="13.83203125" customWidth="1"/>
    <col min="6660" max="6660" width="24" customWidth="1"/>
    <col min="6913" max="6913" width="13.1640625" customWidth="1"/>
    <col min="6914" max="6914" width="12.33203125" bestFit="1" customWidth="1"/>
    <col min="6915" max="6915" width="13.83203125" customWidth="1"/>
    <col min="6916" max="6916" width="24" customWidth="1"/>
    <col min="7169" max="7169" width="13.1640625" customWidth="1"/>
    <col min="7170" max="7170" width="12.33203125" bestFit="1" customWidth="1"/>
    <col min="7171" max="7171" width="13.83203125" customWidth="1"/>
    <col min="7172" max="7172" width="24" customWidth="1"/>
    <col min="7425" max="7425" width="13.1640625" customWidth="1"/>
    <col min="7426" max="7426" width="12.33203125" bestFit="1" customWidth="1"/>
    <col min="7427" max="7427" width="13.83203125" customWidth="1"/>
    <col min="7428" max="7428" width="24" customWidth="1"/>
    <col min="7681" max="7681" width="13.1640625" customWidth="1"/>
    <col min="7682" max="7682" width="12.33203125" bestFit="1" customWidth="1"/>
    <col min="7683" max="7683" width="13.83203125" customWidth="1"/>
    <col min="7684" max="7684" width="24" customWidth="1"/>
    <col min="7937" max="7937" width="13.1640625" customWidth="1"/>
    <col min="7938" max="7938" width="12.33203125" bestFit="1" customWidth="1"/>
    <col min="7939" max="7939" width="13.83203125" customWidth="1"/>
    <col min="7940" max="7940" width="24" customWidth="1"/>
    <col min="8193" max="8193" width="13.1640625" customWidth="1"/>
    <col min="8194" max="8194" width="12.33203125" bestFit="1" customWidth="1"/>
    <col min="8195" max="8195" width="13.83203125" customWidth="1"/>
    <col min="8196" max="8196" width="24" customWidth="1"/>
    <col min="8449" max="8449" width="13.1640625" customWidth="1"/>
    <col min="8450" max="8450" width="12.33203125" bestFit="1" customWidth="1"/>
    <col min="8451" max="8451" width="13.83203125" customWidth="1"/>
    <col min="8452" max="8452" width="24" customWidth="1"/>
    <col min="8705" max="8705" width="13.1640625" customWidth="1"/>
    <col min="8706" max="8706" width="12.33203125" bestFit="1" customWidth="1"/>
    <col min="8707" max="8707" width="13.83203125" customWidth="1"/>
    <col min="8708" max="8708" width="24" customWidth="1"/>
    <col min="8961" max="8961" width="13.1640625" customWidth="1"/>
    <col min="8962" max="8962" width="12.33203125" bestFit="1" customWidth="1"/>
    <col min="8963" max="8963" width="13.83203125" customWidth="1"/>
    <col min="8964" max="8964" width="24" customWidth="1"/>
    <col min="9217" max="9217" width="13.1640625" customWidth="1"/>
    <col min="9218" max="9218" width="12.33203125" bestFit="1" customWidth="1"/>
    <col min="9219" max="9219" width="13.83203125" customWidth="1"/>
    <col min="9220" max="9220" width="24" customWidth="1"/>
    <col min="9473" max="9473" width="13.1640625" customWidth="1"/>
    <col min="9474" max="9474" width="12.33203125" bestFit="1" customWidth="1"/>
    <col min="9475" max="9475" width="13.83203125" customWidth="1"/>
    <col min="9476" max="9476" width="24" customWidth="1"/>
    <col min="9729" max="9729" width="13.1640625" customWidth="1"/>
    <col min="9730" max="9730" width="12.33203125" bestFit="1" customWidth="1"/>
    <col min="9731" max="9731" width="13.83203125" customWidth="1"/>
    <col min="9732" max="9732" width="24" customWidth="1"/>
    <col min="9985" max="9985" width="13.1640625" customWidth="1"/>
    <col min="9986" max="9986" width="12.33203125" bestFit="1" customWidth="1"/>
    <col min="9987" max="9987" width="13.83203125" customWidth="1"/>
    <col min="9988" max="9988" width="24" customWidth="1"/>
    <col min="10241" max="10241" width="13.1640625" customWidth="1"/>
    <col min="10242" max="10242" width="12.33203125" bestFit="1" customWidth="1"/>
    <col min="10243" max="10243" width="13.83203125" customWidth="1"/>
    <col min="10244" max="10244" width="24" customWidth="1"/>
    <col min="10497" max="10497" width="13.1640625" customWidth="1"/>
    <col min="10498" max="10498" width="12.33203125" bestFit="1" customWidth="1"/>
    <col min="10499" max="10499" width="13.83203125" customWidth="1"/>
    <col min="10500" max="10500" width="24" customWidth="1"/>
    <col min="10753" max="10753" width="13.1640625" customWidth="1"/>
    <col min="10754" max="10754" width="12.33203125" bestFit="1" customWidth="1"/>
    <col min="10755" max="10755" width="13.83203125" customWidth="1"/>
    <col min="10756" max="10756" width="24" customWidth="1"/>
    <col min="11009" max="11009" width="13.1640625" customWidth="1"/>
    <col min="11010" max="11010" width="12.33203125" bestFit="1" customWidth="1"/>
    <col min="11011" max="11011" width="13.83203125" customWidth="1"/>
    <col min="11012" max="11012" width="24" customWidth="1"/>
    <col min="11265" max="11265" width="13.1640625" customWidth="1"/>
    <col min="11266" max="11266" width="12.33203125" bestFit="1" customWidth="1"/>
    <col min="11267" max="11267" width="13.83203125" customWidth="1"/>
    <col min="11268" max="11268" width="24" customWidth="1"/>
    <col min="11521" max="11521" width="13.1640625" customWidth="1"/>
    <col min="11522" max="11522" width="12.33203125" bestFit="1" customWidth="1"/>
    <col min="11523" max="11523" width="13.83203125" customWidth="1"/>
    <col min="11524" max="11524" width="24" customWidth="1"/>
    <col min="11777" max="11777" width="13.1640625" customWidth="1"/>
    <col min="11778" max="11778" width="12.33203125" bestFit="1" customWidth="1"/>
    <col min="11779" max="11779" width="13.83203125" customWidth="1"/>
    <col min="11780" max="11780" width="24" customWidth="1"/>
    <col min="12033" max="12033" width="13.1640625" customWidth="1"/>
    <col min="12034" max="12034" width="12.33203125" bestFit="1" customWidth="1"/>
    <col min="12035" max="12035" width="13.83203125" customWidth="1"/>
    <col min="12036" max="12036" width="24" customWidth="1"/>
    <col min="12289" max="12289" width="13.1640625" customWidth="1"/>
    <col min="12290" max="12290" width="12.33203125" bestFit="1" customWidth="1"/>
    <col min="12291" max="12291" width="13.83203125" customWidth="1"/>
    <col min="12292" max="12292" width="24" customWidth="1"/>
    <col min="12545" max="12545" width="13.1640625" customWidth="1"/>
    <col min="12546" max="12546" width="12.33203125" bestFit="1" customWidth="1"/>
    <col min="12547" max="12547" width="13.83203125" customWidth="1"/>
    <col min="12548" max="12548" width="24" customWidth="1"/>
    <col min="12801" max="12801" width="13.1640625" customWidth="1"/>
    <col min="12802" max="12802" width="12.33203125" bestFit="1" customWidth="1"/>
    <col min="12803" max="12803" width="13.83203125" customWidth="1"/>
    <col min="12804" max="12804" width="24" customWidth="1"/>
    <col min="13057" max="13057" width="13.1640625" customWidth="1"/>
    <col min="13058" max="13058" width="12.33203125" bestFit="1" customWidth="1"/>
    <col min="13059" max="13059" width="13.83203125" customWidth="1"/>
    <col min="13060" max="13060" width="24" customWidth="1"/>
    <col min="13313" max="13313" width="13.1640625" customWidth="1"/>
    <col min="13314" max="13314" width="12.33203125" bestFit="1" customWidth="1"/>
    <col min="13315" max="13315" width="13.83203125" customWidth="1"/>
    <col min="13316" max="13316" width="24" customWidth="1"/>
    <col min="13569" max="13569" width="13.1640625" customWidth="1"/>
    <col min="13570" max="13570" width="12.33203125" bestFit="1" customWidth="1"/>
    <col min="13571" max="13571" width="13.83203125" customWidth="1"/>
    <col min="13572" max="13572" width="24" customWidth="1"/>
    <col min="13825" max="13825" width="13.1640625" customWidth="1"/>
    <col min="13826" max="13826" width="12.33203125" bestFit="1" customWidth="1"/>
    <col min="13827" max="13827" width="13.83203125" customWidth="1"/>
    <col min="13828" max="13828" width="24" customWidth="1"/>
    <col min="14081" max="14081" width="13.1640625" customWidth="1"/>
    <col min="14082" max="14082" width="12.33203125" bestFit="1" customWidth="1"/>
    <col min="14083" max="14083" width="13.83203125" customWidth="1"/>
    <col min="14084" max="14084" width="24" customWidth="1"/>
    <col min="14337" max="14337" width="13.1640625" customWidth="1"/>
    <col min="14338" max="14338" width="12.33203125" bestFit="1" customWidth="1"/>
    <col min="14339" max="14339" width="13.83203125" customWidth="1"/>
    <col min="14340" max="14340" width="24" customWidth="1"/>
    <col min="14593" max="14593" width="13.1640625" customWidth="1"/>
    <col min="14594" max="14594" width="12.33203125" bestFit="1" customWidth="1"/>
    <col min="14595" max="14595" width="13.83203125" customWidth="1"/>
    <col min="14596" max="14596" width="24" customWidth="1"/>
    <col min="14849" max="14849" width="13.1640625" customWidth="1"/>
    <col min="14850" max="14850" width="12.33203125" bestFit="1" customWidth="1"/>
    <col min="14851" max="14851" width="13.83203125" customWidth="1"/>
    <col min="14852" max="14852" width="24" customWidth="1"/>
    <col min="15105" max="15105" width="13.1640625" customWidth="1"/>
    <col min="15106" max="15106" width="12.33203125" bestFit="1" customWidth="1"/>
    <col min="15107" max="15107" width="13.83203125" customWidth="1"/>
    <col min="15108" max="15108" width="24" customWidth="1"/>
    <col min="15361" max="15361" width="13.1640625" customWidth="1"/>
    <col min="15362" max="15362" width="12.33203125" bestFit="1" customWidth="1"/>
    <col min="15363" max="15363" width="13.83203125" customWidth="1"/>
    <col min="15364" max="15364" width="24" customWidth="1"/>
    <col min="15617" max="15617" width="13.1640625" customWidth="1"/>
    <col min="15618" max="15618" width="12.33203125" bestFit="1" customWidth="1"/>
    <col min="15619" max="15619" width="13.83203125" customWidth="1"/>
    <col min="15620" max="15620" width="24" customWidth="1"/>
    <col min="15873" max="15873" width="13.1640625" customWidth="1"/>
    <col min="15874" max="15874" width="12.33203125" bestFit="1" customWidth="1"/>
    <col min="15875" max="15875" width="13.83203125" customWidth="1"/>
    <col min="15876" max="15876" width="24" customWidth="1"/>
    <col min="16129" max="16129" width="13.1640625" customWidth="1"/>
    <col min="16130" max="16130" width="12.33203125" bestFit="1" customWidth="1"/>
    <col min="16131" max="16131" width="13.83203125" customWidth="1"/>
    <col min="16132" max="16132" width="24" customWidth="1"/>
  </cols>
  <sheetData>
    <row r="1" spans="1:4">
      <c r="A1" s="665" t="s">
        <v>35</v>
      </c>
      <c r="B1" s="665"/>
      <c r="C1" s="665"/>
      <c r="D1" s="665"/>
    </row>
    <row r="2" spans="1:4">
      <c r="A2" s="290"/>
      <c r="B2" s="290"/>
      <c r="C2" s="290"/>
      <c r="D2" s="290"/>
    </row>
    <row r="3" spans="1:4">
      <c r="A3" s="82" t="s">
        <v>22</v>
      </c>
      <c r="B3" s="136" t="s">
        <v>30</v>
      </c>
    </row>
    <row r="4" spans="1:4">
      <c r="A4" t="s">
        <v>31</v>
      </c>
      <c r="B4" s="506">
        <v>543</v>
      </c>
    </row>
    <row r="5" spans="1:4">
      <c r="A5" t="s">
        <v>23</v>
      </c>
      <c r="B5" s="506">
        <v>528</v>
      </c>
    </row>
    <row r="6" spans="1:4">
      <c r="A6" t="s">
        <v>24</v>
      </c>
      <c r="B6" s="506">
        <v>531</v>
      </c>
    </row>
    <row r="7" spans="1:4">
      <c r="A7" t="s">
        <v>14</v>
      </c>
      <c r="B7" s="506">
        <v>542</v>
      </c>
    </row>
    <row r="8" spans="1:4">
      <c r="A8" t="s">
        <v>15</v>
      </c>
      <c r="B8" s="506">
        <v>558</v>
      </c>
    </row>
    <row r="9" spans="1:4">
      <c r="A9" t="s">
        <v>16</v>
      </c>
      <c r="B9" s="506">
        <v>545</v>
      </c>
    </row>
    <row r="10" spans="1:4">
      <c r="A10" t="s">
        <v>4</v>
      </c>
      <c r="B10" s="506">
        <v>543</v>
      </c>
    </row>
    <row r="11" spans="1:4">
      <c r="A11" t="s">
        <v>5</v>
      </c>
      <c r="B11" s="506">
        <v>550</v>
      </c>
    </row>
    <row r="12" spans="1:4">
      <c r="A12" t="s">
        <v>6</v>
      </c>
      <c r="B12" s="506">
        <v>546</v>
      </c>
    </row>
    <row r="13" spans="1:4">
      <c r="A13" t="s">
        <v>7</v>
      </c>
      <c r="B13" s="506">
        <v>540</v>
      </c>
    </row>
    <row r="14" spans="1:4">
      <c r="A14" t="s">
        <v>8</v>
      </c>
      <c r="B14" s="506">
        <v>535</v>
      </c>
    </row>
    <row r="15" spans="1:4">
      <c r="A15" t="s">
        <v>9</v>
      </c>
      <c r="B15" s="506">
        <v>529</v>
      </c>
    </row>
    <row r="17" spans="1:8" ht="15.75" customHeight="1">
      <c r="A17" s="666" t="s">
        <v>218</v>
      </c>
      <c r="B17" s="667"/>
      <c r="C17" s="667"/>
      <c r="D17" s="667"/>
      <c r="E17" s="667"/>
      <c r="F17" s="667"/>
      <c r="G17" s="667"/>
      <c r="H17" s="667"/>
    </row>
    <row r="18" spans="1:8" ht="14.25" customHeight="1">
      <c r="A18" s="508" t="s">
        <v>215</v>
      </c>
      <c r="B18" s="248"/>
      <c r="C18" s="248"/>
      <c r="D18" s="248"/>
      <c r="E18" s="248"/>
      <c r="F18" s="248"/>
    </row>
    <row r="19" spans="1:8" ht="14.25" customHeight="1">
      <c r="A19" s="507"/>
      <c r="B19" s="248"/>
      <c r="C19" s="248"/>
      <c r="D19" s="248"/>
      <c r="E19" s="248"/>
      <c r="F19" s="248"/>
    </row>
    <row r="20" spans="1:8" ht="38.25" customHeight="1">
      <c r="A20" s="1" t="s">
        <v>22</v>
      </c>
      <c r="B20" s="2" t="s">
        <v>30</v>
      </c>
      <c r="C20" s="34" t="s">
        <v>301</v>
      </c>
      <c r="D20" s="34" t="s">
        <v>302</v>
      </c>
      <c r="E20" s="35"/>
      <c r="F20" s="35"/>
      <c r="G20" s="35"/>
    </row>
    <row r="21" spans="1:8">
      <c r="A21" t="s">
        <v>31</v>
      </c>
      <c r="B21" s="506">
        <v>543</v>
      </c>
      <c r="C21" s="291"/>
    </row>
    <row r="22" spans="1:8">
      <c r="A22" t="s">
        <v>23</v>
      </c>
      <c r="B22" s="506">
        <v>528</v>
      </c>
      <c r="C22" s="291"/>
    </row>
    <row r="23" spans="1:8">
      <c r="A23" t="s">
        <v>24</v>
      </c>
      <c r="B23" s="506">
        <v>531</v>
      </c>
      <c r="C23" s="291"/>
    </row>
    <row r="24" spans="1:8">
      <c r="A24" t="s">
        <v>14</v>
      </c>
      <c r="B24" s="506">
        <v>542</v>
      </c>
      <c r="C24" s="291"/>
    </row>
    <row r="25" spans="1:8">
      <c r="A25" t="s">
        <v>15</v>
      </c>
      <c r="B25" s="506">
        <v>558</v>
      </c>
      <c r="C25" s="36">
        <f t="shared" ref="C25:C33" si="0">SUM(B21:B24)/4</f>
        <v>536</v>
      </c>
      <c r="D25" s="37">
        <f t="shared" ref="D25:D33" si="1">((B24*0.4)+(B23*0.3)+(B22*0.2)+(B21*0.1))</f>
        <v>536</v>
      </c>
    </row>
    <row r="26" spans="1:8">
      <c r="A26" t="s">
        <v>16</v>
      </c>
      <c r="B26" s="506">
        <v>545</v>
      </c>
      <c r="C26" s="36">
        <f t="shared" si="0"/>
        <v>539.75</v>
      </c>
      <c r="D26" s="37">
        <f t="shared" si="1"/>
        <v>544.79999999999995</v>
      </c>
    </row>
    <row r="27" spans="1:8">
      <c r="A27" t="s">
        <v>4</v>
      </c>
      <c r="B27" s="506">
        <v>543</v>
      </c>
      <c r="C27" s="36">
        <f t="shared" si="0"/>
        <v>544</v>
      </c>
      <c r="D27" s="37">
        <f t="shared" si="1"/>
        <v>546.9</v>
      </c>
    </row>
    <row r="28" spans="1:8">
      <c r="A28" t="s">
        <v>5</v>
      </c>
      <c r="B28" s="506">
        <v>550</v>
      </c>
      <c r="C28" s="36">
        <f t="shared" si="0"/>
        <v>547</v>
      </c>
      <c r="D28" s="37">
        <f t="shared" si="1"/>
        <v>546.50000000000011</v>
      </c>
    </row>
    <row r="29" spans="1:8">
      <c r="A29" t="s">
        <v>6</v>
      </c>
      <c r="B29" s="506">
        <v>546</v>
      </c>
      <c r="C29" s="36">
        <f t="shared" si="0"/>
        <v>549</v>
      </c>
      <c r="D29" s="37">
        <f t="shared" si="1"/>
        <v>547.69999999999993</v>
      </c>
    </row>
    <row r="30" spans="1:8">
      <c r="A30" t="s">
        <v>7</v>
      </c>
      <c r="B30" s="506">
        <v>540</v>
      </c>
      <c r="C30" s="36">
        <f t="shared" si="0"/>
        <v>546</v>
      </c>
      <c r="D30" s="37">
        <f t="shared" si="1"/>
        <v>546.5</v>
      </c>
    </row>
    <row r="31" spans="1:8">
      <c r="A31" t="s">
        <v>8</v>
      </c>
      <c r="B31" s="506">
        <v>535</v>
      </c>
      <c r="C31" s="36">
        <f t="shared" si="0"/>
        <v>544.75</v>
      </c>
      <c r="D31" s="37">
        <f t="shared" si="1"/>
        <v>544.09999999999991</v>
      </c>
    </row>
    <row r="32" spans="1:8">
      <c r="A32" t="s">
        <v>9</v>
      </c>
      <c r="B32" s="506">
        <v>529</v>
      </c>
      <c r="C32" s="36">
        <f t="shared" si="0"/>
        <v>542.75</v>
      </c>
      <c r="D32" s="37">
        <f t="shared" si="1"/>
        <v>540.20000000000005</v>
      </c>
    </row>
    <row r="33" spans="1:9">
      <c r="A33" s="509" t="s">
        <v>10</v>
      </c>
      <c r="B33" s="511"/>
      <c r="C33" s="510">
        <f t="shared" si="0"/>
        <v>537.5</v>
      </c>
      <c r="D33" s="510">
        <f t="shared" si="1"/>
        <v>534.70000000000005</v>
      </c>
    </row>
    <row r="34" spans="1:9">
      <c r="A34" s="39"/>
      <c r="B34" s="28"/>
      <c r="C34" s="32"/>
      <c r="D34" s="79"/>
      <c r="E34" s="8"/>
      <c r="F34" s="8"/>
    </row>
    <row r="35" spans="1:9">
      <c r="A35" s="667" t="s">
        <v>216</v>
      </c>
      <c r="B35" s="667"/>
      <c r="C35" s="667"/>
      <c r="D35" s="667"/>
      <c r="E35" s="667"/>
      <c r="F35" s="667"/>
      <c r="G35" s="667"/>
      <c r="H35" s="667"/>
      <c r="I35" s="289"/>
    </row>
    <row r="36" spans="1:9">
      <c r="A36" s="512" t="s">
        <v>217</v>
      </c>
      <c r="B36" s="31"/>
      <c r="C36" s="31"/>
      <c r="D36" s="31"/>
      <c r="E36" s="31"/>
      <c r="F36" s="31"/>
    </row>
    <row r="37" spans="1:9" ht="29">
      <c r="A37" s="39" t="s">
        <v>22</v>
      </c>
      <c r="B37" s="79" t="s">
        <v>30</v>
      </c>
      <c r="C37" s="78" t="s">
        <v>303</v>
      </c>
      <c r="D37" s="78" t="s">
        <v>302</v>
      </c>
    </row>
    <row r="38" spans="1:9">
      <c r="A38" s="8" t="s">
        <v>31</v>
      </c>
      <c r="B38" s="32">
        <v>543</v>
      </c>
      <c r="C38" s="28"/>
      <c r="D38" s="28"/>
    </row>
    <row r="39" spans="1:9">
      <c r="A39" s="8" t="s">
        <v>23</v>
      </c>
      <c r="B39" s="32">
        <v>528</v>
      </c>
      <c r="C39" s="28"/>
      <c r="D39" s="28"/>
    </row>
    <row r="40" spans="1:9">
      <c r="A40" s="8" t="s">
        <v>24</v>
      </c>
      <c r="B40" s="32">
        <v>531</v>
      </c>
      <c r="C40" s="28"/>
      <c r="D40" s="28"/>
    </row>
    <row r="41" spans="1:9">
      <c r="A41" s="8" t="s">
        <v>14</v>
      </c>
      <c r="B41" s="32">
        <v>542</v>
      </c>
      <c r="C41" s="28"/>
      <c r="D41" s="28"/>
    </row>
    <row r="42" spans="1:9">
      <c r="A42" s="8" t="s">
        <v>15</v>
      </c>
      <c r="B42" s="32">
        <v>558</v>
      </c>
      <c r="C42" s="38">
        <f t="shared" ref="C42:C50" si="2">SUM(B38:B41)/4</f>
        <v>536</v>
      </c>
      <c r="D42" s="33"/>
    </row>
    <row r="43" spans="1:9">
      <c r="A43" s="8" t="s">
        <v>16</v>
      </c>
      <c r="B43" s="32">
        <v>545</v>
      </c>
      <c r="C43" s="38">
        <f t="shared" si="2"/>
        <v>539.75</v>
      </c>
      <c r="D43" s="33">
        <f t="shared" ref="D43:D50" si="3">((B42*0.4)+(B41*0.2)+(B40*0.2)+(B39*0.1)+(B38*0.1))</f>
        <v>544.9</v>
      </c>
    </row>
    <row r="44" spans="1:9">
      <c r="A44" s="8" t="s">
        <v>4</v>
      </c>
      <c r="B44" s="32">
        <v>543</v>
      </c>
      <c r="C44" s="38">
        <f t="shared" si="2"/>
        <v>544</v>
      </c>
      <c r="D44" s="33">
        <f t="shared" si="3"/>
        <v>543.9</v>
      </c>
    </row>
    <row r="45" spans="1:9">
      <c r="A45" s="8" t="s">
        <v>5</v>
      </c>
      <c r="B45" s="32">
        <v>550</v>
      </c>
      <c r="C45" s="38">
        <f t="shared" si="2"/>
        <v>547</v>
      </c>
      <c r="D45" s="33">
        <f t="shared" si="3"/>
        <v>545.1</v>
      </c>
    </row>
    <row r="46" spans="1:9">
      <c r="A46" s="8" t="s">
        <v>6</v>
      </c>
      <c r="B46" s="32">
        <v>546</v>
      </c>
      <c r="C46" s="38">
        <f t="shared" si="2"/>
        <v>549</v>
      </c>
      <c r="D46" s="33">
        <f t="shared" si="3"/>
        <v>547.6</v>
      </c>
    </row>
    <row r="47" spans="1:9">
      <c r="A47" s="8" t="s">
        <v>7</v>
      </c>
      <c r="B47" s="32">
        <v>540</v>
      </c>
      <c r="C47" s="38">
        <f t="shared" si="2"/>
        <v>546</v>
      </c>
      <c r="D47" s="33">
        <f t="shared" si="3"/>
        <v>547.29999999999995</v>
      </c>
    </row>
    <row r="48" spans="1:9">
      <c r="A48" s="8" t="s">
        <v>8</v>
      </c>
      <c r="B48" s="32">
        <v>535</v>
      </c>
      <c r="C48" s="38">
        <f t="shared" si="2"/>
        <v>544.75</v>
      </c>
      <c r="D48" s="33">
        <f t="shared" si="3"/>
        <v>544</v>
      </c>
    </row>
    <row r="49" spans="1:11">
      <c r="A49" s="8" t="s">
        <v>9</v>
      </c>
      <c r="B49" s="32">
        <v>529</v>
      </c>
      <c r="C49" s="38">
        <f t="shared" si="2"/>
        <v>542.75</v>
      </c>
      <c r="D49" s="33">
        <f t="shared" si="3"/>
        <v>540.5</v>
      </c>
    </row>
    <row r="50" spans="1:11">
      <c r="A50" s="509" t="s">
        <v>10</v>
      </c>
      <c r="B50" s="511"/>
      <c r="C50" s="510">
        <f t="shared" si="2"/>
        <v>537.5</v>
      </c>
      <c r="D50" s="510">
        <f t="shared" si="3"/>
        <v>536.20000000000005</v>
      </c>
    </row>
    <row r="52" spans="1:11">
      <c r="A52" s="82" t="s">
        <v>213</v>
      </c>
    </row>
    <row r="53" spans="1:11">
      <c r="A53" s="668" t="s">
        <v>126</v>
      </c>
      <c r="B53" s="668"/>
      <c r="C53" s="668"/>
      <c r="D53" s="668"/>
      <c r="E53" s="374"/>
      <c r="G53" s="668" t="s">
        <v>126</v>
      </c>
      <c r="H53" s="668"/>
      <c r="I53" s="668"/>
      <c r="J53" s="668"/>
      <c r="K53" s="374"/>
    </row>
    <row r="54" spans="1:11" ht="16" thickBot="1">
      <c r="A54" s="374"/>
      <c r="B54" s="374"/>
      <c r="C54" s="374"/>
      <c r="D54" s="374"/>
      <c r="E54" s="374"/>
      <c r="G54" s="374"/>
      <c r="H54" s="374"/>
      <c r="I54" s="374"/>
      <c r="J54" s="374"/>
      <c r="K54" s="374"/>
    </row>
    <row r="55" spans="1:11" ht="16" thickBot="1">
      <c r="A55" s="664" t="s">
        <v>127</v>
      </c>
      <c r="B55" s="664"/>
      <c r="C55" s="664"/>
      <c r="D55" s="375">
        <v>4</v>
      </c>
      <c r="E55" s="374"/>
      <c r="G55" s="664" t="s">
        <v>127</v>
      </c>
      <c r="H55" s="664"/>
      <c r="I55" s="664"/>
      <c r="J55" s="375">
        <v>5</v>
      </c>
      <c r="K55" s="374"/>
    </row>
    <row r="56" spans="1:11">
      <c r="A56" s="663" t="s">
        <v>128</v>
      </c>
      <c r="B56" s="663"/>
      <c r="C56" s="663"/>
      <c r="D56" s="374"/>
      <c r="E56" s="374"/>
      <c r="G56" s="663" t="s">
        <v>128</v>
      </c>
      <c r="H56" s="663"/>
      <c r="I56" s="663"/>
      <c r="J56" s="374"/>
      <c r="K56" s="374"/>
    </row>
    <row r="57" spans="1:11">
      <c r="A57" s="376"/>
      <c r="B57" s="376"/>
      <c r="C57" s="376"/>
      <c r="D57" s="374"/>
      <c r="E57" s="374"/>
      <c r="G57" s="376"/>
      <c r="H57" s="376"/>
      <c r="I57" s="376"/>
      <c r="J57" s="374"/>
      <c r="K57" s="374"/>
    </row>
    <row r="58" spans="1:11" ht="16" thickBot="1">
      <c r="A58" s="664" t="s">
        <v>129</v>
      </c>
      <c r="B58" s="664"/>
      <c r="C58" s="664"/>
      <c r="D58" s="664"/>
      <c r="E58" s="374"/>
      <c r="G58" s="664" t="s">
        <v>129</v>
      </c>
      <c r="H58" s="664"/>
      <c r="I58" s="664"/>
      <c r="J58" s="664"/>
      <c r="K58" s="374"/>
    </row>
    <row r="59" spans="1:11">
      <c r="A59" s="377" t="s">
        <v>130</v>
      </c>
      <c r="B59" s="378" t="s">
        <v>131</v>
      </c>
      <c r="C59" s="378" t="s">
        <v>132</v>
      </c>
      <c r="D59" s="378" t="s">
        <v>133</v>
      </c>
      <c r="E59" s="379" t="s">
        <v>134</v>
      </c>
      <c r="G59" s="377" t="s">
        <v>130</v>
      </c>
      <c r="H59" s="378" t="s">
        <v>131</v>
      </c>
      <c r="I59" s="378" t="s">
        <v>132</v>
      </c>
      <c r="J59" s="378" t="s">
        <v>133</v>
      </c>
      <c r="K59" s="379" t="s">
        <v>134</v>
      </c>
    </row>
    <row r="60" spans="1:11" ht="16" thickBot="1">
      <c r="A60" s="380">
        <v>0.1</v>
      </c>
      <c r="B60" s="381">
        <v>0.2</v>
      </c>
      <c r="C60" s="381">
        <v>0.3</v>
      </c>
      <c r="D60" s="382">
        <v>0.4</v>
      </c>
      <c r="E60" s="383"/>
      <c r="G60" s="380">
        <v>0.1</v>
      </c>
      <c r="H60" s="381">
        <v>0.1</v>
      </c>
      <c r="I60" s="381">
        <v>0.2</v>
      </c>
      <c r="J60" s="382">
        <v>0.2</v>
      </c>
      <c r="K60" s="383">
        <v>0.4</v>
      </c>
    </row>
    <row r="61" spans="1:11" ht="16" thickBot="1">
      <c r="A61" s="374"/>
      <c r="B61" s="374"/>
      <c r="C61" s="374"/>
      <c r="D61" s="374"/>
      <c r="E61" s="374"/>
      <c r="G61" s="374"/>
      <c r="H61" s="374"/>
      <c r="I61" s="374"/>
      <c r="J61" s="374"/>
      <c r="K61" s="374"/>
    </row>
    <row r="62" spans="1:11">
      <c r="A62" s="384" t="s">
        <v>121</v>
      </c>
      <c r="B62" s="385">
        <v>7.2624999999999744</v>
      </c>
      <c r="C62" s="386"/>
      <c r="D62" s="386"/>
      <c r="E62" s="374"/>
      <c r="G62" s="384" t="s">
        <v>121</v>
      </c>
      <c r="H62" s="385">
        <v>5.0428571428571365</v>
      </c>
      <c r="I62" s="386"/>
      <c r="J62" s="386"/>
      <c r="K62" s="374"/>
    </row>
    <row r="63" spans="1:11" ht="16" thickBot="1">
      <c r="A63" s="384" t="s">
        <v>122</v>
      </c>
      <c r="B63" s="387">
        <v>1.3368614818223606E-2</v>
      </c>
      <c r="C63" s="386"/>
      <c r="D63" s="386"/>
      <c r="E63" s="374"/>
      <c r="G63" s="384" t="s">
        <v>122</v>
      </c>
      <c r="H63" s="387">
        <v>9.318901795142543E-3</v>
      </c>
      <c r="I63" s="386"/>
      <c r="J63" s="386"/>
      <c r="K63" s="374"/>
    </row>
    <row r="64" spans="1:11" ht="16" thickBot="1">
      <c r="A64" s="374"/>
      <c r="B64" s="374"/>
      <c r="C64" s="374"/>
      <c r="D64" s="374"/>
      <c r="E64" s="374"/>
      <c r="G64" s="374"/>
      <c r="H64" s="374"/>
      <c r="I64" s="374"/>
      <c r="J64" s="374"/>
      <c r="K64" s="374"/>
    </row>
    <row r="65" spans="1:11" ht="30" thickBot="1">
      <c r="A65" s="388" t="s">
        <v>39</v>
      </c>
      <c r="B65" s="388" t="s">
        <v>38</v>
      </c>
      <c r="C65" s="388" t="s">
        <v>185</v>
      </c>
      <c r="D65" s="388" t="s">
        <v>37</v>
      </c>
      <c r="E65" s="389" t="s">
        <v>123</v>
      </c>
      <c r="G65" s="388" t="s">
        <v>39</v>
      </c>
      <c r="H65" s="388" t="s">
        <v>38</v>
      </c>
      <c r="I65" s="388" t="s">
        <v>185</v>
      </c>
      <c r="J65" s="388" t="s">
        <v>37</v>
      </c>
      <c r="K65" s="389" t="s">
        <v>123</v>
      </c>
    </row>
    <row r="66" spans="1:11">
      <c r="A66" s="390">
        <v>1</v>
      </c>
      <c r="B66" s="391">
        <v>543</v>
      </c>
      <c r="C66" s="392" t="s">
        <v>124</v>
      </c>
      <c r="D66" s="393" t="s">
        <v>124</v>
      </c>
      <c r="E66" s="394" t="s">
        <v>124</v>
      </c>
      <c r="G66" s="390">
        <v>1</v>
      </c>
      <c r="H66" s="400">
        <v>543</v>
      </c>
      <c r="I66" s="392" t="s">
        <v>124</v>
      </c>
      <c r="J66" s="393" t="s">
        <v>124</v>
      </c>
      <c r="K66" s="394" t="s">
        <v>124</v>
      </c>
    </row>
    <row r="67" spans="1:11">
      <c r="A67" s="395">
        <v>2</v>
      </c>
      <c r="B67" s="391">
        <v>528</v>
      </c>
      <c r="C67" s="396" t="s">
        <v>124</v>
      </c>
      <c r="D67" s="397" t="s">
        <v>124</v>
      </c>
      <c r="E67" s="398" t="s">
        <v>124</v>
      </c>
      <c r="G67" s="395">
        <v>2</v>
      </c>
      <c r="H67" s="400">
        <v>528</v>
      </c>
      <c r="I67" s="396" t="s">
        <v>124</v>
      </c>
      <c r="J67" s="397" t="s">
        <v>124</v>
      </c>
      <c r="K67" s="398" t="s">
        <v>124</v>
      </c>
    </row>
    <row r="68" spans="1:11">
      <c r="A68" s="395">
        <v>3</v>
      </c>
      <c r="B68" s="391">
        <v>531</v>
      </c>
      <c r="C68" s="396" t="s">
        <v>124</v>
      </c>
      <c r="D68" s="397" t="s">
        <v>124</v>
      </c>
      <c r="E68" s="398" t="s">
        <v>124</v>
      </c>
      <c r="G68" s="395">
        <v>3</v>
      </c>
      <c r="H68" s="400">
        <v>531</v>
      </c>
      <c r="I68" s="396" t="s">
        <v>124</v>
      </c>
      <c r="J68" s="397" t="s">
        <v>124</v>
      </c>
      <c r="K68" s="398" t="s">
        <v>124</v>
      </c>
    </row>
    <row r="69" spans="1:11">
      <c r="A69" s="395">
        <v>4</v>
      </c>
      <c r="B69" s="391">
        <v>542</v>
      </c>
      <c r="C69" s="396" t="s">
        <v>124</v>
      </c>
      <c r="D69" s="397" t="s">
        <v>124</v>
      </c>
      <c r="E69" s="398" t="s">
        <v>124</v>
      </c>
      <c r="G69" s="395">
        <v>4</v>
      </c>
      <c r="H69" s="400">
        <v>542</v>
      </c>
      <c r="I69" s="396" t="s">
        <v>124</v>
      </c>
      <c r="J69" s="397" t="s">
        <v>124</v>
      </c>
      <c r="K69" s="398" t="s">
        <v>124</v>
      </c>
    </row>
    <row r="70" spans="1:11">
      <c r="A70" s="395">
        <v>5</v>
      </c>
      <c r="B70" s="391">
        <v>558</v>
      </c>
      <c r="C70" s="396">
        <v>536</v>
      </c>
      <c r="D70" s="397">
        <v>22</v>
      </c>
      <c r="E70" s="398">
        <v>1</v>
      </c>
      <c r="G70" s="395">
        <v>5</v>
      </c>
      <c r="H70" s="400">
        <v>558</v>
      </c>
      <c r="I70" s="396" t="s">
        <v>124</v>
      </c>
      <c r="J70" s="397" t="s">
        <v>124</v>
      </c>
      <c r="K70" s="398" t="s">
        <v>124</v>
      </c>
    </row>
    <row r="71" spans="1:11">
      <c r="A71" s="395">
        <v>6</v>
      </c>
      <c r="B71" s="391">
        <v>545</v>
      </c>
      <c r="C71" s="396">
        <v>544.79999999999995</v>
      </c>
      <c r="D71" s="397">
        <v>0.20000000000004547</v>
      </c>
      <c r="E71" s="398">
        <v>2</v>
      </c>
      <c r="G71" s="395">
        <v>6</v>
      </c>
      <c r="H71" s="400">
        <v>545</v>
      </c>
      <c r="I71" s="396">
        <v>544.9</v>
      </c>
      <c r="J71" s="397">
        <v>0.10000000000002274</v>
      </c>
      <c r="K71" s="398">
        <v>1</v>
      </c>
    </row>
    <row r="72" spans="1:11">
      <c r="A72" s="395">
        <v>7</v>
      </c>
      <c r="B72" s="391">
        <v>543</v>
      </c>
      <c r="C72" s="396">
        <v>546.9</v>
      </c>
      <c r="D72" s="397">
        <v>-3.8999999999999773</v>
      </c>
      <c r="E72" s="398">
        <v>2.1034482758620747</v>
      </c>
      <c r="G72" s="395">
        <v>7</v>
      </c>
      <c r="H72" s="400">
        <v>543</v>
      </c>
      <c r="I72" s="396">
        <v>543.9</v>
      </c>
      <c r="J72" s="397">
        <v>-0.89999999999997726</v>
      </c>
      <c r="K72" s="398">
        <v>-1.5999999999999091</v>
      </c>
    </row>
    <row r="73" spans="1:11">
      <c r="A73" s="395">
        <v>8</v>
      </c>
      <c r="B73" s="391">
        <v>550</v>
      </c>
      <c r="C73" s="396">
        <v>546.5</v>
      </c>
      <c r="D73" s="397">
        <v>3.4999999999998863</v>
      </c>
      <c r="E73" s="398">
        <v>2.9459459459459487</v>
      </c>
      <c r="G73" s="395">
        <v>8</v>
      </c>
      <c r="H73" s="400">
        <v>550</v>
      </c>
      <c r="I73" s="396">
        <v>545.1</v>
      </c>
      <c r="J73" s="397">
        <v>4.8999999999999773</v>
      </c>
      <c r="K73" s="398">
        <v>2.0847457627118842</v>
      </c>
    </row>
    <row r="74" spans="1:11">
      <c r="A74" s="395">
        <v>9</v>
      </c>
      <c r="B74" s="391">
        <v>546</v>
      </c>
      <c r="C74" s="396">
        <v>547.70000000000005</v>
      </c>
      <c r="D74" s="397">
        <v>-1.6999999999999318</v>
      </c>
      <c r="E74" s="398">
        <v>3.210862619808327</v>
      </c>
      <c r="G74" s="395">
        <v>9</v>
      </c>
      <c r="H74" s="400">
        <v>546</v>
      </c>
      <c r="I74" s="396">
        <v>547.6</v>
      </c>
      <c r="J74" s="397">
        <v>-1.6000000000000227</v>
      </c>
      <c r="K74" s="398">
        <v>1.3333333333333333</v>
      </c>
    </row>
    <row r="75" spans="1:11">
      <c r="A75" s="395">
        <v>10</v>
      </c>
      <c r="B75" s="391">
        <v>540</v>
      </c>
      <c r="C75" s="396">
        <v>546.5</v>
      </c>
      <c r="D75" s="397">
        <v>-6.5</v>
      </c>
      <c r="E75" s="398">
        <v>2.1587301587301715</v>
      </c>
      <c r="G75" s="395">
        <v>10</v>
      </c>
      <c r="H75" s="400">
        <v>540</v>
      </c>
      <c r="I75" s="396">
        <v>547.29999999999995</v>
      </c>
      <c r="J75" s="397">
        <v>-7.2999999999999545</v>
      </c>
      <c r="K75" s="398">
        <v>-1.6216216216216111</v>
      </c>
    </row>
    <row r="76" spans="1:11">
      <c r="A76" s="395">
        <v>11</v>
      </c>
      <c r="B76" s="391">
        <v>535</v>
      </c>
      <c r="C76" s="396">
        <v>544.1</v>
      </c>
      <c r="D76" s="397">
        <v>-9.0999999999999091</v>
      </c>
      <c r="E76" s="398">
        <v>0.6716417910447966</v>
      </c>
      <c r="G76" s="395">
        <v>11</v>
      </c>
      <c r="H76" s="400">
        <v>535</v>
      </c>
      <c r="I76" s="396">
        <v>544</v>
      </c>
      <c r="J76" s="397">
        <v>-9</v>
      </c>
      <c r="K76" s="398">
        <v>-3.4789915966386507</v>
      </c>
    </row>
    <row r="77" spans="1:11">
      <c r="A77" s="395">
        <v>12</v>
      </c>
      <c r="B77" s="391">
        <v>529</v>
      </c>
      <c r="C77" s="396">
        <v>540.20000000000005</v>
      </c>
      <c r="D77" s="397">
        <v>-11.2</v>
      </c>
      <c r="E77" s="398">
        <v>-0.92254733218588025</v>
      </c>
      <c r="G77" s="395">
        <v>12</v>
      </c>
      <c r="H77" s="400">
        <v>529</v>
      </c>
      <c r="I77" s="396">
        <v>540.5</v>
      </c>
      <c r="J77" s="397">
        <v>-11.5</v>
      </c>
      <c r="K77" s="398">
        <v>-5.0169971671388076</v>
      </c>
    </row>
    <row r="78" spans="1:11">
      <c r="A78" s="395">
        <v>13</v>
      </c>
      <c r="B78" s="399"/>
      <c r="C78" s="396">
        <v>534.70000000000005</v>
      </c>
      <c r="D78" s="397" t="s">
        <v>124</v>
      </c>
      <c r="E78" s="398" t="s">
        <v>124</v>
      </c>
      <c r="G78" s="395">
        <v>13</v>
      </c>
      <c r="H78" s="399"/>
      <c r="I78" s="396">
        <v>536.20000000000005</v>
      </c>
      <c r="J78" s="397" t="s">
        <v>124</v>
      </c>
      <c r="K78" s="398" t="s">
        <v>124</v>
      </c>
    </row>
  </sheetData>
  <mergeCells count="11">
    <mergeCell ref="A56:C56"/>
    <mergeCell ref="G56:I56"/>
    <mergeCell ref="A58:D58"/>
    <mergeCell ref="G58:J58"/>
    <mergeCell ref="A1:D1"/>
    <mergeCell ref="A17:H17"/>
    <mergeCell ref="A35:H35"/>
    <mergeCell ref="A53:D53"/>
    <mergeCell ref="G53:J53"/>
    <mergeCell ref="A55:C55"/>
    <mergeCell ref="G55:I5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6"/>
  <sheetViews>
    <sheetView topLeftCell="A9" workbookViewId="0">
      <selection activeCell="C23" sqref="C23"/>
    </sheetView>
  </sheetViews>
  <sheetFormatPr baseColWidth="10" defaultColWidth="8.83203125" defaultRowHeight="15"/>
  <cols>
    <col min="1" max="1" width="13.1640625" customWidth="1"/>
    <col min="2" max="2" width="12.33203125" bestFit="1" customWidth="1"/>
    <col min="3" max="3" width="13.83203125" customWidth="1"/>
    <col min="4" max="4" width="24" style="25" customWidth="1"/>
    <col min="15" max="15" width="17.33203125" customWidth="1"/>
    <col min="257" max="257" width="13.1640625" customWidth="1"/>
    <col min="258" max="258" width="12.33203125" bestFit="1" customWidth="1"/>
    <col min="259" max="259" width="13.83203125" customWidth="1"/>
    <col min="260" max="260" width="24" customWidth="1"/>
    <col min="513" max="513" width="13.1640625" customWidth="1"/>
    <col min="514" max="514" width="12.33203125" bestFit="1" customWidth="1"/>
    <col min="515" max="515" width="13.83203125" customWidth="1"/>
    <col min="516" max="516" width="24" customWidth="1"/>
    <col min="769" max="769" width="13.1640625" customWidth="1"/>
    <col min="770" max="770" width="12.33203125" bestFit="1" customWidth="1"/>
    <col min="771" max="771" width="13.83203125" customWidth="1"/>
    <col min="772" max="772" width="24" customWidth="1"/>
    <col min="1025" max="1025" width="13.1640625" customWidth="1"/>
    <col min="1026" max="1026" width="12.33203125" bestFit="1" customWidth="1"/>
    <col min="1027" max="1027" width="13.83203125" customWidth="1"/>
    <col min="1028" max="1028" width="24" customWidth="1"/>
    <col min="1281" max="1281" width="13.1640625" customWidth="1"/>
    <col min="1282" max="1282" width="12.33203125" bestFit="1" customWidth="1"/>
    <col min="1283" max="1283" width="13.83203125" customWidth="1"/>
    <col min="1284" max="1284" width="24" customWidth="1"/>
    <col min="1537" max="1537" width="13.1640625" customWidth="1"/>
    <col min="1538" max="1538" width="12.33203125" bestFit="1" customWidth="1"/>
    <col min="1539" max="1539" width="13.83203125" customWidth="1"/>
    <col min="1540" max="1540" width="24" customWidth="1"/>
    <col min="1793" max="1793" width="13.1640625" customWidth="1"/>
    <col min="1794" max="1794" width="12.33203125" bestFit="1" customWidth="1"/>
    <col min="1795" max="1795" width="13.83203125" customWidth="1"/>
    <col min="1796" max="1796" width="24" customWidth="1"/>
    <col min="2049" max="2049" width="13.1640625" customWidth="1"/>
    <col min="2050" max="2050" width="12.33203125" bestFit="1" customWidth="1"/>
    <col min="2051" max="2051" width="13.83203125" customWidth="1"/>
    <col min="2052" max="2052" width="24" customWidth="1"/>
    <col min="2305" max="2305" width="13.1640625" customWidth="1"/>
    <col min="2306" max="2306" width="12.33203125" bestFit="1" customWidth="1"/>
    <col min="2307" max="2307" width="13.83203125" customWidth="1"/>
    <col min="2308" max="2308" width="24" customWidth="1"/>
    <col min="2561" max="2561" width="13.1640625" customWidth="1"/>
    <col min="2562" max="2562" width="12.33203125" bestFit="1" customWidth="1"/>
    <col min="2563" max="2563" width="13.83203125" customWidth="1"/>
    <col min="2564" max="2564" width="24" customWidth="1"/>
    <col min="2817" max="2817" width="13.1640625" customWidth="1"/>
    <col min="2818" max="2818" width="12.33203125" bestFit="1" customWidth="1"/>
    <col min="2819" max="2819" width="13.83203125" customWidth="1"/>
    <col min="2820" max="2820" width="24" customWidth="1"/>
    <col min="3073" max="3073" width="13.1640625" customWidth="1"/>
    <col min="3074" max="3074" width="12.33203125" bestFit="1" customWidth="1"/>
    <col min="3075" max="3075" width="13.83203125" customWidth="1"/>
    <col min="3076" max="3076" width="24" customWidth="1"/>
    <col min="3329" max="3329" width="13.1640625" customWidth="1"/>
    <col min="3330" max="3330" width="12.33203125" bestFit="1" customWidth="1"/>
    <col min="3331" max="3331" width="13.83203125" customWidth="1"/>
    <col min="3332" max="3332" width="24" customWidth="1"/>
    <col min="3585" max="3585" width="13.1640625" customWidth="1"/>
    <col min="3586" max="3586" width="12.33203125" bestFit="1" customWidth="1"/>
    <col min="3587" max="3587" width="13.83203125" customWidth="1"/>
    <col min="3588" max="3588" width="24" customWidth="1"/>
    <col min="3841" max="3841" width="13.1640625" customWidth="1"/>
    <col min="3842" max="3842" width="12.33203125" bestFit="1" customWidth="1"/>
    <col min="3843" max="3843" width="13.83203125" customWidth="1"/>
    <col min="3844" max="3844" width="24" customWidth="1"/>
    <col min="4097" max="4097" width="13.1640625" customWidth="1"/>
    <col min="4098" max="4098" width="12.33203125" bestFit="1" customWidth="1"/>
    <col min="4099" max="4099" width="13.83203125" customWidth="1"/>
    <col min="4100" max="4100" width="24" customWidth="1"/>
    <col min="4353" max="4353" width="13.1640625" customWidth="1"/>
    <col min="4354" max="4354" width="12.33203125" bestFit="1" customWidth="1"/>
    <col min="4355" max="4355" width="13.83203125" customWidth="1"/>
    <col min="4356" max="4356" width="24" customWidth="1"/>
    <col min="4609" max="4609" width="13.1640625" customWidth="1"/>
    <col min="4610" max="4610" width="12.33203125" bestFit="1" customWidth="1"/>
    <col min="4611" max="4611" width="13.83203125" customWidth="1"/>
    <col min="4612" max="4612" width="24" customWidth="1"/>
    <col min="4865" max="4865" width="13.1640625" customWidth="1"/>
    <col min="4866" max="4866" width="12.33203125" bestFit="1" customWidth="1"/>
    <col min="4867" max="4867" width="13.83203125" customWidth="1"/>
    <col min="4868" max="4868" width="24" customWidth="1"/>
    <col min="5121" max="5121" width="13.1640625" customWidth="1"/>
    <col min="5122" max="5122" width="12.33203125" bestFit="1" customWidth="1"/>
    <col min="5123" max="5123" width="13.83203125" customWidth="1"/>
    <col min="5124" max="5124" width="24" customWidth="1"/>
    <col min="5377" max="5377" width="13.1640625" customWidth="1"/>
    <col min="5378" max="5378" width="12.33203125" bestFit="1" customWidth="1"/>
    <col min="5379" max="5379" width="13.83203125" customWidth="1"/>
    <col min="5380" max="5380" width="24" customWidth="1"/>
    <col min="5633" max="5633" width="13.1640625" customWidth="1"/>
    <col min="5634" max="5634" width="12.33203125" bestFit="1" customWidth="1"/>
    <col min="5635" max="5635" width="13.83203125" customWidth="1"/>
    <col min="5636" max="5636" width="24" customWidth="1"/>
    <col min="5889" max="5889" width="13.1640625" customWidth="1"/>
    <col min="5890" max="5890" width="12.33203125" bestFit="1" customWidth="1"/>
    <col min="5891" max="5891" width="13.83203125" customWidth="1"/>
    <col min="5892" max="5892" width="24" customWidth="1"/>
    <col min="6145" max="6145" width="13.1640625" customWidth="1"/>
    <col min="6146" max="6146" width="12.33203125" bestFit="1" customWidth="1"/>
    <col min="6147" max="6147" width="13.83203125" customWidth="1"/>
    <col min="6148" max="6148" width="24" customWidth="1"/>
    <col min="6401" max="6401" width="13.1640625" customWidth="1"/>
    <col min="6402" max="6402" width="12.33203125" bestFit="1" customWidth="1"/>
    <col min="6403" max="6403" width="13.83203125" customWidth="1"/>
    <col min="6404" max="6404" width="24" customWidth="1"/>
    <col min="6657" max="6657" width="13.1640625" customWidth="1"/>
    <col min="6658" max="6658" width="12.33203125" bestFit="1" customWidth="1"/>
    <col min="6659" max="6659" width="13.83203125" customWidth="1"/>
    <col min="6660" max="6660" width="24" customWidth="1"/>
    <col min="6913" max="6913" width="13.1640625" customWidth="1"/>
    <col min="6914" max="6914" width="12.33203125" bestFit="1" customWidth="1"/>
    <col min="6915" max="6915" width="13.83203125" customWidth="1"/>
    <col min="6916" max="6916" width="24" customWidth="1"/>
    <col min="7169" max="7169" width="13.1640625" customWidth="1"/>
    <col min="7170" max="7170" width="12.33203125" bestFit="1" customWidth="1"/>
    <col min="7171" max="7171" width="13.83203125" customWidth="1"/>
    <col min="7172" max="7172" width="24" customWidth="1"/>
    <col min="7425" max="7425" width="13.1640625" customWidth="1"/>
    <col min="7426" max="7426" width="12.33203125" bestFit="1" customWidth="1"/>
    <col min="7427" max="7427" width="13.83203125" customWidth="1"/>
    <col min="7428" max="7428" width="24" customWidth="1"/>
    <col min="7681" max="7681" width="13.1640625" customWidth="1"/>
    <col min="7682" max="7682" width="12.33203125" bestFit="1" customWidth="1"/>
    <col min="7683" max="7683" width="13.83203125" customWidth="1"/>
    <col min="7684" max="7684" width="24" customWidth="1"/>
    <col min="7937" max="7937" width="13.1640625" customWidth="1"/>
    <col min="7938" max="7938" width="12.33203125" bestFit="1" customWidth="1"/>
    <col min="7939" max="7939" width="13.83203125" customWidth="1"/>
    <col min="7940" max="7940" width="24" customWidth="1"/>
    <col min="8193" max="8193" width="13.1640625" customWidth="1"/>
    <col min="8194" max="8194" width="12.33203125" bestFit="1" customWidth="1"/>
    <col min="8195" max="8195" width="13.83203125" customWidth="1"/>
    <col min="8196" max="8196" width="24" customWidth="1"/>
    <col min="8449" max="8449" width="13.1640625" customWidth="1"/>
    <col min="8450" max="8450" width="12.33203125" bestFit="1" customWidth="1"/>
    <col min="8451" max="8451" width="13.83203125" customWidth="1"/>
    <col min="8452" max="8452" width="24" customWidth="1"/>
    <col min="8705" max="8705" width="13.1640625" customWidth="1"/>
    <col min="8706" max="8706" width="12.33203125" bestFit="1" customWidth="1"/>
    <col min="8707" max="8707" width="13.83203125" customWidth="1"/>
    <col min="8708" max="8708" width="24" customWidth="1"/>
    <col min="8961" max="8961" width="13.1640625" customWidth="1"/>
    <col min="8962" max="8962" width="12.33203125" bestFit="1" customWidth="1"/>
    <col min="8963" max="8963" width="13.83203125" customWidth="1"/>
    <col min="8964" max="8964" width="24" customWidth="1"/>
    <col min="9217" max="9217" width="13.1640625" customWidth="1"/>
    <col min="9218" max="9218" width="12.33203125" bestFit="1" customWidth="1"/>
    <col min="9219" max="9219" width="13.83203125" customWidth="1"/>
    <col min="9220" max="9220" width="24" customWidth="1"/>
    <col min="9473" max="9473" width="13.1640625" customWidth="1"/>
    <col min="9474" max="9474" width="12.33203125" bestFit="1" customWidth="1"/>
    <col min="9475" max="9475" width="13.83203125" customWidth="1"/>
    <col min="9476" max="9476" width="24" customWidth="1"/>
    <col min="9729" max="9729" width="13.1640625" customWidth="1"/>
    <col min="9730" max="9730" width="12.33203125" bestFit="1" customWidth="1"/>
    <col min="9731" max="9731" width="13.83203125" customWidth="1"/>
    <col min="9732" max="9732" width="24" customWidth="1"/>
    <col min="9985" max="9985" width="13.1640625" customWidth="1"/>
    <col min="9986" max="9986" width="12.33203125" bestFit="1" customWidth="1"/>
    <col min="9987" max="9987" width="13.83203125" customWidth="1"/>
    <col min="9988" max="9988" width="24" customWidth="1"/>
    <col min="10241" max="10241" width="13.1640625" customWidth="1"/>
    <col min="10242" max="10242" width="12.33203125" bestFit="1" customWidth="1"/>
    <col min="10243" max="10243" width="13.83203125" customWidth="1"/>
    <col min="10244" max="10244" width="24" customWidth="1"/>
    <col min="10497" max="10497" width="13.1640625" customWidth="1"/>
    <col min="10498" max="10498" width="12.33203125" bestFit="1" customWidth="1"/>
    <col min="10499" max="10499" width="13.83203125" customWidth="1"/>
    <col min="10500" max="10500" width="24" customWidth="1"/>
    <col min="10753" max="10753" width="13.1640625" customWidth="1"/>
    <col min="10754" max="10754" width="12.33203125" bestFit="1" customWidth="1"/>
    <col min="10755" max="10755" width="13.83203125" customWidth="1"/>
    <col min="10756" max="10756" width="24" customWidth="1"/>
    <col min="11009" max="11009" width="13.1640625" customWidth="1"/>
    <col min="11010" max="11010" width="12.33203125" bestFit="1" customWidth="1"/>
    <col min="11011" max="11011" width="13.83203125" customWidth="1"/>
    <col min="11012" max="11012" width="24" customWidth="1"/>
    <col min="11265" max="11265" width="13.1640625" customWidth="1"/>
    <col min="11266" max="11266" width="12.33203125" bestFit="1" customWidth="1"/>
    <col min="11267" max="11267" width="13.83203125" customWidth="1"/>
    <col min="11268" max="11268" width="24" customWidth="1"/>
    <col min="11521" max="11521" width="13.1640625" customWidth="1"/>
    <col min="11522" max="11522" width="12.33203125" bestFit="1" customWidth="1"/>
    <col min="11523" max="11523" width="13.83203125" customWidth="1"/>
    <col min="11524" max="11524" width="24" customWidth="1"/>
    <col min="11777" max="11777" width="13.1640625" customWidth="1"/>
    <col min="11778" max="11778" width="12.33203125" bestFit="1" customWidth="1"/>
    <col min="11779" max="11779" width="13.83203125" customWidth="1"/>
    <col min="11780" max="11780" width="24" customWidth="1"/>
    <col min="12033" max="12033" width="13.1640625" customWidth="1"/>
    <col min="12034" max="12034" width="12.33203125" bestFit="1" customWidth="1"/>
    <col min="12035" max="12035" width="13.83203125" customWidth="1"/>
    <col min="12036" max="12036" width="24" customWidth="1"/>
    <col min="12289" max="12289" width="13.1640625" customWidth="1"/>
    <col min="12290" max="12290" width="12.33203125" bestFit="1" customWidth="1"/>
    <col min="12291" max="12291" width="13.83203125" customWidth="1"/>
    <col min="12292" max="12292" width="24" customWidth="1"/>
    <col min="12545" max="12545" width="13.1640625" customWidth="1"/>
    <col min="12546" max="12546" width="12.33203125" bestFit="1" customWidth="1"/>
    <col min="12547" max="12547" width="13.83203125" customWidth="1"/>
    <col min="12548" max="12548" width="24" customWidth="1"/>
    <col min="12801" max="12801" width="13.1640625" customWidth="1"/>
    <col min="12802" max="12802" width="12.33203125" bestFit="1" customWidth="1"/>
    <col min="12803" max="12803" width="13.83203125" customWidth="1"/>
    <col min="12804" max="12804" width="24" customWidth="1"/>
    <col min="13057" max="13057" width="13.1640625" customWidth="1"/>
    <col min="13058" max="13058" width="12.33203125" bestFit="1" customWidth="1"/>
    <col min="13059" max="13059" width="13.83203125" customWidth="1"/>
    <col min="13060" max="13060" width="24" customWidth="1"/>
    <col min="13313" max="13313" width="13.1640625" customWidth="1"/>
    <col min="13314" max="13314" width="12.33203125" bestFit="1" customWidth="1"/>
    <col min="13315" max="13315" width="13.83203125" customWidth="1"/>
    <col min="13316" max="13316" width="24" customWidth="1"/>
    <col min="13569" max="13569" width="13.1640625" customWidth="1"/>
    <col min="13570" max="13570" width="12.33203125" bestFit="1" customWidth="1"/>
    <col min="13571" max="13571" width="13.83203125" customWidth="1"/>
    <col min="13572" max="13572" width="24" customWidth="1"/>
    <col min="13825" max="13825" width="13.1640625" customWidth="1"/>
    <col min="13826" max="13826" width="12.33203125" bestFit="1" customWidth="1"/>
    <col min="13827" max="13827" width="13.83203125" customWidth="1"/>
    <col min="13828" max="13828" width="24" customWidth="1"/>
    <col min="14081" max="14081" width="13.1640625" customWidth="1"/>
    <col min="14082" max="14082" width="12.33203125" bestFit="1" customWidth="1"/>
    <col min="14083" max="14083" width="13.83203125" customWidth="1"/>
    <col min="14084" max="14084" width="24" customWidth="1"/>
    <col min="14337" max="14337" width="13.1640625" customWidth="1"/>
    <col min="14338" max="14338" width="12.33203125" bestFit="1" customWidth="1"/>
    <col min="14339" max="14339" width="13.83203125" customWidth="1"/>
    <col min="14340" max="14340" width="24" customWidth="1"/>
    <col min="14593" max="14593" width="13.1640625" customWidth="1"/>
    <col min="14594" max="14594" width="12.33203125" bestFit="1" customWidth="1"/>
    <col min="14595" max="14595" width="13.83203125" customWidth="1"/>
    <col min="14596" max="14596" width="24" customWidth="1"/>
    <col min="14849" max="14849" width="13.1640625" customWidth="1"/>
    <col min="14850" max="14850" width="12.33203125" bestFit="1" customWidth="1"/>
    <col min="14851" max="14851" width="13.83203125" customWidth="1"/>
    <col min="14852" max="14852" width="24" customWidth="1"/>
    <col min="15105" max="15105" width="13.1640625" customWidth="1"/>
    <col min="15106" max="15106" width="12.33203125" bestFit="1" customWidth="1"/>
    <col min="15107" max="15107" width="13.83203125" customWidth="1"/>
    <col min="15108" max="15108" width="24" customWidth="1"/>
    <col min="15361" max="15361" width="13.1640625" customWidth="1"/>
    <col min="15362" max="15362" width="12.33203125" bestFit="1" customWidth="1"/>
    <col min="15363" max="15363" width="13.83203125" customWidth="1"/>
    <col min="15364" max="15364" width="24" customWidth="1"/>
    <col min="15617" max="15617" width="13.1640625" customWidth="1"/>
    <col min="15618" max="15618" width="12.33203125" bestFit="1" customWidth="1"/>
    <col min="15619" max="15619" width="13.83203125" customWidth="1"/>
    <col min="15620" max="15620" width="24" customWidth="1"/>
    <col min="15873" max="15873" width="13.1640625" customWidth="1"/>
    <col min="15874" max="15874" width="12.33203125" bestFit="1" customWidth="1"/>
    <col min="15875" max="15875" width="13.83203125" customWidth="1"/>
    <col min="15876" max="15876" width="24" customWidth="1"/>
    <col min="16129" max="16129" width="13.1640625" customWidth="1"/>
    <col min="16130" max="16130" width="12.33203125" bestFit="1" customWidth="1"/>
    <col min="16131" max="16131" width="13.83203125" customWidth="1"/>
    <col min="16132" max="16132" width="24" customWidth="1"/>
  </cols>
  <sheetData>
    <row r="1" spans="1:15">
      <c r="A1" s="665" t="s">
        <v>36</v>
      </c>
      <c r="B1" s="665"/>
      <c r="C1" s="665"/>
      <c r="D1" s="665"/>
      <c r="J1" s="249" t="s">
        <v>118</v>
      </c>
    </row>
    <row r="2" spans="1:15" ht="16" thickBot="1">
      <c r="K2" s="6" t="s">
        <v>135</v>
      </c>
    </row>
    <row r="3" spans="1:15" ht="15.75" customHeight="1">
      <c r="A3" s="667" t="s">
        <v>33</v>
      </c>
      <c r="B3" s="667"/>
      <c r="C3" s="667"/>
      <c r="D3" s="667"/>
      <c r="E3" s="667"/>
      <c r="F3" s="667"/>
      <c r="G3" s="667"/>
      <c r="H3" s="667"/>
      <c r="K3" s="657" t="s">
        <v>126</v>
      </c>
      <c r="L3" s="658"/>
      <c r="M3" s="658"/>
      <c r="N3" s="658"/>
      <c r="O3" s="175"/>
    </row>
    <row r="4" spans="1:15" ht="38.25" customHeight="1" thickBot="1">
      <c r="A4" s="1" t="s">
        <v>22</v>
      </c>
      <c r="B4" s="2" t="s">
        <v>30</v>
      </c>
      <c r="C4" s="34" t="s">
        <v>301</v>
      </c>
      <c r="D4" s="34" t="s">
        <v>302</v>
      </c>
      <c r="E4" s="35"/>
      <c r="F4" s="35"/>
      <c r="G4" s="35"/>
      <c r="K4" s="176"/>
      <c r="L4" s="177"/>
      <c r="M4" s="177"/>
      <c r="N4" s="177"/>
      <c r="O4" s="178"/>
    </row>
    <row r="5" spans="1:15" ht="16" thickBot="1">
      <c r="A5" t="s">
        <v>31</v>
      </c>
      <c r="B5" s="5">
        <v>175</v>
      </c>
      <c r="C5" s="25"/>
      <c r="K5" s="659" t="s">
        <v>127</v>
      </c>
      <c r="L5" s="660"/>
      <c r="M5" s="660"/>
      <c r="N5" s="161">
        <v>4</v>
      </c>
      <c r="O5" s="178"/>
    </row>
    <row r="6" spans="1:15">
      <c r="A6" t="s">
        <v>23</v>
      </c>
      <c r="B6" s="5">
        <v>148</v>
      </c>
      <c r="C6" s="25"/>
      <c r="K6" s="672" t="s">
        <v>128</v>
      </c>
      <c r="L6" s="673"/>
      <c r="M6" s="673"/>
      <c r="N6" s="177"/>
      <c r="O6" s="178"/>
    </row>
    <row r="7" spans="1:15">
      <c r="A7" t="s">
        <v>24</v>
      </c>
      <c r="B7" s="5">
        <v>189</v>
      </c>
      <c r="C7" s="25"/>
      <c r="K7" s="196"/>
      <c r="L7" s="197"/>
      <c r="M7" s="197"/>
      <c r="N7" s="177"/>
      <c r="O7" s="178"/>
    </row>
    <row r="8" spans="1:15" ht="16" thickBot="1">
      <c r="A8" t="s">
        <v>14</v>
      </c>
      <c r="B8" s="5">
        <v>211</v>
      </c>
      <c r="C8" s="25"/>
      <c r="K8" s="659" t="s">
        <v>129</v>
      </c>
      <c r="L8" s="660"/>
      <c r="M8" s="660"/>
      <c r="N8" s="660"/>
      <c r="O8" s="178"/>
    </row>
    <row r="9" spans="1:15">
      <c r="A9" t="s">
        <v>15</v>
      </c>
      <c r="B9" s="5">
        <v>176</v>
      </c>
      <c r="C9" s="36">
        <f t="shared" ref="C9:C17" si="0">AVERAGE(B5:B8)</f>
        <v>180.75</v>
      </c>
      <c r="D9" s="37">
        <f t="shared" ref="D9:D17" si="1">((B8*0.4)+(B7*0.3)+(B6*0.2)+(B5*0.1))</f>
        <v>188.2</v>
      </c>
      <c r="K9" s="187" t="s">
        <v>130</v>
      </c>
      <c r="L9" s="188" t="s">
        <v>131</v>
      </c>
      <c r="M9" s="188" t="s">
        <v>132</v>
      </c>
      <c r="N9" s="188" t="s">
        <v>133</v>
      </c>
      <c r="O9" s="189" t="s">
        <v>134</v>
      </c>
    </row>
    <row r="10" spans="1:15" ht="16" thickBot="1">
      <c r="A10" t="s">
        <v>16</v>
      </c>
      <c r="B10" s="5">
        <v>160</v>
      </c>
      <c r="C10" s="36">
        <f t="shared" si="0"/>
        <v>181</v>
      </c>
      <c r="D10" s="37">
        <f t="shared" si="1"/>
        <v>186.3</v>
      </c>
      <c r="K10" s="190">
        <v>0.1</v>
      </c>
      <c r="L10" s="191">
        <v>0.2</v>
      </c>
      <c r="M10" s="191">
        <v>0.3</v>
      </c>
      <c r="N10" s="192">
        <v>0.4</v>
      </c>
      <c r="O10" s="193"/>
    </row>
    <row r="11" spans="1:15" ht="16" thickBot="1">
      <c r="A11" t="s">
        <v>4</v>
      </c>
      <c r="B11" s="5">
        <v>221</v>
      </c>
      <c r="C11" s="36">
        <f t="shared" si="0"/>
        <v>184</v>
      </c>
      <c r="D11" s="37">
        <f t="shared" si="1"/>
        <v>177.9</v>
      </c>
      <c r="K11" s="176"/>
      <c r="L11" s="177"/>
      <c r="M11" s="177"/>
      <c r="N11" s="177"/>
      <c r="O11" s="178"/>
    </row>
    <row r="12" spans="1:15">
      <c r="A12" t="s">
        <v>5</v>
      </c>
      <c r="B12" s="5">
        <v>290</v>
      </c>
      <c r="C12" s="36">
        <f t="shared" si="0"/>
        <v>192</v>
      </c>
      <c r="D12" s="37">
        <f t="shared" si="1"/>
        <v>192.70000000000002</v>
      </c>
      <c r="K12" s="179" t="s">
        <v>121</v>
      </c>
      <c r="L12" s="162">
        <v>32.400000000000006</v>
      </c>
      <c r="M12" s="181"/>
      <c r="N12" s="181"/>
      <c r="O12" s="178"/>
    </row>
    <row r="13" spans="1:15" ht="16" thickBot="1">
      <c r="A13" t="s">
        <v>6</v>
      </c>
      <c r="B13" s="5">
        <v>253</v>
      </c>
      <c r="C13" s="36">
        <f t="shared" si="0"/>
        <v>211.75</v>
      </c>
      <c r="D13" s="37">
        <f t="shared" si="1"/>
        <v>231.9</v>
      </c>
      <c r="K13" s="179" t="s">
        <v>122</v>
      </c>
      <c r="L13" s="163">
        <v>0.14360110803324103</v>
      </c>
      <c r="M13" s="181"/>
      <c r="N13" s="181"/>
      <c r="O13" s="178"/>
    </row>
    <row r="14" spans="1:15" ht="16" thickBot="1">
      <c r="A14" t="s">
        <v>7</v>
      </c>
      <c r="B14" s="5">
        <v>254</v>
      </c>
      <c r="C14" s="36">
        <f t="shared" si="0"/>
        <v>231</v>
      </c>
      <c r="D14" s="37">
        <f t="shared" si="1"/>
        <v>248.39999999999998</v>
      </c>
      <c r="K14" s="176"/>
      <c r="L14" s="177"/>
      <c r="M14" s="177"/>
      <c r="N14" s="177"/>
      <c r="O14" s="178"/>
    </row>
    <row r="15" spans="1:15" ht="15.75" customHeight="1" thickBot="1">
      <c r="A15" t="s">
        <v>8</v>
      </c>
      <c r="B15" s="5">
        <v>228</v>
      </c>
      <c r="C15" s="36">
        <f t="shared" si="0"/>
        <v>254.5</v>
      </c>
      <c r="D15" s="37">
        <f t="shared" si="1"/>
        <v>257.60000000000002</v>
      </c>
      <c r="K15" s="164" t="s">
        <v>39</v>
      </c>
      <c r="L15" s="164" t="s">
        <v>38</v>
      </c>
      <c r="M15" s="164" t="s">
        <v>185</v>
      </c>
      <c r="N15" s="164" t="s">
        <v>37</v>
      </c>
      <c r="O15" s="165" t="s">
        <v>123</v>
      </c>
    </row>
    <row r="16" spans="1:15">
      <c r="A16" t="s">
        <v>9</v>
      </c>
      <c r="B16" s="5">
        <v>223</v>
      </c>
      <c r="C16" s="36">
        <f t="shared" si="0"/>
        <v>256.25</v>
      </c>
      <c r="D16" s="37">
        <f t="shared" si="1"/>
        <v>247</v>
      </c>
      <c r="K16" s="166">
        <v>1</v>
      </c>
      <c r="L16" s="167">
        <v>175</v>
      </c>
      <c r="M16" s="168" t="s">
        <v>124</v>
      </c>
      <c r="N16" s="194" t="s">
        <v>124</v>
      </c>
      <c r="O16" s="170" t="s">
        <v>124</v>
      </c>
    </row>
    <row r="17" spans="1:15">
      <c r="A17" s="39" t="s">
        <v>10</v>
      </c>
      <c r="B17" s="28"/>
      <c r="C17" s="38">
        <f t="shared" si="0"/>
        <v>239.5</v>
      </c>
      <c r="D17" s="510">
        <f t="shared" si="1"/>
        <v>233.70000000000002</v>
      </c>
      <c r="K17" s="171">
        <v>2</v>
      </c>
      <c r="L17" s="167">
        <v>148</v>
      </c>
      <c r="M17" s="172" t="s">
        <v>124</v>
      </c>
      <c r="N17" s="195" t="s">
        <v>124</v>
      </c>
      <c r="O17" s="174" t="s">
        <v>124</v>
      </c>
    </row>
    <row r="18" spans="1:15">
      <c r="A18" s="39"/>
      <c r="B18" s="28"/>
      <c r="C18" s="38"/>
      <c r="D18" s="41"/>
      <c r="K18" s="171">
        <v>3</v>
      </c>
      <c r="L18" s="167">
        <v>189</v>
      </c>
      <c r="M18" s="172" t="s">
        <v>124</v>
      </c>
      <c r="N18" s="195" t="s">
        <v>124</v>
      </c>
      <c r="O18" s="174" t="s">
        <v>124</v>
      </c>
    </row>
    <row r="19" spans="1:15">
      <c r="A19" s="79"/>
      <c r="B19" s="33"/>
      <c r="C19" s="38"/>
      <c r="D19" s="41"/>
      <c r="K19" s="171">
        <v>4</v>
      </c>
      <c r="L19" s="167">
        <v>211</v>
      </c>
      <c r="M19" s="172" t="s">
        <v>124</v>
      </c>
      <c r="N19" s="195" t="s">
        <v>124</v>
      </c>
      <c r="O19" s="174" t="s">
        <v>124</v>
      </c>
    </row>
    <row r="20" spans="1:15">
      <c r="A20" s="39"/>
      <c r="B20" s="28"/>
      <c r="C20" s="32"/>
      <c r="D20" s="27"/>
      <c r="E20" s="8"/>
      <c r="F20" s="8"/>
      <c r="K20" s="171">
        <v>5</v>
      </c>
      <c r="L20" s="167">
        <v>176</v>
      </c>
      <c r="M20" s="172">
        <v>188.2</v>
      </c>
      <c r="N20" s="195">
        <v>-12.199999999999989</v>
      </c>
      <c r="O20" s="174">
        <v>-1</v>
      </c>
    </row>
    <row r="21" spans="1:15">
      <c r="A21" s="667" t="s">
        <v>34</v>
      </c>
      <c r="B21" s="667"/>
      <c r="C21" s="667"/>
      <c r="D21" s="667"/>
      <c r="E21" s="667"/>
      <c r="F21" s="667"/>
      <c r="G21" s="667"/>
      <c r="H21" s="667"/>
      <c r="I21" s="40"/>
      <c r="K21" s="171">
        <v>6</v>
      </c>
      <c r="L21" s="167">
        <v>160</v>
      </c>
      <c r="M21" s="172">
        <v>186.3</v>
      </c>
      <c r="N21" s="195">
        <v>-26.300000000000011</v>
      </c>
      <c r="O21" s="174">
        <v>-2</v>
      </c>
    </row>
    <row r="22" spans="1:15">
      <c r="A22" s="31"/>
      <c r="B22" s="31"/>
      <c r="C22" s="31"/>
      <c r="D22" s="31"/>
      <c r="E22" s="31"/>
      <c r="F22" s="31"/>
      <c r="K22" s="171">
        <v>7</v>
      </c>
      <c r="L22" s="167">
        <v>221</v>
      </c>
      <c r="M22" s="172">
        <v>177.9</v>
      </c>
      <c r="N22" s="195">
        <v>43.099999999999994</v>
      </c>
      <c r="O22" s="174">
        <v>0.16911764705882332</v>
      </c>
    </row>
    <row r="23" spans="1:15" ht="29">
      <c r="A23" s="1" t="s">
        <v>22</v>
      </c>
      <c r="B23" s="2" t="s">
        <v>30</v>
      </c>
      <c r="C23" s="34" t="s">
        <v>303</v>
      </c>
      <c r="D23" s="34" t="s">
        <v>302</v>
      </c>
      <c r="K23" s="171">
        <v>8</v>
      </c>
      <c r="L23" s="167">
        <v>290</v>
      </c>
      <c r="M23" s="172">
        <v>192.70000000000002</v>
      </c>
      <c r="N23" s="195">
        <v>97.299999999999983</v>
      </c>
      <c r="O23" s="174">
        <v>2.2783678032420345</v>
      </c>
    </row>
    <row r="24" spans="1:15">
      <c r="A24" t="s">
        <v>31</v>
      </c>
      <c r="B24" s="5">
        <v>175</v>
      </c>
      <c r="C24" s="25"/>
      <c r="K24" s="171">
        <v>9</v>
      </c>
      <c r="L24" s="167">
        <v>253</v>
      </c>
      <c r="M24" s="172">
        <v>231.9</v>
      </c>
      <c r="N24" s="195">
        <v>21.099999999999994</v>
      </c>
      <c r="O24" s="174">
        <v>3.0749999999999997</v>
      </c>
    </row>
    <row r="25" spans="1:15">
      <c r="A25" t="s">
        <v>23</v>
      </c>
      <c r="B25" s="5">
        <v>148</v>
      </c>
      <c r="C25" s="25"/>
      <c r="K25" s="171">
        <v>10</v>
      </c>
      <c r="L25" s="167">
        <v>254</v>
      </c>
      <c r="M25" s="172">
        <v>248.39999999999998</v>
      </c>
      <c r="N25" s="195">
        <v>5.6000000000000227</v>
      </c>
      <c r="O25" s="174">
        <v>3.7529182879377432</v>
      </c>
    </row>
    <row r="26" spans="1:15">
      <c r="A26" t="s">
        <v>24</v>
      </c>
      <c r="B26" s="5">
        <v>189</v>
      </c>
      <c r="C26" s="25"/>
      <c r="K26" s="171">
        <v>11</v>
      </c>
      <c r="L26" s="167">
        <v>228</v>
      </c>
      <c r="M26" s="172">
        <v>257.60000000000002</v>
      </c>
      <c r="N26" s="195">
        <v>-29.600000000000023</v>
      </c>
      <c r="O26" s="174">
        <v>2.9464285714285703</v>
      </c>
    </row>
    <row r="27" spans="1:15">
      <c r="A27" t="s">
        <v>14</v>
      </c>
      <c r="B27" s="5">
        <v>211</v>
      </c>
      <c r="C27" s="25"/>
      <c r="K27" s="171">
        <v>12</v>
      </c>
      <c r="L27" s="167">
        <v>223</v>
      </c>
      <c r="M27" s="172">
        <v>247</v>
      </c>
      <c r="N27" s="195">
        <v>-24</v>
      </c>
      <c r="O27" s="174">
        <v>2.3148148148148135</v>
      </c>
    </row>
    <row r="28" spans="1:15" ht="16" thickBot="1">
      <c r="A28" t="s">
        <v>15</v>
      </c>
      <c r="B28" s="5">
        <v>176</v>
      </c>
      <c r="C28" s="36"/>
      <c r="D28" s="37"/>
      <c r="E28" s="36"/>
      <c r="K28" s="182">
        <v>13</v>
      </c>
      <c r="L28" s="183"/>
      <c r="M28" s="184">
        <v>233.70000000000002</v>
      </c>
      <c r="N28" s="198" t="s">
        <v>124</v>
      </c>
      <c r="O28" s="186" t="s">
        <v>124</v>
      </c>
    </row>
    <row r="29" spans="1:15">
      <c r="A29" t="s">
        <v>16</v>
      </c>
      <c r="B29" s="5">
        <v>160</v>
      </c>
      <c r="C29" s="36">
        <f>AVERAGE(B24:B28)</f>
        <v>179.8</v>
      </c>
      <c r="D29" s="37">
        <f t="shared" ref="D29:D36" si="2">((B28*0.4)+(B27*0.2)+(B26*0.2)+(B25*0.1)+(B24*0.1))</f>
        <v>182.70000000000002</v>
      </c>
      <c r="E29" s="36"/>
    </row>
    <row r="30" spans="1:15" ht="16" thickBot="1">
      <c r="A30" t="s">
        <v>4</v>
      </c>
      <c r="B30" s="5">
        <v>221</v>
      </c>
      <c r="C30" s="36">
        <f>AVERAGE(B24:B28)</f>
        <v>179.8</v>
      </c>
      <c r="D30" s="37">
        <f t="shared" si="2"/>
        <v>175.10000000000002</v>
      </c>
      <c r="E30" s="36"/>
      <c r="K30" s="6" t="s">
        <v>198</v>
      </c>
    </row>
    <row r="31" spans="1:15">
      <c r="A31" t="s">
        <v>5</v>
      </c>
      <c r="B31" s="5">
        <v>290</v>
      </c>
      <c r="C31" s="36">
        <f t="shared" ref="C31:C36" si="3">AVERAGE(B26:B30)</f>
        <v>191.4</v>
      </c>
      <c r="D31" s="37">
        <f t="shared" si="2"/>
        <v>195.60000000000002</v>
      </c>
      <c r="E31" s="36"/>
      <c r="K31" s="657" t="s">
        <v>126</v>
      </c>
      <c r="L31" s="658"/>
      <c r="M31" s="658"/>
      <c r="N31" s="658"/>
      <c r="O31" s="175"/>
    </row>
    <row r="32" spans="1:15" ht="16" thickBot="1">
      <c r="A32" t="s">
        <v>6</v>
      </c>
      <c r="B32" s="5">
        <v>253</v>
      </c>
      <c r="C32" s="36">
        <f t="shared" si="3"/>
        <v>211.6</v>
      </c>
      <c r="D32" s="37">
        <f t="shared" si="2"/>
        <v>230.89999999999998</v>
      </c>
      <c r="E32" s="36"/>
      <c r="K32" s="176"/>
      <c r="L32" s="177"/>
      <c r="M32" s="177"/>
      <c r="N32" s="177"/>
      <c r="O32" s="178"/>
    </row>
    <row r="33" spans="1:15" ht="16" thickBot="1">
      <c r="A33" t="s">
        <v>7</v>
      </c>
      <c r="B33" s="5">
        <v>254</v>
      </c>
      <c r="C33" s="36">
        <f t="shared" si="3"/>
        <v>220</v>
      </c>
      <c r="D33" s="37">
        <f t="shared" si="2"/>
        <v>236.99999999999997</v>
      </c>
      <c r="E33" s="36"/>
      <c r="K33" s="659" t="s">
        <v>127</v>
      </c>
      <c r="L33" s="660"/>
      <c r="M33" s="660"/>
      <c r="N33" s="161">
        <v>5</v>
      </c>
      <c r="O33" s="178"/>
    </row>
    <row r="34" spans="1:15">
      <c r="A34" t="s">
        <v>8</v>
      </c>
      <c r="B34" s="5">
        <v>228</v>
      </c>
      <c r="C34" s="36">
        <f t="shared" si="3"/>
        <v>235.6</v>
      </c>
      <c r="D34" s="37">
        <f t="shared" si="2"/>
        <v>248.3</v>
      </c>
      <c r="E34" s="36"/>
      <c r="K34" s="672" t="s">
        <v>128</v>
      </c>
      <c r="L34" s="673"/>
      <c r="M34" s="673"/>
      <c r="N34" s="177"/>
      <c r="O34" s="178"/>
    </row>
    <row r="35" spans="1:15">
      <c r="A35" t="s">
        <v>9</v>
      </c>
      <c r="B35" s="5">
        <v>223</v>
      </c>
      <c r="C35" s="36">
        <f t="shared" si="3"/>
        <v>249.2</v>
      </c>
      <c r="D35" s="37">
        <f t="shared" si="2"/>
        <v>243.7</v>
      </c>
      <c r="E35" s="36"/>
      <c r="K35" s="275"/>
      <c r="L35" s="276"/>
      <c r="M35" s="276"/>
      <c r="N35" s="177"/>
      <c r="O35" s="178"/>
    </row>
    <row r="36" spans="1:15" ht="16" thickBot="1">
      <c r="A36" s="39" t="s">
        <v>10</v>
      </c>
      <c r="B36" s="28"/>
      <c r="C36" s="38">
        <f t="shared" si="3"/>
        <v>249.6</v>
      </c>
      <c r="D36" s="510">
        <f t="shared" si="2"/>
        <v>239.90000000000003</v>
      </c>
      <c r="E36" s="38"/>
      <c r="K36" s="659" t="s">
        <v>129</v>
      </c>
      <c r="L36" s="660"/>
      <c r="M36" s="660"/>
      <c r="N36" s="660"/>
      <c r="O36" s="178"/>
    </row>
    <row r="37" spans="1:15">
      <c r="K37" s="187" t="s">
        <v>130</v>
      </c>
      <c r="L37" s="188" t="s">
        <v>131</v>
      </c>
      <c r="M37" s="188" t="s">
        <v>132</v>
      </c>
      <c r="N37" s="188" t="s">
        <v>133</v>
      </c>
      <c r="O37" s="189" t="s">
        <v>134</v>
      </c>
    </row>
    <row r="38" spans="1:15" ht="16" thickBot="1">
      <c r="A38" s="513"/>
      <c r="B38" s="58"/>
      <c r="C38" s="11"/>
      <c r="D38" s="42"/>
      <c r="E38" s="11"/>
      <c r="F38" s="11"/>
      <c r="G38" s="11"/>
      <c r="H38" s="11"/>
      <c r="I38" s="11"/>
      <c r="J38" s="11"/>
      <c r="K38" s="190">
        <v>0.1</v>
      </c>
      <c r="L38" s="191">
        <v>0.1</v>
      </c>
      <c r="M38" s="191">
        <v>0.2</v>
      </c>
      <c r="N38" s="192">
        <v>0.2</v>
      </c>
      <c r="O38" s="193">
        <v>0.4</v>
      </c>
    </row>
    <row r="39" spans="1:15" ht="16" thickBot="1">
      <c r="A39" s="671"/>
      <c r="B39" s="671"/>
      <c r="C39" s="671"/>
      <c r="D39" s="671"/>
      <c r="E39" s="43"/>
      <c r="F39" s="11"/>
      <c r="G39" s="671"/>
      <c r="H39" s="671"/>
      <c r="I39" s="671"/>
      <c r="J39" s="671"/>
      <c r="K39" s="176"/>
      <c r="L39" s="177"/>
      <c r="M39" s="177"/>
      <c r="N39" s="177"/>
      <c r="O39" s="178"/>
    </row>
    <row r="40" spans="1:15">
      <c r="A40" s="43"/>
      <c r="B40" s="43"/>
      <c r="C40" s="43"/>
      <c r="D40" s="43"/>
      <c r="E40" s="43"/>
      <c r="F40" s="11"/>
      <c r="G40" s="43"/>
      <c r="H40" s="43"/>
      <c r="I40" s="43"/>
      <c r="J40" s="43"/>
      <c r="K40" s="179" t="s">
        <v>121</v>
      </c>
      <c r="L40" s="162">
        <v>34.728571428571435</v>
      </c>
      <c r="M40" s="181"/>
      <c r="N40" s="181"/>
      <c r="O40" s="178"/>
    </row>
    <row r="41" spans="1:15" ht="16" thickBot="1">
      <c r="A41" s="670"/>
      <c r="B41" s="670"/>
      <c r="C41" s="670"/>
      <c r="D41" s="44"/>
      <c r="E41" s="43"/>
      <c r="F41" s="11"/>
      <c r="G41" s="670"/>
      <c r="H41" s="670"/>
      <c r="I41" s="670"/>
      <c r="J41" s="44"/>
      <c r="K41" s="179" t="s">
        <v>122</v>
      </c>
      <c r="L41" s="163">
        <v>0.1492326580724371</v>
      </c>
      <c r="M41" s="181"/>
      <c r="N41" s="181"/>
      <c r="O41" s="178"/>
    </row>
    <row r="42" spans="1:15" ht="16" thickBot="1">
      <c r="A42" s="669"/>
      <c r="B42" s="669"/>
      <c r="C42" s="669"/>
      <c r="D42" s="43"/>
      <c r="E42" s="43"/>
      <c r="F42" s="11"/>
      <c r="G42" s="669"/>
      <c r="H42" s="669"/>
      <c r="I42" s="669"/>
      <c r="J42" s="43"/>
      <c r="K42" s="176"/>
      <c r="L42" s="177"/>
      <c r="M42" s="177"/>
      <c r="N42" s="177"/>
      <c r="O42" s="178"/>
    </row>
    <row r="43" spans="1:15" ht="16" thickBot="1">
      <c r="A43" s="45"/>
      <c r="B43" s="45"/>
      <c r="C43" s="45"/>
      <c r="D43" s="43"/>
      <c r="E43" s="43"/>
      <c r="F43" s="11"/>
      <c r="G43" s="45"/>
      <c r="H43" s="45"/>
      <c r="I43" s="45"/>
      <c r="J43" s="43"/>
      <c r="K43" s="164" t="s">
        <v>39</v>
      </c>
      <c r="L43" s="164" t="s">
        <v>38</v>
      </c>
      <c r="M43" s="164" t="s">
        <v>185</v>
      </c>
      <c r="N43" s="164" t="s">
        <v>37</v>
      </c>
      <c r="O43" s="165" t="s">
        <v>123</v>
      </c>
    </row>
    <row r="44" spans="1:15">
      <c r="A44" s="670"/>
      <c r="B44" s="670"/>
      <c r="C44" s="670"/>
      <c r="D44" s="670"/>
      <c r="E44" s="43"/>
      <c r="F44" s="11"/>
      <c r="G44" s="670"/>
      <c r="H44" s="670"/>
      <c r="I44" s="670"/>
      <c r="J44" s="670"/>
      <c r="K44" s="166">
        <v>1</v>
      </c>
      <c r="L44" s="200">
        <v>175</v>
      </c>
      <c r="M44" s="168" t="s">
        <v>124</v>
      </c>
      <c r="N44" s="194" t="s">
        <v>124</v>
      </c>
      <c r="O44" s="170" t="s">
        <v>124</v>
      </c>
    </row>
    <row r="45" spans="1:15">
      <c r="A45" s="46"/>
      <c r="B45" s="46"/>
      <c r="C45" s="46"/>
      <c r="D45" s="46"/>
      <c r="E45" s="46"/>
      <c r="F45" s="11"/>
      <c r="G45" s="46"/>
      <c r="H45" s="46"/>
      <c r="I45" s="46"/>
      <c r="J45" s="46"/>
      <c r="K45" s="171">
        <v>2</v>
      </c>
      <c r="L45" s="167">
        <v>148</v>
      </c>
      <c r="M45" s="172" t="s">
        <v>124</v>
      </c>
      <c r="N45" s="195" t="s">
        <v>124</v>
      </c>
      <c r="O45" s="174" t="s">
        <v>124</v>
      </c>
    </row>
    <row r="46" spans="1:15">
      <c r="A46" s="47"/>
      <c r="B46" s="47"/>
      <c r="C46" s="47"/>
      <c r="D46" s="44"/>
      <c r="E46" s="44"/>
      <c r="F46" s="11"/>
      <c r="G46" s="47"/>
      <c r="H46" s="47"/>
      <c r="I46" s="47"/>
      <c r="J46" s="44"/>
      <c r="K46" s="171">
        <v>3</v>
      </c>
      <c r="L46" s="167">
        <v>189</v>
      </c>
      <c r="M46" s="172" t="s">
        <v>124</v>
      </c>
      <c r="N46" s="195" t="s">
        <v>124</v>
      </c>
      <c r="O46" s="174" t="s">
        <v>124</v>
      </c>
    </row>
    <row r="47" spans="1:15">
      <c r="A47" s="43"/>
      <c r="B47" s="43"/>
      <c r="C47" s="43"/>
      <c r="D47" s="43"/>
      <c r="E47" s="43"/>
      <c r="F47" s="11"/>
      <c r="G47" s="43"/>
      <c r="H47" s="43"/>
      <c r="I47" s="43"/>
      <c r="J47" s="43"/>
      <c r="K47" s="171">
        <v>4</v>
      </c>
      <c r="L47" s="167">
        <v>211</v>
      </c>
      <c r="M47" s="172" t="s">
        <v>124</v>
      </c>
      <c r="N47" s="195" t="s">
        <v>124</v>
      </c>
      <c r="O47" s="174" t="s">
        <v>124</v>
      </c>
    </row>
    <row r="48" spans="1:15">
      <c r="A48" s="48"/>
      <c r="B48" s="49"/>
      <c r="C48" s="50"/>
      <c r="D48" s="50"/>
      <c r="E48" s="43"/>
      <c r="F48" s="11"/>
      <c r="G48" s="48"/>
      <c r="H48" s="49"/>
      <c r="I48" s="50"/>
      <c r="J48" s="50"/>
      <c r="K48" s="171">
        <v>5</v>
      </c>
      <c r="L48" s="167">
        <v>176</v>
      </c>
      <c r="M48" s="172" t="s">
        <v>124</v>
      </c>
      <c r="N48" s="195" t="s">
        <v>124</v>
      </c>
      <c r="O48" s="174" t="s">
        <v>124</v>
      </c>
    </row>
    <row r="49" spans="1:15">
      <c r="A49" s="48"/>
      <c r="B49" s="51"/>
      <c r="C49" s="50"/>
      <c r="D49" s="50"/>
      <c r="E49" s="43"/>
      <c r="F49" s="11"/>
      <c r="G49" s="48"/>
      <c r="H49" s="51"/>
      <c r="I49" s="50"/>
      <c r="J49" s="50"/>
      <c r="K49" s="171">
        <v>6</v>
      </c>
      <c r="L49" s="167">
        <v>160</v>
      </c>
      <c r="M49" s="172">
        <v>182.70000000000002</v>
      </c>
      <c r="N49" s="195">
        <v>-22.700000000000017</v>
      </c>
      <c r="O49" s="174">
        <v>-1</v>
      </c>
    </row>
    <row r="50" spans="1:15">
      <c r="A50" s="43"/>
      <c r="B50" s="43"/>
      <c r="C50" s="43"/>
      <c r="D50" s="43"/>
      <c r="E50" s="43"/>
      <c r="F50" s="11"/>
      <c r="G50" s="43"/>
      <c r="H50" s="43"/>
      <c r="I50" s="43"/>
      <c r="J50" s="43"/>
      <c r="K50" s="171">
        <v>7</v>
      </c>
      <c r="L50" s="167">
        <v>221</v>
      </c>
      <c r="M50" s="172">
        <v>175.10000000000002</v>
      </c>
      <c r="N50" s="195">
        <v>45.899999999999977</v>
      </c>
      <c r="O50" s="174">
        <v>0.67638483965014462</v>
      </c>
    </row>
    <row r="51" spans="1:15">
      <c r="A51" s="52"/>
      <c r="B51" s="52"/>
      <c r="C51" s="52"/>
      <c r="D51" s="52"/>
      <c r="E51" s="53"/>
      <c r="F51" s="11"/>
      <c r="G51" s="52"/>
      <c r="H51" s="52"/>
      <c r="I51" s="52"/>
      <c r="J51" s="52"/>
      <c r="K51" s="171">
        <v>8</v>
      </c>
      <c r="L51" s="167">
        <v>290</v>
      </c>
      <c r="M51" s="172">
        <v>195.60000000000002</v>
      </c>
      <c r="N51" s="195">
        <v>94.399999999999977</v>
      </c>
      <c r="O51" s="174">
        <v>2.1644171779141099</v>
      </c>
    </row>
    <row r="52" spans="1:15">
      <c r="A52" s="52"/>
      <c r="B52" s="54"/>
      <c r="C52" s="55"/>
      <c r="D52" s="55"/>
      <c r="E52" s="55"/>
      <c r="F52" s="11"/>
      <c r="G52" s="52"/>
      <c r="H52" s="56"/>
      <c r="I52" s="55"/>
      <c r="J52" s="55"/>
      <c r="K52" s="171">
        <v>9</v>
      </c>
      <c r="L52" s="167">
        <v>253</v>
      </c>
      <c r="M52" s="172">
        <v>230.89999999999998</v>
      </c>
      <c r="N52" s="195">
        <v>22.100000000000023</v>
      </c>
      <c r="O52" s="174">
        <v>3.0189086980010797</v>
      </c>
    </row>
    <row r="53" spans="1:15">
      <c r="A53" s="52"/>
      <c r="B53" s="54"/>
      <c r="C53" s="55"/>
      <c r="D53" s="55"/>
      <c r="E53" s="55"/>
      <c r="F53" s="11"/>
      <c r="G53" s="52"/>
      <c r="H53" s="56"/>
      <c r="I53" s="55"/>
      <c r="J53" s="55"/>
      <c r="K53" s="171">
        <v>10</v>
      </c>
      <c r="L53" s="167">
        <v>254</v>
      </c>
      <c r="M53" s="172">
        <v>236.99999999999997</v>
      </c>
      <c r="N53" s="195">
        <v>17.000000000000028</v>
      </c>
      <c r="O53" s="174">
        <v>3.8767936665017313</v>
      </c>
    </row>
    <row r="54" spans="1:15">
      <c r="A54" s="52"/>
      <c r="B54" s="54"/>
      <c r="C54" s="55"/>
      <c r="D54" s="55"/>
      <c r="E54" s="55"/>
      <c r="F54" s="11"/>
      <c r="G54" s="52"/>
      <c r="H54" s="56"/>
      <c r="I54" s="55"/>
      <c r="J54" s="55"/>
      <c r="K54" s="171">
        <v>11</v>
      </c>
      <c r="L54" s="167">
        <v>228</v>
      </c>
      <c r="M54" s="172">
        <v>248.3</v>
      </c>
      <c r="N54" s="195">
        <v>-20.300000000000011</v>
      </c>
      <c r="O54" s="174">
        <v>3.6798561151079126</v>
      </c>
    </row>
    <row r="55" spans="1:15">
      <c r="A55" s="52"/>
      <c r="B55" s="54"/>
      <c r="C55" s="55"/>
      <c r="D55" s="55"/>
      <c r="E55" s="55"/>
      <c r="F55" s="11"/>
      <c r="G55" s="52"/>
      <c r="H55" s="56"/>
      <c r="I55" s="55"/>
      <c r="J55" s="55"/>
      <c r="K55" s="171">
        <v>12</v>
      </c>
      <c r="L55" s="167">
        <v>223</v>
      </c>
      <c r="M55" s="172">
        <v>243.7</v>
      </c>
      <c r="N55" s="195">
        <v>-20.699999999999989</v>
      </c>
      <c r="O55" s="174">
        <v>3.3315508021390365</v>
      </c>
    </row>
    <row r="56" spans="1:15" ht="16" thickBot="1">
      <c r="A56" s="52"/>
      <c r="B56" s="54"/>
      <c r="C56" s="55"/>
      <c r="D56" s="55"/>
      <c r="E56" s="55"/>
      <c r="F56" s="11"/>
      <c r="G56" s="52"/>
      <c r="H56" s="56"/>
      <c r="I56" s="55"/>
      <c r="J56" s="55"/>
      <c r="K56" s="182">
        <v>13</v>
      </c>
      <c r="L56" s="183"/>
      <c r="M56" s="184">
        <v>239.90000000000003</v>
      </c>
      <c r="N56" s="198" t="s">
        <v>124</v>
      </c>
      <c r="O56" s="186" t="s">
        <v>124</v>
      </c>
    </row>
    <row r="57" spans="1:15">
      <c r="A57" s="52"/>
      <c r="B57" s="54"/>
      <c r="C57" s="55"/>
      <c r="D57" s="55"/>
      <c r="E57" s="55"/>
      <c r="F57" s="11"/>
      <c r="G57" s="52"/>
      <c r="H57" s="56"/>
      <c r="I57" s="55"/>
      <c r="J57" s="55"/>
      <c r="K57" s="55"/>
      <c r="L57" s="11"/>
    </row>
    <row r="58" spans="1:15">
      <c r="A58" s="52"/>
      <c r="B58" s="54"/>
      <c r="C58" s="55"/>
      <c r="D58" s="55"/>
      <c r="E58" s="55"/>
      <c r="F58" s="11"/>
      <c r="G58" s="52"/>
      <c r="H58" s="56"/>
      <c r="I58" s="55"/>
      <c r="J58" s="55"/>
      <c r="K58" s="55"/>
      <c r="L58" s="11"/>
    </row>
    <row r="59" spans="1:15">
      <c r="A59" s="52"/>
      <c r="B59" s="54"/>
      <c r="C59" s="55"/>
      <c r="D59" s="55"/>
      <c r="E59" s="55"/>
      <c r="F59" s="11"/>
      <c r="G59" s="52"/>
      <c r="H59" s="56"/>
      <c r="I59" s="55"/>
      <c r="J59" s="55"/>
      <c r="K59" s="55"/>
      <c r="L59" s="11"/>
    </row>
    <row r="60" spans="1:15">
      <c r="A60" s="52"/>
      <c r="B60" s="54"/>
      <c r="C60" s="55"/>
      <c r="D60" s="55"/>
      <c r="E60" s="55"/>
      <c r="F60" s="11"/>
      <c r="G60" s="52"/>
      <c r="H60" s="56"/>
      <c r="I60" s="55"/>
      <c r="J60" s="55"/>
      <c r="K60" s="55"/>
      <c r="L60" s="11"/>
    </row>
    <row r="61" spans="1:15">
      <c r="A61" s="52"/>
      <c r="B61" s="54"/>
      <c r="C61" s="55"/>
      <c r="D61" s="55"/>
      <c r="E61" s="55"/>
      <c r="F61" s="11"/>
      <c r="G61" s="52"/>
      <c r="H61" s="56"/>
      <c r="I61" s="55"/>
      <c r="J61" s="55"/>
      <c r="K61" s="55"/>
      <c r="L61" s="11"/>
    </row>
    <row r="62" spans="1:15">
      <c r="A62" s="52"/>
      <c r="B62" s="54"/>
      <c r="C62" s="55"/>
      <c r="D62" s="55"/>
      <c r="E62" s="55"/>
      <c r="F62" s="11"/>
      <c r="G62" s="52"/>
      <c r="H62" s="56"/>
      <c r="I62" s="55"/>
      <c r="J62" s="55"/>
      <c r="K62" s="55"/>
      <c r="L62" s="11"/>
    </row>
    <row r="63" spans="1:15">
      <c r="A63" s="52"/>
      <c r="B63" s="54"/>
      <c r="C63" s="55"/>
      <c r="D63" s="55"/>
      <c r="E63" s="55"/>
      <c r="F63" s="11"/>
      <c r="G63" s="52"/>
      <c r="H63" s="56"/>
      <c r="I63" s="55"/>
      <c r="J63" s="55"/>
      <c r="K63" s="55"/>
      <c r="L63" s="11"/>
    </row>
    <row r="64" spans="1:15">
      <c r="A64" s="52"/>
      <c r="B64" s="57"/>
      <c r="C64" s="55"/>
      <c r="D64" s="55"/>
      <c r="E64" s="55"/>
      <c r="F64" s="11"/>
      <c r="G64" s="52"/>
      <c r="H64" s="57"/>
      <c r="I64" s="55"/>
      <c r="J64" s="55"/>
      <c r="K64" s="11"/>
      <c r="L64" s="11"/>
    </row>
    <row r="65" spans="1:12">
      <c r="A65" s="11"/>
      <c r="B65" s="11"/>
      <c r="C65" s="11"/>
      <c r="D65" s="42"/>
      <c r="E65" s="11"/>
      <c r="F65" s="11"/>
      <c r="G65" s="11"/>
      <c r="H65" s="11"/>
      <c r="I65" s="11"/>
      <c r="J65" s="11"/>
      <c r="K65" s="11"/>
      <c r="L65" s="11"/>
    </row>
    <row r="66" spans="1:12">
      <c r="A66" s="11"/>
      <c r="B66" s="11"/>
      <c r="C66" s="11"/>
      <c r="D66" s="42"/>
      <c r="E66" s="11"/>
      <c r="F66" s="11"/>
      <c r="G66" s="11"/>
      <c r="H66" s="11"/>
      <c r="I66" s="11"/>
      <c r="J66" s="11"/>
    </row>
  </sheetData>
  <mergeCells count="19">
    <mergeCell ref="K31:N31"/>
    <mergeCell ref="K33:M33"/>
    <mergeCell ref="K34:M34"/>
    <mergeCell ref="K36:N36"/>
    <mergeCell ref="K3:N3"/>
    <mergeCell ref="K5:M5"/>
    <mergeCell ref="K6:M6"/>
    <mergeCell ref="K8:N8"/>
    <mergeCell ref="A42:C42"/>
    <mergeCell ref="G42:I42"/>
    <mergeCell ref="A44:D44"/>
    <mergeCell ref="G44:J44"/>
    <mergeCell ref="A1:D1"/>
    <mergeCell ref="A3:H3"/>
    <mergeCell ref="A21:H21"/>
    <mergeCell ref="A39:D39"/>
    <mergeCell ref="G39:J39"/>
    <mergeCell ref="A41:C41"/>
    <mergeCell ref="G41:I4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2"/>
  <sheetViews>
    <sheetView topLeftCell="A17" workbookViewId="0">
      <selection activeCell="N31" sqref="N31"/>
    </sheetView>
  </sheetViews>
  <sheetFormatPr baseColWidth="10" defaultColWidth="8.83203125" defaultRowHeight="15"/>
  <cols>
    <col min="2" max="2" width="15.1640625" customWidth="1"/>
    <col min="3" max="4" width="11.5" bestFit="1" customWidth="1"/>
    <col min="11" max="11" width="9.1640625" customWidth="1"/>
    <col min="16" max="16" width="15.5" customWidth="1"/>
  </cols>
  <sheetData>
    <row r="1" spans="1:16">
      <c r="A1" s="6" t="s">
        <v>65</v>
      </c>
      <c r="L1" s="249" t="s">
        <v>118</v>
      </c>
    </row>
    <row r="2" spans="1:16" ht="16" thickBot="1">
      <c r="L2" s="6" t="s">
        <v>125</v>
      </c>
    </row>
    <row r="3" spans="1:16" ht="15" customHeight="1">
      <c r="A3" s="79" t="s">
        <v>26</v>
      </c>
      <c r="B3" s="78" t="s">
        <v>29</v>
      </c>
      <c r="C3" s="78" t="s">
        <v>304</v>
      </c>
      <c r="D3" s="78" t="s">
        <v>305</v>
      </c>
      <c r="L3" s="657" t="s">
        <v>119</v>
      </c>
      <c r="M3" s="658"/>
      <c r="N3" s="658"/>
      <c r="O3" s="658"/>
      <c r="P3" s="175"/>
    </row>
    <row r="4" spans="1:16" ht="16" thickBot="1">
      <c r="A4" s="5">
        <v>1</v>
      </c>
      <c r="B4" s="5">
        <v>263</v>
      </c>
      <c r="L4" s="176"/>
      <c r="M4" s="177"/>
      <c r="N4" s="177"/>
      <c r="O4" s="177"/>
      <c r="P4" s="178"/>
    </row>
    <row r="5" spans="1:16" ht="16" thickBot="1">
      <c r="A5" s="5">
        <v>2</v>
      </c>
      <c r="B5" s="5">
        <v>315</v>
      </c>
      <c r="L5" s="659" t="s">
        <v>120</v>
      </c>
      <c r="M5" s="660"/>
      <c r="N5" s="660"/>
      <c r="O5" s="161">
        <v>3</v>
      </c>
      <c r="P5" s="178"/>
    </row>
    <row r="6" spans="1:16" ht="16" thickBot="1">
      <c r="A6" s="5">
        <v>3</v>
      </c>
      <c r="B6" s="5">
        <v>365</v>
      </c>
      <c r="C6" s="26"/>
      <c r="D6" s="26"/>
      <c r="L6" s="176"/>
      <c r="M6" s="177"/>
      <c r="N6" s="177"/>
      <c r="O6" s="177"/>
      <c r="P6" s="178"/>
    </row>
    <row r="7" spans="1:16">
      <c r="A7" s="5">
        <v>4</v>
      </c>
      <c r="B7" s="5">
        <v>402</v>
      </c>
      <c r="C7" s="26">
        <f t="shared" ref="C7:C14" si="0">AVERAGE(B4:B6)</f>
        <v>314.33333333333331</v>
      </c>
      <c r="D7" s="26"/>
      <c r="L7" s="179" t="s">
        <v>121</v>
      </c>
      <c r="M7" s="162">
        <v>41.666666666666664</v>
      </c>
      <c r="N7" s="180"/>
      <c r="O7" s="181"/>
      <c r="P7" s="178"/>
    </row>
    <row r="8" spans="1:16" ht="16" thickBot="1">
      <c r="A8" s="5">
        <v>5</v>
      </c>
      <c r="B8" s="5">
        <v>447</v>
      </c>
      <c r="C8" s="26">
        <f t="shared" si="0"/>
        <v>360.66666666666669</v>
      </c>
      <c r="D8" s="26"/>
      <c r="L8" s="179" t="s">
        <v>122</v>
      </c>
      <c r="M8" s="163">
        <v>9.1231362735898228E-2</v>
      </c>
      <c r="N8" s="180"/>
      <c r="O8" s="181"/>
      <c r="P8" s="178"/>
    </row>
    <row r="9" spans="1:16" ht="16" thickBot="1">
      <c r="A9" s="5">
        <v>6</v>
      </c>
      <c r="B9" s="5">
        <v>493</v>
      </c>
      <c r="C9" s="26">
        <f t="shared" si="0"/>
        <v>404.66666666666669</v>
      </c>
      <c r="D9" s="26">
        <f t="shared" ref="D9:D14" si="1">AVERAGE(B4:B8)</f>
        <v>358.4</v>
      </c>
      <c r="L9" s="176"/>
      <c r="M9" s="177"/>
      <c r="N9" s="177"/>
      <c r="O9" s="177"/>
      <c r="P9" s="178"/>
    </row>
    <row r="10" spans="1:16" ht="15.75" customHeight="1" thickBot="1">
      <c r="A10" s="5">
        <v>7</v>
      </c>
      <c r="B10" s="5">
        <v>460</v>
      </c>
      <c r="C10" s="26">
        <f t="shared" si="0"/>
        <v>447.33333333333331</v>
      </c>
      <c r="D10" s="26">
        <f t="shared" si="1"/>
        <v>404.4</v>
      </c>
      <c r="L10" s="164" t="s">
        <v>39</v>
      </c>
      <c r="M10" s="164" t="s">
        <v>38</v>
      </c>
      <c r="N10" s="164" t="s">
        <v>185</v>
      </c>
      <c r="O10" s="164" t="s">
        <v>37</v>
      </c>
      <c r="P10" s="165" t="s">
        <v>123</v>
      </c>
    </row>
    <row r="11" spans="1:16">
      <c r="A11" s="5">
        <v>8</v>
      </c>
      <c r="B11" s="5">
        <v>469</v>
      </c>
      <c r="C11" s="26">
        <f t="shared" si="0"/>
        <v>466.66666666666669</v>
      </c>
      <c r="D11" s="26">
        <f t="shared" si="1"/>
        <v>433.4</v>
      </c>
      <c r="L11" s="166">
        <v>1</v>
      </c>
      <c r="M11" s="167">
        <v>263</v>
      </c>
      <c r="N11" s="168" t="s">
        <v>124</v>
      </c>
      <c r="O11" s="169" t="s">
        <v>124</v>
      </c>
      <c r="P11" s="170" t="s">
        <v>124</v>
      </c>
    </row>
    <row r="12" spans="1:16">
      <c r="A12" s="5">
        <v>9</v>
      </c>
      <c r="B12" s="5">
        <v>470</v>
      </c>
      <c r="C12" s="26">
        <f t="shared" si="0"/>
        <v>474</v>
      </c>
      <c r="D12" s="26">
        <f t="shared" si="1"/>
        <v>454.2</v>
      </c>
      <c r="L12" s="171">
        <v>2</v>
      </c>
      <c r="M12" s="167">
        <v>315</v>
      </c>
      <c r="N12" s="172" t="s">
        <v>124</v>
      </c>
      <c r="O12" s="173" t="s">
        <v>124</v>
      </c>
      <c r="P12" s="174" t="s">
        <v>124</v>
      </c>
    </row>
    <row r="13" spans="1:16">
      <c r="A13" s="5">
        <v>10</v>
      </c>
      <c r="B13" s="5">
        <v>456</v>
      </c>
      <c r="C13" s="240">
        <f t="shared" si="0"/>
        <v>466.33333333333331</v>
      </c>
      <c r="D13" s="240">
        <f t="shared" si="1"/>
        <v>467.8</v>
      </c>
      <c r="L13" s="171">
        <v>3</v>
      </c>
      <c r="M13" s="167">
        <v>365</v>
      </c>
      <c r="N13" s="172" t="s">
        <v>124</v>
      </c>
      <c r="O13" s="173" t="s">
        <v>124</v>
      </c>
      <c r="P13" s="174" t="s">
        <v>124</v>
      </c>
    </row>
    <row r="14" spans="1:16">
      <c r="A14" s="7">
        <v>11</v>
      </c>
      <c r="B14" s="25"/>
      <c r="C14" s="515">
        <f t="shared" si="0"/>
        <v>465</v>
      </c>
      <c r="D14" s="515">
        <f t="shared" si="1"/>
        <v>469.6</v>
      </c>
      <c r="L14" s="171">
        <v>4</v>
      </c>
      <c r="M14" s="167">
        <v>402</v>
      </c>
      <c r="N14" s="172">
        <v>314.33333333333331</v>
      </c>
      <c r="O14" s="173">
        <v>87.666666666666686</v>
      </c>
      <c r="P14" s="174">
        <v>1</v>
      </c>
    </row>
    <row r="15" spans="1:16">
      <c r="A15" s="25"/>
      <c r="B15" s="25"/>
      <c r="C15" s="26"/>
      <c r="D15" s="26"/>
      <c r="L15" s="171">
        <v>5</v>
      </c>
      <c r="M15" s="167">
        <v>447</v>
      </c>
      <c r="N15" s="172">
        <v>360.66666666666669</v>
      </c>
      <c r="O15" s="173">
        <v>86.333333333333314</v>
      </c>
      <c r="P15" s="174">
        <v>2</v>
      </c>
    </row>
    <row r="16" spans="1:16">
      <c r="A16" s="27"/>
      <c r="B16" s="28"/>
      <c r="C16" s="29"/>
      <c r="D16" s="29"/>
      <c r="L16" s="171">
        <v>6</v>
      </c>
      <c r="M16" s="167">
        <v>493</v>
      </c>
      <c r="N16" s="172">
        <v>404.66666666666669</v>
      </c>
      <c r="O16" s="173">
        <v>88.333333333333314</v>
      </c>
      <c r="P16" s="174">
        <v>3</v>
      </c>
    </row>
    <row r="17" spans="1:16">
      <c r="A17" s="328" t="s">
        <v>11</v>
      </c>
      <c r="B17" s="152">
        <f>C14</f>
        <v>465</v>
      </c>
      <c r="C17" s="29"/>
      <c r="D17" s="29"/>
      <c r="L17" s="171">
        <v>7</v>
      </c>
      <c r="M17" s="167">
        <v>460</v>
      </c>
      <c r="N17" s="172">
        <v>447.33333333333331</v>
      </c>
      <c r="O17" s="173">
        <v>12.666666666666686</v>
      </c>
      <c r="P17" s="174">
        <v>4</v>
      </c>
    </row>
    <row r="18" spans="1:16">
      <c r="A18" s="516"/>
      <c r="B18" s="153"/>
      <c r="L18" s="171">
        <v>8</v>
      </c>
      <c r="M18" s="167">
        <v>469</v>
      </c>
      <c r="N18" s="172">
        <v>466.66666666666669</v>
      </c>
      <c r="O18" s="173">
        <v>2.3333333333333144</v>
      </c>
      <c r="P18" s="174">
        <v>5</v>
      </c>
    </row>
    <row r="19" spans="1:16">
      <c r="A19" s="516" t="s">
        <v>12</v>
      </c>
      <c r="B19" s="154">
        <f>D14</f>
        <v>469.6</v>
      </c>
      <c r="L19" s="171">
        <v>9</v>
      </c>
      <c r="M19" s="167">
        <v>470</v>
      </c>
      <c r="N19" s="172">
        <v>474</v>
      </c>
      <c r="O19" s="173">
        <v>-4</v>
      </c>
      <c r="P19" s="174">
        <v>5.8293838862559237</v>
      </c>
    </row>
    <row r="20" spans="1:16">
      <c r="A20" s="516"/>
      <c r="B20" s="153"/>
      <c r="C20" s="26"/>
      <c r="D20" s="26"/>
      <c r="L20" s="171">
        <v>10</v>
      </c>
      <c r="M20" s="167">
        <v>456</v>
      </c>
      <c r="N20" s="172">
        <v>466.33333333333331</v>
      </c>
      <c r="O20" s="173">
        <v>-10.333333333333314</v>
      </c>
      <c r="P20" s="174">
        <v>6.3120000000000003</v>
      </c>
    </row>
    <row r="21" spans="1:16" ht="16" thickBot="1">
      <c r="A21" s="328" t="s">
        <v>13</v>
      </c>
      <c r="B21" s="152" t="s">
        <v>28</v>
      </c>
      <c r="D21" s="26"/>
      <c r="L21" s="182">
        <v>11</v>
      </c>
      <c r="M21" s="183"/>
      <c r="N21" s="184">
        <v>465</v>
      </c>
      <c r="O21" s="185" t="s">
        <v>124</v>
      </c>
      <c r="P21" s="186" t="s">
        <v>124</v>
      </c>
    </row>
    <row r="22" spans="1:16">
      <c r="A22" s="27"/>
      <c r="B22" s="25"/>
      <c r="C22" s="26"/>
      <c r="D22" s="26"/>
    </row>
    <row r="23" spans="1:16" ht="16" thickBot="1">
      <c r="L23" s="6" t="s">
        <v>17</v>
      </c>
    </row>
    <row r="24" spans="1:16">
      <c r="L24" s="657" t="s">
        <v>119</v>
      </c>
      <c r="M24" s="658"/>
      <c r="N24" s="658"/>
      <c r="O24" s="658"/>
      <c r="P24" s="175"/>
    </row>
    <row r="25" spans="1:16" ht="16" thickBot="1">
      <c r="L25" s="176"/>
      <c r="M25" s="177"/>
      <c r="N25" s="177"/>
      <c r="O25" s="177"/>
      <c r="P25" s="178"/>
    </row>
    <row r="26" spans="1:16" ht="16" thickBot="1">
      <c r="L26" s="659" t="s">
        <v>120</v>
      </c>
      <c r="M26" s="660"/>
      <c r="N26" s="660"/>
      <c r="O26" s="161">
        <v>5</v>
      </c>
      <c r="P26" s="178"/>
    </row>
    <row r="27" spans="1:16" ht="16" thickBot="1">
      <c r="L27" s="176"/>
      <c r="M27" s="177"/>
      <c r="N27" s="177"/>
      <c r="O27" s="177"/>
      <c r="P27" s="178"/>
    </row>
    <row r="28" spans="1:16">
      <c r="L28" s="179" t="s">
        <v>121</v>
      </c>
      <c r="M28" s="162">
        <v>50.680000000000021</v>
      </c>
      <c r="N28" s="180"/>
      <c r="O28" s="181"/>
      <c r="P28" s="178"/>
    </row>
    <row r="29" spans="1:16" ht="16" thickBot="1">
      <c r="L29" s="179" t="s">
        <v>122</v>
      </c>
      <c r="M29" s="163">
        <v>0.1079216354344123</v>
      </c>
      <c r="N29" s="180"/>
      <c r="O29" s="181"/>
      <c r="P29" s="178"/>
    </row>
    <row r="30" spans="1:16" ht="16" thickBot="1">
      <c r="L30" s="176"/>
      <c r="M30" s="177"/>
      <c r="N30" s="177"/>
      <c r="O30" s="177"/>
      <c r="P30" s="178"/>
    </row>
    <row r="31" spans="1:16" ht="16" thickBot="1">
      <c r="L31" s="164" t="s">
        <v>39</v>
      </c>
      <c r="M31" s="164" t="s">
        <v>38</v>
      </c>
      <c r="N31" s="164" t="s">
        <v>185</v>
      </c>
      <c r="O31" s="164" t="s">
        <v>37</v>
      </c>
      <c r="P31" s="165" t="s">
        <v>123</v>
      </c>
    </row>
    <row r="32" spans="1:16">
      <c r="L32" s="166">
        <v>1</v>
      </c>
      <c r="M32" s="167">
        <v>263</v>
      </c>
      <c r="N32" s="168" t="s">
        <v>124</v>
      </c>
      <c r="O32" s="169" t="s">
        <v>124</v>
      </c>
      <c r="P32" s="170" t="s">
        <v>124</v>
      </c>
    </row>
    <row r="33" spans="12:16">
      <c r="L33" s="171">
        <v>2</v>
      </c>
      <c r="M33" s="167">
        <v>315</v>
      </c>
      <c r="N33" s="172" t="s">
        <v>124</v>
      </c>
      <c r="O33" s="173" t="s">
        <v>124</v>
      </c>
      <c r="P33" s="174" t="s">
        <v>124</v>
      </c>
    </row>
    <row r="34" spans="12:16">
      <c r="L34" s="171">
        <v>3</v>
      </c>
      <c r="M34" s="167">
        <v>365</v>
      </c>
      <c r="N34" s="172" t="s">
        <v>124</v>
      </c>
      <c r="O34" s="173" t="s">
        <v>124</v>
      </c>
      <c r="P34" s="174" t="s">
        <v>124</v>
      </c>
    </row>
    <row r="35" spans="12:16">
      <c r="L35" s="171">
        <v>4</v>
      </c>
      <c r="M35" s="167">
        <v>402</v>
      </c>
      <c r="N35" s="172" t="s">
        <v>124</v>
      </c>
      <c r="O35" s="173" t="s">
        <v>124</v>
      </c>
      <c r="P35" s="174" t="s">
        <v>124</v>
      </c>
    </row>
    <row r="36" spans="12:16">
      <c r="L36" s="171">
        <v>5</v>
      </c>
      <c r="M36" s="167">
        <v>447</v>
      </c>
      <c r="N36" s="172" t="s">
        <v>124</v>
      </c>
      <c r="O36" s="173" t="s">
        <v>124</v>
      </c>
      <c r="P36" s="174" t="s">
        <v>124</v>
      </c>
    </row>
    <row r="37" spans="12:16">
      <c r="L37" s="171">
        <v>6</v>
      </c>
      <c r="M37" s="167">
        <v>493</v>
      </c>
      <c r="N37" s="172">
        <v>358.4</v>
      </c>
      <c r="O37" s="173">
        <v>134.60000000000002</v>
      </c>
      <c r="P37" s="174">
        <v>1</v>
      </c>
    </row>
    <row r="38" spans="12:16">
      <c r="L38" s="171">
        <v>7</v>
      </c>
      <c r="M38" s="167">
        <v>460</v>
      </c>
      <c r="N38" s="172">
        <v>404.4</v>
      </c>
      <c r="O38" s="173">
        <v>55.600000000000023</v>
      </c>
      <c r="P38" s="174">
        <v>2</v>
      </c>
    </row>
    <row r="39" spans="12:16">
      <c r="L39" s="171">
        <v>8</v>
      </c>
      <c r="M39" s="167">
        <v>469</v>
      </c>
      <c r="N39" s="172">
        <v>433.4</v>
      </c>
      <c r="O39" s="173">
        <v>35.600000000000023</v>
      </c>
      <c r="P39" s="174">
        <v>3</v>
      </c>
    </row>
    <row r="40" spans="12:16">
      <c r="L40" s="171">
        <v>9</v>
      </c>
      <c r="M40" s="167">
        <v>470</v>
      </c>
      <c r="N40" s="172">
        <v>454.2</v>
      </c>
      <c r="O40" s="173">
        <v>15.800000000000011</v>
      </c>
      <c r="P40" s="174">
        <v>4</v>
      </c>
    </row>
    <row r="41" spans="12:16">
      <c r="L41" s="171">
        <v>10</v>
      </c>
      <c r="M41" s="167">
        <v>456</v>
      </c>
      <c r="N41" s="172">
        <v>467.8</v>
      </c>
      <c r="O41" s="173">
        <v>-11.800000000000011</v>
      </c>
      <c r="P41" s="174">
        <v>4.5343330702446716</v>
      </c>
    </row>
    <row r="42" spans="12:16" ht="16" thickBot="1">
      <c r="L42" s="182">
        <v>11</v>
      </c>
      <c r="M42" s="183"/>
      <c r="N42" s="184">
        <v>469.6</v>
      </c>
      <c r="O42" s="185" t="s">
        <v>124</v>
      </c>
      <c r="P42" s="186" t="s">
        <v>124</v>
      </c>
    </row>
  </sheetData>
  <mergeCells count="4">
    <mergeCell ref="L3:O3"/>
    <mergeCell ref="L5:N5"/>
    <mergeCell ref="L24:O24"/>
    <mergeCell ref="L26:N2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49"/>
  <sheetViews>
    <sheetView topLeftCell="A20" workbookViewId="0">
      <selection activeCell="I26" sqref="I26"/>
    </sheetView>
  </sheetViews>
  <sheetFormatPr baseColWidth="10" defaultColWidth="8.83203125" defaultRowHeight="15"/>
  <cols>
    <col min="1" max="1" width="13.1640625" customWidth="1"/>
    <col min="2" max="2" width="11.6640625" bestFit="1" customWidth="1"/>
    <col min="3" max="3" width="9.1640625" style="59"/>
    <col min="257" max="257" width="13.1640625" customWidth="1"/>
    <col min="258" max="258" width="11.6640625" bestFit="1" customWidth="1"/>
    <col min="513" max="513" width="13.1640625" customWidth="1"/>
    <col min="514" max="514" width="11.6640625" bestFit="1" customWidth="1"/>
    <col min="769" max="769" width="13.1640625" customWidth="1"/>
    <col min="770" max="770" width="11.6640625" bestFit="1" customWidth="1"/>
    <col min="1025" max="1025" width="13.1640625" customWidth="1"/>
    <col min="1026" max="1026" width="11.6640625" bestFit="1" customWidth="1"/>
    <col min="1281" max="1281" width="13.1640625" customWidth="1"/>
    <col min="1282" max="1282" width="11.6640625" bestFit="1" customWidth="1"/>
    <col min="1537" max="1537" width="13.1640625" customWidth="1"/>
    <col min="1538" max="1538" width="11.6640625" bestFit="1" customWidth="1"/>
    <col min="1793" max="1793" width="13.1640625" customWidth="1"/>
    <col min="1794" max="1794" width="11.6640625" bestFit="1" customWidth="1"/>
    <col min="2049" max="2049" width="13.1640625" customWidth="1"/>
    <col min="2050" max="2050" width="11.6640625" bestFit="1" customWidth="1"/>
    <col min="2305" max="2305" width="13.1640625" customWidth="1"/>
    <col min="2306" max="2306" width="11.6640625" bestFit="1" customWidth="1"/>
    <col min="2561" max="2561" width="13.1640625" customWidth="1"/>
    <col min="2562" max="2562" width="11.6640625" bestFit="1" customWidth="1"/>
    <col min="2817" max="2817" width="13.1640625" customWidth="1"/>
    <col min="2818" max="2818" width="11.6640625" bestFit="1" customWidth="1"/>
    <col min="3073" max="3073" width="13.1640625" customWidth="1"/>
    <col min="3074" max="3074" width="11.6640625" bestFit="1" customWidth="1"/>
    <col min="3329" max="3329" width="13.1640625" customWidth="1"/>
    <col min="3330" max="3330" width="11.6640625" bestFit="1" customWidth="1"/>
    <col min="3585" max="3585" width="13.1640625" customWidth="1"/>
    <col min="3586" max="3586" width="11.6640625" bestFit="1" customWidth="1"/>
    <col min="3841" max="3841" width="13.1640625" customWidth="1"/>
    <col min="3842" max="3842" width="11.6640625" bestFit="1" customWidth="1"/>
    <col min="4097" max="4097" width="13.1640625" customWidth="1"/>
    <col min="4098" max="4098" width="11.6640625" bestFit="1" customWidth="1"/>
    <col min="4353" max="4353" width="13.1640625" customWidth="1"/>
    <col min="4354" max="4354" width="11.6640625" bestFit="1" customWidth="1"/>
    <col min="4609" max="4609" width="13.1640625" customWidth="1"/>
    <col min="4610" max="4610" width="11.6640625" bestFit="1" customWidth="1"/>
    <col min="4865" max="4865" width="13.1640625" customWidth="1"/>
    <col min="4866" max="4866" width="11.6640625" bestFit="1" customWidth="1"/>
    <col min="5121" max="5121" width="13.1640625" customWidth="1"/>
    <col min="5122" max="5122" width="11.6640625" bestFit="1" customWidth="1"/>
    <col min="5377" max="5377" width="13.1640625" customWidth="1"/>
    <col min="5378" max="5378" width="11.6640625" bestFit="1" customWidth="1"/>
    <col min="5633" max="5633" width="13.1640625" customWidth="1"/>
    <col min="5634" max="5634" width="11.6640625" bestFit="1" customWidth="1"/>
    <col min="5889" max="5889" width="13.1640625" customWidth="1"/>
    <col min="5890" max="5890" width="11.6640625" bestFit="1" customWidth="1"/>
    <col min="6145" max="6145" width="13.1640625" customWidth="1"/>
    <col min="6146" max="6146" width="11.6640625" bestFit="1" customWidth="1"/>
    <col min="6401" max="6401" width="13.1640625" customWidth="1"/>
    <col min="6402" max="6402" width="11.6640625" bestFit="1" customWidth="1"/>
    <col min="6657" max="6657" width="13.1640625" customWidth="1"/>
    <col min="6658" max="6658" width="11.6640625" bestFit="1" customWidth="1"/>
    <col min="6913" max="6913" width="13.1640625" customWidth="1"/>
    <col min="6914" max="6914" width="11.6640625" bestFit="1" customWidth="1"/>
    <col min="7169" max="7169" width="13.1640625" customWidth="1"/>
    <col min="7170" max="7170" width="11.6640625" bestFit="1" customWidth="1"/>
    <col min="7425" max="7425" width="13.1640625" customWidth="1"/>
    <col min="7426" max="7426" width="11.6640625" bestFit="1" customWidth="1"/>
    <col min="7681" max="7681" width="13.1640625" customWidth="1"/>
    <col min="7682" max="7682" width="11.6640625" bestFit="1" customWidth="1"/>
    <col min="7937" max="7937" width="13.1640625" customWidth="1"/>
    <col min="7938" max="7938" width="11.6640625" bestFit="1" customWidth="1"/>
    <col min="8193" max="8193" width="13.1640625" customWidth="1"/>
    <col min="8194" max="8194" width="11.6640625" bestFit="1" customWidth="1"/>
    <col min="8449" max="8449" width="13.1640625" customWidth="1"/>
    <col min="8450" max="8450" width="11.6640625" bestFit="1" customWidth="1"/>
    <col min="8705" max="8705" width="13.1640625" customWidth="1"/>
    <col min="8706" max="8706" width="11.6640625" bestFit="1" customWidth="1"/>
    <col min="8961" max="8961" width="13.1640625" customWidth="1"/>
    <col min="8962" max="8962" width="11.6640625" bestFit="1" customWidth="1"/>
    <col min="9217" max="9217" width="13.1640625" customWidth="1"/>
    <col min="9218" max="9218" width="11.6640625" bestFit="1" customWidth="1"/>
    <col min="9473" max="9473" width="13.1640625" customWidth="1"/>
    <col min="9474" max="9474" width="11.6640625" bestFit="1" customWidth="1"/>
    <col min="9729" max="9729" width="13.1640625" customWidth="1"/>
    <col min="9730" max="9730" width="11.6640625" bestFit="1" customWidth="1"/>
    <col min="9985" max="9985" width="13.1640625" customWidth="1"/>
    <col min="9986" max="9986" width="11.6640625" bestFit="1" customWidth="1"/>
    <col min="10241" max="10241" width="13.1640625" customWidth="1"/>
    <col min="10242" max="10242" width="11.6640625" bestFit="1" customWidth="1"/>
    <col min="10497" max="10497" width="13.1640625" customWidth="1"/>
    <col min="10498" max="10498" width="11.6640625" bestFit="1" customWidth="1"/>
    <col min="10753" max="10753" width="13.1640625" customWidth="1"/>
    <col min="10754" max="10754" width="11.6640625" bestFit="1" customWidth="1"/>
    <col min="11009" max="11009" width="13.1640625" customWidth="1"/>
    <col min="11010" max="11010" width="11.6640625" bestFit="1" customWidth="1"/>
    <col min="11265" max="11265" width="13.1640625" customWidth="1"/>
    <col min="11266" max="11266" width="11.6640625" bestFit="1" customWidth="1"/>
    <col min="11521" max="11521" width="13.1640625" customWidth="1"/>
    <col min="11522" max="11522" width="11.6640625" bestFit="1" customWidth="1"/>
    <col min="11777" max="11777" width="13.1640625" customWidth="1"/>
    <col min="11778" max="11778" width="11.6640625" bestFit="1" customWidth="1"/>
    <col min="12033" max="12033" width="13.1640625" customWidth="1"/>
    <col min="12034" max="12034" width="11.6640625" bestFit="1" customWidth="1"/>
    <col min="12289" max="12289" width="13.1640625" customWidth="1"/>
    <col min="12290" max="12290" width="11.6640625" bestFit="1" customWidth="1"/>
    <col min="12545" max="12545" width="13.1640625" customWidth="1"/>
    <col min="12546" max="12546" width="11.6640625" bestFit="1" customWidth="1"/>
    <col min="12801" max="12801" width="13.1640625" customWidth="1"/>
    <col min="12802" max="12802" width="11.6640625" bestFit="1" customWidth="1"/>
    <col min="13057" max="13057" width="13.1640625" customWidth="1"/>
    <col min="13058" max="13058" width="11.6640625" bestFit="1" customWidth="1"/>
    <col min="13313" max="13313" width="13.1640625" customWidth="1"/>
    <col min="13314" max="13314" width="11.6640625" bestFit="1" customWidth="1"/>
    <col min="13569" max="13569" width="13.1640625" customWidth="1"/>
    <col min="13570" max="13570" width="11.6640625" bestFit="1" customWidth="1"/>
    <col min="13825" max="13825" width="13.1640625" customWidth="1"/>
    <col min="13826" max="13826" width="11.6640625" bestFit="1" customWidth="1"/>
    <col min="14081" max="14081" width="13.1640625" customWidth="1"/>
    <col min="14082" max="14082" width="11.6640625" bestFit="1" customWidth="1"/>
    <col min="14337" max="14337" width="13.1640625" customWidth="1"/>
    <col min="14338" max="14338" width="11.6640625" bestFit="1" customWidth="1"/>
    <col min="14593" max="14593" width="13.1640625" customWidth="1"/>
    <col min="14594" max="14594" width="11.6640625" bestFit="1" customWidth="1"/>
    <col min="14849" max="14849" width="13.1640625" customWidth="1"/>
    <col min="14850" max="14850" width="11.6640625" bestFit="1" customWidth="1"/>
    <col min="15105" max="15105" width="13.1640625" customWidth="1"/>
    <col min="15106" max="15106" width="11.6640625" bestFit="1" customWidth="1"/>
    <col min="15361" max="15361" width="13.1640625" customWidth="1"/>
    <col min="15362" max="15362" width="11.6640625" bestFit="1" customWidth="1"/>
    <col min="15617" max="15617" width="13.1640625" customWidth="1"/>
    <col min="15618" max="15618" width="11.6640625" bestFit="1" customWidth="1"/>
    <col min="15873" max="15873" width="13.1640625" customWidth="1"/>
    <col min="15874" max="15874" width="11.6640625" bestFit="1" customWidth="1"/>
    <col min="16129" max="16129" width="13.1640625" customWidth="1"/>
    <col min="16130" max="16130" width="11.6640625" bestFit="1" customWidth="1"/>
  </cols>
  <sheetData>
    <row r="1" spans="1:6">
      <c r="A1" s="1" t="s">
        <v>84</v>
      </c>
    </row>
    <row r="3" spans="1:6">
      <c r="C3" s="325" t="s">
        <v>221</v>
      </c>
      <c r="D3" s="325" t="s">
        <v>222</v>
      </c>
      <c r="E3" s="325" t="s">
        <v>223</v>
      </c>
      <c r="F3" s="325" t="s">
        <v>224</v>
      </c>
    </row>
    <row r="4" spans="1:6">
      <c r="A4" s="1" t="s">
        <v>0</v>
      </c>
      <c r="B4" s="1" t="s">
        <v>1</v>
      </c>
      <c r="C4" s="60" t="s">
        <v>185</v>
      </c>
      <c r="D4" s="60" t="s">
        <v>185</v>
      </c>
      <c r="E4" s="60" t="s">
        <v>185</v>
      </c>
      <c r="F4" s="60" t="s">
        <v>185</v>
      </c>
    </row>
    <row r="5" spans="1:6">
      <c r="A5" t="s">
        <v>4</v>
      </c>
      <c r="B5" s="517">
        <v>2160</v>
      </c>
      <c r="D5" s="59"/>
      <c r="E5" s="59"/>
      <c r="F5" s="59"/>
    </row>
    <row r="6" spans="1:6">
      <c r="A6" t="s">
        <v>5</v>
      </c>
      <c r="B6" s="517">
        <v>2186</v>
      </c>
      <c r="C6" s="59">
        <f>B5</f>
        <v>2160</v>
      </c>
      <c r="D6" s="59">
        <f>B5</f>
        <v>2160</v>
      </c>
      <c r="E6" s="59">
        <f>B5</f>
        <v>2160</v>
      </c>
      <c r="F6" s="59">
        <f>B5</f>
        <v>2160</v>
      </c>
    </row>
    <row r="7" spans="1:6">
      <c r="A7" t="s">
        <v>6</v>
      </c>
      <c r="B7" s="517">
        <v>2246</v>
      </c>
      <c r="C7" s="59">
        <f>C6+0.3*(B6-C6)</f>
        <v>2167.8000000000002</v>
      </c>
      <c r="D7" s="59">
        <f>D6+0.5*(B6-D6)</f>
        <v>2173</v>
      </c>
      <c r="E7" s="59">
        <f>E6+0*(B6-E6)</f>
        <v>2160</v>
      </c>
      <c r="F7" s="59">
        <f>F6+1*(B6-F6)</f>
        <v>2186</v>
      </c>
    </row>
    <row r="8" spans="1:6">
      <c r="A8" t="s">
        <v>7</v>
      </c>
      <c r="B8" s="517">
        <v>2251</v>
      </c>
      <c r="C8" s="59">
        <f>C7+0.3*(B7-C7)</f>
        <v>2191.2600000000002</v>
      </c>
      <c r="D8" s="59">
        <f>D7+0.5*(B7-D7)</f>
        <v>2209.5</v>
      </c>
      <c r="E8" s="59">
        <f>E7+0*(B7-E7)</f>
        <v>2160</v>
      </c>
      <c r="F8" s="59">
        <f>F7+1*(B7-F7)</f>
        <v>2246</v>
      </c>
    </row>
    <row r="9" spans="1:6">
      <c r="A9" t="s">
        <v>8</v>
      </c>
      <c r="B9" s="517">
        <v>2243</v>
      </c>
      <c r="C9" s="59">
        <f>C8+0.3*(B8-C8)</f>
        <v>2209.1820000000002</v>
      </c>
      <c r="D9" s="59">
        <f>D8+0.5*(B8-D8)</f>
        <v>2230.25</v>
      </c>
      <c r="E9" s="59">
        <f>E8+0*(B8-E8)</f>
        <v>2160</v>
      </c>
      <c r="F9" s="59">
        <f>F8+1*(B8-F8)</f>
        <v>2251</v>
      </c>
    </row>
    <row r="10" spans="1:6">
      <c r="A10" t="s">
        <v>9</v>
      </c>
      <c r="B10" s="517">
        <v>2162</v>
      </c>
      <c r="C10" s="59">
        <f>C9+0.3*(B9-C9)</f>
        <v>2219.3274000000001</v>
      </c>
      <c r="D10" s="59">
        <f>D9+0.5*(B9-D9)</f>
        <v>2236.625</v>
      </c>
      <c r="E10" s="59">
        <f>E9+0*(B9-E9)</f>
        <v>2160</v>
      </c>
      <c r="F10" s="59">
        <f>F9+1*(B9-F9)</f>
        <v>2243</v>
      </c>
    </row>
    <row r="11" spans="1:6">
      <c r="A11" t="s">
        <v>10</v>
      </c>
      <c r="C11" s="519">
        <f>C10+0.3*(B10-C10)</f>
        <v>2202.1291799999999</v>
      </c>
      <c r="D11" s="519">
        <f>D10+0.5*(B10-D10)</f>
        <v>2199.3125</v>
      </c>
      <c r="E11" s="519">
        <f>E10+0*(B10-E10)</f>
        <v>2160</v>
      </c>
      <c r="F11" s="519">
        <f>F10+1*(B10-F10)</f>
        <v>2162</v>
      </c>
    </row>
    <row r="14" spans="1:6">
      <c r="A14" s="325" t="s">
        <v>219</v>
      </c>
    </row>
    <row r="15" spans="1:6">
      <c r="A15" t="s">
        <v>306</v>
      </c>
    </row>
    <row r="16" spans="1:6">
      <c r="A16" t="s">
        <v>220</v>
      </c>
    </row>
    <row r="18" spans="1:11">
      <c r="A18" s="82" t="s">
        <v>213</v>
      </c>
    </row>
    <row r="19" spans="1:11">
      <c r="A19" s="675" t="s">
        <v>137</v>
      </c>
      <c r="B19" s="675"/>
      <c r="C19" s="675"/>
      <c r="D19" s="675"/>
      <c r="E19" s="401"/>
      <c r="G19" s="675" t="s">
        <v>137</v>
      </c>
      <c r="H19" s="675"/>
      <c r="I19" s="675"/>
      <c r="J19" s="675"/>
      <c r="K19" s="401"/>
    </row>
    <row r="20" spans="1:11" ht="16" thickBot="1">
      <c r="A20" s="401"/>
      <c r="B20" s="401"/>
      <c r="C20" s="401"/>
      <c r="D20" s="401"/>
      <c r="E20" s="401"/>
      <c r="G20" s="401"/>
      <c r="H20" s="401"/>
      <c r="I20" s="401"/>
      <c r="J20" s="401"/>
      <c r="K20" s="401"/>
    </row>
    <row r="21" spans="1:11" ht="16" thickBot="1">
      <c r="A21" s="674" t="s">
        <v>138</v>
      </c>
      <c r="B21" s="674"/>
      <c r="C21" s="674"/>
      <c r="D21" s="402">
        <v>0.3</v>
      </c>
      <c r="E21" s="401"/>
      <c r="G21" s="674" t="s">
        <v>138</v>
      </c>
      <c r="H21" s="674"/>
      <c r="I21" s="674"/>
      <c r="J21" s="402">
        <v>0.5</v>
      </c>
      <c r="K21" s="401"/>
    </row>
    <row r="22" spans="1:11" ht="16" thickBot="1">
      <c r="A22" s="401"/>
      <c r="B22" s="401"/>
      <c r="C22" s="401"/>
      <c r="D22" s="401"/>
      <c r="E22" s="401"/>
      <c r="G22" s="401"/>
      <c r="H22" s="401"/>
      <c r="I22" s="401"/>
      <c r="J22" s="401"/>
      <c r="K22" s="401"/>
    </row>
    <row r="23" spans="1:11">
      <c r="A23" s="403" t="s">
        <v>121</v>
      </c>
      <c r="B23" s="404">
        <v>51.017079999999893</v>
      </c>
      <c r="C23" s="405"/>
      <c r="D23" s="406"/>
      <c r="E23" s="401"/>
      <c r="G23" s="403" t="s">
        <v>121</v>
      </c>
      <c r="H23" s="404">
        <v>45.575000000000003</v>
      </c>
      <c r="I23" s="405"/>
      <c r="J23" s="406"/>
      <c r="K23" s="401"/>
    </row>
    <row r="24" spans="1:11" ht="16" thickBot="1">
      <c r="A24" s="403" t="s">
        <v>122</v>
      </c>
      <c r="B24" s="407">
        <v>2.300553751803747E-2</v>
      </c>
      <c r="C24" s="405"/>
      <c r="D24" s="406"/>
      <c r="E24" s="401"/>
      <c r="G24" s="403" t="s">
        <v>122</v>
      </c>
      <c r="H24" s="407">
        <v>2.0551497113997112E-2</v>
      </c>
      <c r="I24" s="405"/>
      <c r="J24" s="406"/>
      <c r="K24" s="401"/>
    </row>
    <row r="25" spans="1:11" ht="16" thickBot="1">
      <c r="A25" s="401"/>
      <c r="B25" s="401"/>
      <c r="C25" s="401"/>
      <c r="D25" s="401"/>
      <c r="E25" s="401"/>
      <c r="G25" s="401"/>
      <c r="H25" s="401"/>
      <c r="I25" s="401"/>
      <c r="J25" s="401"/>
      <c r="K25" s="401"/>
    </row>
    <row r="26" spans="1:11" ht="30" thickBot="1">
      <c r="A26" s="408" t="s">
        <v>39</v>
      </c>
      <c r="B26" s="408" t="s">
        <v>38</v>
      </c>
      <c r="C26" s="408" t="s">
        <v>185</v>
      </c>
      <c r="D26" s="408" t="s">
        <v>37</v>
      </c>
      <c r="E26" s="409" t="s">
        <v>123</v>
      </c>
      <c r="G26" s="408" t="s">
        <v>39</v>
      </c>
      <c r="H26" s="408" t="s">
        <v>38</v>
      </c>
      <c r="I26" s="408" t="s">
        <v>185</v>
      </c>
      <c r="J26" s="408" t="s">
        <v>37</v>
      </c>
      <c r="K26" s="409" t="s">
        <v>123</v>
      </c>
    </row>
    <row r="27" spans="1:11">
      <c r="A27" s="410">
        <v>1</v>
      </c>
      <c r="B27" s="411">
        <v>2160</v>
      </c>
      <c r="C27" s="412" t="s">
        <v>124</v>
      </c>
      <c r="D27" s="413" t="s">
        <v>124</v>
      </c>
      <c r="E27" s="414" t="s">
        <v>124</v>
      </c>
      <c r="G27" s="410">
        <v>1</v>
      </c>
      <c r="H27" s="411">
        <v>2160</v>
      </c>
      <c r="I27" s="412" t="s">
        <v>124</v>
      </c>
      <c r="J27" s="413" t="s">
        <v>124</v>
      </c>
      <c r="K27" s="414" t="s">
        <v>124</v>
      </c>
    </row>
    <row r="28" spans="1:11">
      <c r="A28" s="415">
        <v>2</v>
      </c>
      <c r="B28" s="411">
        <v>2186</v>
      </c>
      <c r="C28" s="416">
        <v>2160</v>
      </c>
      <c r="D28" s="417">
        <v>26</v>
      </c>
      <c r="E28" s="418">
        <v>1</v>
      </c>
      <c r="G28" s="415">
        <v>2</v>
      </c>
      <c r="H28" s="411">
        <v>2186</v>
      </c>
      <c r="I28" s="416">
        <v>2160</v>
      </c>
      <c r="J28" s="417">
        <v>26</v>
      </c>
      <c r="K28" s="418">
        <v>1</v>
      </c>
    </row>
    <row r="29" spans="1:11">
      <c r="A29" s="415">
        <v>3</v>
      </c>
      <c r="B29" s="411">
        <v>2246</v>
      </c>
      <c r="C29" s="416">
        <v>2167.8000000000002</v>
      </c>
      <c r="D29" s="417">
        <v>78.199999999999818</v>
      </c>
      <c r="E29" s="418">
        <v>2</v>
      </c>
      <c r="G29" s="415">
        <v>3</v>
      </c>
      <c r="H29" s="411">
        <v>2246</v>
      </c>
      <c r="I29" s="416">
        <v>2173</v>
      </c>
      <c r="J29" s="417">
        <v>73</v>
      </c>
      <c r="K29" s="418">
        <v>2</v>
      </c>
    </row>
    <row r="30" spans="1:11">
      <c r="A30" s="415">
        <v>4</v>
      </c>
      <c r="B30" s="411">
        <v>2251</v>
      </c>
      <c r="C30" s="416">
        <v>2191.2600000000002</v>
      </c>
      <c r="D30" s="417">
        <v>59.739999999999782</v>
      </c>
      <c r="E30" s="418">
        <v>3</v>
      </c>
      <c r="G30" s="415">
        <v>4</v>
      </c>
      <c r="H30" s="411">
        <v>2251</v>
      </c>
      <c r="I30" s="416">
        <v>2209.5</v>
      </c>
      <c r="J30" s="417">
        <v>41.5</v>
      </c>
      <c r="K30" s="418">
        <v>3</v>
      </c>
    </row>
    <row r="31" spans="1:11">
      <c r="A31" s="415">
        <v>5</v>
      </c>
      <c r="B31" s="411">
        <v>2243</v>
      </c>
      <c r="C31" s="416">
        <v>2209.1820000000002</v>
      </c>
      <c r="D31" s="417">
        <v>33.817999999999756</v>
      </c>
      <c r="E31" s="418">
        <v>4</v>
      </c>
      <c r="G31" s="415">
        <v>5</v>
      </c>
      <c r="H31" s="411">
        <v>2243</v>
      </c>
      <c r="I31" s="416">
        <v>2230.25</v>
      </c>
      <c r="J31" s="417">
        <v>12.75</v>
      </c>
      <c r="K31" s="418">
        <v>4</v>
      </c>
    </row>
    <row r="32" spans="1:11">
      <c r="A32" s="415">
        <v>6</v>
      </c>
      <c r="B32" s="411">
        <v>2162</v>
      </c>
      <c r="C32" s="416">
        <v>2219.3274000000001</v>
      </c>
      <c r="D32" s="417">
        <v>-57.327400000000125</v>
      </c>
      <c r="E32" s="418">
        <v>2.7526193188633989</v>
      </c>
      <c r="G32" s="415">
        <v>6</v>
      </c>
      <c r="H32" s="411">
        <v>2162</v>
      </c>
      <c r="I32" s="416">
        <v>2236.625</v>
      </c>
      <c r="J32" s="417">
        <v>-74.625</v>
      </c>
      <c r="K32" s="418">
        <v>1.7251782775644542</v>
      </c>
    </row>
    <row r="33" spans="1:11">
      <c r="A33" s="415">
        <v>7</v>
      </c>
      <c r="B33" s="419"/>
      <c r="C33" s="416">
        <v>2202.1291799999999</v>
      </c>
      <c r="D33" s="417" t="s">
        <v>124</v>
      </c>
      <c r="E33" s="418" t="s">
        <v>124</v>
      </c>
      <c r="G33" s="415">
        <v>7</v>
      </c>
      <c r="H33" s="419"/>
      <c r="I33" s="416">
        <v>2199.3125</v>
      </c>
      <c r="J33" s="417" t="s">
        <v>124</v>
      </c>
      <c r="K33" s="418" t="s">
        <v>124</v>
      </c>
    </row>
    <row r="35" spans="1:11">
      <c r="A35" s="675" t="s">
        <v>137</v>
      </c>
      <c r="B35" s="675"/>
      <c r="C35" s="675"/>
      <c r="D35" s="675"/>
      <c r="E35" s="401"/>
      <c r="G35" s="675" t="s">
        <v>137</v>
      </c>
      <c r="H35" s="675"/>
      <c r="I35" s="675"/>
      <c r="J35" s="675"/>
      <c r="K35" s="401"/>
    </row>
    <row r="36" spans="1:11" ht="16" thickBot="1">
      <c r="A36" s="401"/>
      <c r="B36" s="401"/>
      <c r="C36" s="401"/>
      <c r="D36" s="401"/>
      <c r="E36" s="401"/>
      <c r="G36" s="401"/>
      <c r="H36" s="401"/>
      <c r="I36" s="401"/>
      <c r="J36" s="401"/>
      <c r="K36" s="401"/>
    </row>
    <row r="37" spans="1:11" ht="16" thickBot="1">
      <c r="A37" s="674" t="s">
        <v>138</v>
      </c>
      <c r="B37" s="674"/>
      <c r="C37" s="674"/>
      <c r="D37" s="402">
        <v>0</v>
      </c>
      <c r="E37" s="401"/>
      <c r="G37" s="674" t="s">
        <v>138</v>
      </c>
      <c r="H37" s="674"/>
      <c r="I37" s="674"/>
      <c r="J37" s="402">
        <v>1</v>
      </c>
      <c r="K37" s="401"/>
    </row>
    <row r="38" spans="1:11" ht="16" thickBot="1">
      <c r="A38" s="401"/>
      <c r="B38" s="401"/>
      <c r="C38" s="401"/>
      <c r="D38" s="401"/>
      <c r="E38" s="401"/>
      <c r="G38" s="401"/>
      <c r="H38" s="401"/>
      <c r="I38" s="401"/>
      <c r="J38" s="401"/>
      <c r="K38" s="401"/>
    </row>
    <row r="39" spans="1:11">
      <c r="A39" s="403" t="s">
        <v>121</v>
      </c>
      <c r="B39" s="404">
        <v>57.6</v>
      </c>
      <c r="C39" s="405"/>
      <c r="D39" s="406"/>
      <c r="E39" s="401"/>
      <c r="G39" s="403" t="s">
        <v>121</v>
      </c>
      <c r="H39" s="404">
        <v>36</v>
      </c>
      <c r="I39" s="405"/>
      <c r="J39" s="406"/>
      <c r="K39" s="401"/>
    </row>
    <row r="40" spans="1:11" ht="16" thickBot="1">
      <c r="A40" s="403" t="s">
        <v>122</v>
      </c>
      <c r="B40" s="407">
        <v>2.5974025974025976E-2</v>
      </c>
      <c r="C40" s="405"/>
      <c r="D40" s="406"/>
      <c r="E40" s="401"/>
      <c r="G40" s="403" t="s">
        <v>122</v>
      </c>
      <c r="H40" s="407">
        <v>1.6233766233766232E-2</v>
      </c>
      <c r="I40" s="405"/>
      <c r="J40" s="406"/>
      <c r="K40" s="401"/>
    </row>
    <row r="41" spans="1:11" ht="16" thickBot="1">
      <c r="A41" s="401"/>
      <c r="B41" s="401"/>
      <c r="C41" s="401"/>
      <c r="D41" s="401"/>
      <c r="E41" s="401"/>
      <c r="G41" s="401"/>
      <c r="H41" s="401"/>
      <c r="I41" s="401"/>
      <c r="J41" s="401"/>
      <c r="K41" s="401"/>
    </row>
    <row r="42" spans="1:11" ht="30" thickBot="1">
      <c r="A42" s="408" t="s">
        <v>39</v>
      </c>
      <c r="B42" s="408" t="s">
        <v>38</v>
      </c>
      <c r="C42" s="408" t="s">
        <v>185</v>
      </c>
      <c r="D42" s="408" t="s">
        <v>37</v>
      </c>
      <c r="E42" s="409" t="s">
        <v>123</v>
      </c>
      <c r="G42" s="408" t="s">
        <v>39</v>
      </c>
      <c r="H42" s="408" t="s">
        <v>38</v>
      </c>
      <c r="I42" s="408" t="s">
        <v>185</v>
      </c>
      <c r="J42" s="408" t="s">
        <v>37</v>
      </c>
      <c r="K42" s="409" t="s">
        <v>123</v>
      </c>
    </row>
    <row r="43" spans="1:11">
      <c r="A43" s="410">
        <v>1</v>
      </c>
      <c r="B43" s="411">
        <v>2160</v>
      </c>
      <c r="C43" s="412" t="s">
        <v>124</v>
      </c>
      <c r="D43" s="413" t="s">
        <v>124</v>
      </c>
      <c r="E43" s="414" t="s">
        <v>124</v>
      </c>
      <c r="G43" s="410">
        <v>1</v>
      </c>
      <c r="H43" s="411">
        <v>2160</v>
      </c>
      <c r="I43" s="412" t="s">
        <v>124</v>
      </c>
      <c r="J43" s="413" t="s">
        <v>124</v>
      </c>
      <c r="K43" s="414" t="s">
        <v>124</v>
      </c>
    </row>
    <row r="44" spans="1:11">
      <c r="A44" s="415">
        <v>2</v>
      </c>
      <c r="B44" s="411">
        <v>2186</v>
      </c>
      <c r="C44" s="416">
        <v>2160</v>
      </c>
      <c r="D44" s="417">
        <v>26</v>
      </c>
      <c r="E44" s="418">
        <v>1</v>
      </c>
      <c r="G44" s="415">
        <v>2</v>
      </c>
      <c r="H44" s="411">
        <v>2186</v>
      </c>
      <c r="I44" s="416">
        <v>2160</v>
      </c>
      <c r="J44" s="417">
        <v>26</v>
      </c>
      <c r="K44" s="418">
        <v>1</v>
      </c>
    </row>
    <row r="45" spans="1:11">
      <c r="A45" s="415">
        <v>3</v>
      </c>
      <c r="B45" s="411">
        <v>2246</v>
      </c>
      <c r="C45" s="416">
        <v>2160</v>
      </c>
      <c r="D45" s="417">
        <v>86</v>
      </c>
      <c r="E45" s="418">
        <v>2</v>
      </c>
      <c r="G45" s="415">
        <v>3</v>
      </c>
      <c r="H45" s="411">
        <v>2246</v>
      </c>
      <c r="I45" s="416">
        <v>2186</v>
      </c>
      <c r="J45" s="417">
        <v>60</v>
      </c>
      <c r="K45" s="418">
        <v>2</v>
      </c>
    </row>
    <row r="46" spans="1:11">
      <c r="A46" s="415">
        <v>4</v>
      </c>
      <c r="B46" s="411">
        <v>2251</v>
      </c>
      <c r="C46" s="416">
        <v>2160</v>
      </c>
      <c r="D46" s="417">
        <v>91</v>
      </c>
      <c r="E46" s="418">
        <v>3</v>
      </c>
      <c r="G46" s="415">
        <v>4</v>
      </c>
      <c r="H46" s="411">
        <v>2251</v>
      </c>
      <c r="I46" s="416">
        <v>2246</v>
      </c>
      <c r="J46" s="417">
        <v>5</v>
      </c>
      <c r="K46" s="418">
        <v>3</v>
      </c>
    </row>
    <row r="47" spans="1:11">
      <c r="A47" s="415">
        <v>5</v>
      </c>
      <c r="B47" s="411">
        <v>2243</v>
      </c>
      <c r="C47" s="416">
        <v>2160</v>
      </c>
      <c r="D47" s="417">
        <v>83</v>
      </c>
      <c r="E47" s="418">
        <v>4</v>
      </c>
      <c r="G47" s="415">
        <v>5</v>
      </c>
      <c r="H47" s="411">
        <v>2243</v>
      </c>
      <c r="I47" s="416">
        <v>2251</v>
      </c>
      <c r="J47" s="417">
        <v>-8</v>
      </c>
      <c r="K47" s="418">
        <v>3.3535353535353534</v>
      </c>
    </row>
    <row r="48" spans="1:11">
      <c r="A48" s="415">
        <v>6</v>
      </c>
      <c r="B48" s="411">
        <v>2162</v>
      </c>
      <c r="C48" s="416">
        <v>2160</v>
      </c>
      <c r="D48" s="417">
        <v>2</v>
      </c>
      <c r="E48" s="418">
        <v>5</v>
      </c>
      <c r="G48" s="415">
        <v>6</v>
      </c>
      <c r="H48" s="411">
        <v>2162</v>
      </c>
      <c r="I48" s="416">
        <v>2243</v>
      </c>
      <c r="J48" s="417">
        <v>-81</v>
      </c>
      <c r="K48" s="418">
        <v>5.5555555555555552E-2</v>
      </c>
    </row>
    <row r="49" spans="1:11">
      <c r="A49" s="415">
        <v>7</v>
      </c>
      <c r="B49" s="419"/>
      <c r="C49" s="416">
        <v>2160</v>
      </c>
      <c r="D49" s="417" t="s">
        <v>124</v>
      </c>
      <c r="E49" s="418" t="s">
        <v>124</v>
      </c>
      <c r="G49" s="415">
        <v>7</v>
      </c>
      <c r="H49" s="419"/>
      <c r="I49" s="416">
        <v>2162</v>
      </c>
      <c r="J49" s="417" t="s">
        <v>124</v>
      </c>
      <c r="K49" s="418" t="s">
        <v>124</v>
      </c>
    </row>
  </sheetData>
  <mergeCells count="8">
    <mergeCell ref="A37:C37"/>
    <mergeCell ref="G37:I37"/>
    <mergeCell ref="A19:D19"/>
    <mergeCell ref="G19:J19"/>
    <mergeCell ref="A21:C21"/>
    <mergeCell ref="G21:I21"/>
    <mergeCell ref="A35:D35"/>
    <mergeCell ref="G35:J3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52"/>
  <sheetViews>
    <sheetView workbookViewId="0">
      <selection activeCell="K27" sqref="K27"/>
    </sheetView>
  </sheetViews>
  <sheetFormatPr baseColWidth="10" defaultColWidth="8.83203125" defaultRowHeight="15"/>
  <cols>
    <col min="1" max="1" width="13.1640625" customWidth="1"/>
    <col min="2" max="2" width="11.6640625" bestFit="1" customWidth="1"/>
    <col min="3" max="3" width="9.1640625" style="59"/>
    <col min="13" max="13" width="15.5" bestFit="1" customWidth="1"/>
    <col min="257" max="257" width="13.1640625" customWidth="1"/>
    <col min="258" max="258" width="11.6640625" bestFit="1" customWidth="1"/>
    <col min="513" max="513" width="13.1640625" customWidth="1"/>
    <col min="514" max="514" width="11.6640625" bestFit="1" customWidth="1"/>
    <col min="769" max="769" width="13.1640625" customWidth="1"/>
    <col min="770" max="770" width="11.6640625" bestFit="1" customWidth="1"/>
    <col min="1025" max="1025" width="13.1640625" customWidth="1"/>
    <col min="1026" max="1026" width="11.6640625" bestFit="1" customWidth="1"/>
    <col min="1281" max="1281" width="13.1640625" customWidth="1"/>
    <col min="1282" max="1282" width="11.6640625" bestFit="1" customWidth="1"/>
    <col min="1537" max="1537" width="13.1640625" customWidth="1"/>
    <col min="1538" max="1538" width="11.6640625" bestFit="1" customWidth="1"/>
    <col min="1793" max="1793" width="13.1640625" customWidth="1"/>
    <col min="1794" max="1794" width="11.6640625" bestFit="1" customWidth="1"/>
    <col min="2049" max="2049" width="13.1640625" customWidth="1"/>
    <col min="2050" max="2050" width="11.6640625" bestFit="1" customWidth="1"/>
    <col min="2305" max="2305" width="13.1640625" customWidth="1"/>
    <col min="2306" max="2306" width="11.6640625" bestFit="1" customWidth="1"/>
    <col min="2561" max="2561" width="13.1640625" customWidth="1"/>
    <col min="2562" max="2562" width="11.6640625" bestFit="1" customWidth="1"/>
    <col min="2817" max="2817" width="13.1640625" customWidth="1"/>
    <col min="2818" max="2818" width="11.6640625" bestFit="1" customWidth="1"/>
    <col min="3073" max="3073" width="13.1640625" customWidth="1"/>
    <col min="3074" max="3074" width="11.6640625" bestFit="1" customWidth="1"/>
    <col min="3329" max="3329" width="13.1640625" customWidth="1"/>
    <col min="3330" max="3330" width="11.6640625" bestFit="1" customWidth="1"/>
    <col min="3585" max="3585" width="13.1640625" customWidth="1"/>
    <col min="3586" max="3586" width="11.6640625" bestFit="1" customWidth="1"/>
    <col min="3841" max="3841" width="13.1640625" customWidth="1"/>
    <col min="3842" max="3842" width="11.6640625" bestFit="1" customWidth="1"/>
    <col min="4097" max="4097" width="13.1640625" customWidth="1"/>
    <col min="4098" max="4098" width="11.6640625" bestFit="1" customWidth="1"/>
    <col min="4353" max="4353" width="13.1640625" customWidth="1"/>
    <col min="4354" max="4354" width="11.6640625" bestFit="1" customWidth="1"/>
    <col min="4609" max="4609" width="13.1640625" customWidth="1"/>
    <col min="4610" max="4610" width="11.6640625" bestFit="1" customWidth="1"/>
    <col min="4865" max="4865" width="13.1640625" customWidth="1"/>
    <col min="4866" max="4866" width="11.6640625" bestFit="1" customWidth="1"/>
    <col min="5121" max="5121" width="13.1640625" customWidth="1"/>
    <col min="5122" max="5122" width="11.6640625" bestFit="1" customWidth="1"/>
    <col min="5377" max="5377" width="13.1640625" customWidth="1"/>
    <col min="5378" max="5378" width="11.6640625" bestFit="1" customWidth="1"/>
    <col min="5633" max="5633" width="13.1640625" customWidth="1"/>
    <col min="5634" max="5634" width="11.6640625" bestFit="1" customWidth="1"/>
    <col min="5889" max="5889" width="13.1640625" customWidth="1"/>
    <col min="5890" max="5890" width="11.6640625" bestFit="1" customWidth="1"/>
    <col min="6145" max="6145" width="13.1640625" customWidth="1"/>
    <col min="6146" max="6146" width="11.6640625" bestFit="1" customWidth="1"/>
    <col min="6401" max="6401" width="13.1640625" customWidth="1"/>
    <col min="6402" max="6402" width="11.6640625" bestFit="1" customWidth="1"/>
    <col min="6657" max="6657" width="13.1640625" customWidth="1"/>
    <col min="6658" max="6658" width="11.6640625" bestFit="1" customWidth="1"/>
    <col min="6913" max="6913" width="13.1640625" customWidth="1"/>
    <col min="6914" max="6914" width="11.6640625" bestFit="1" customWidth="1"/>
    <col min="7169" max="7169" width="13.1640625" customWidth="1"/>
    <col min="7170" max="7170" width="11.6640625" bestFit="1" customWidth="1"/>
    <col min="7425" max="7425" width="13.1640625" customWidth="1"/>
    <col min="7426" max="7426" width="11.6640625" bestFit="1" customWidth="1"/>
    <col min="7681" max="7681" width="13.1640625" customWidth="1"/>
    <col min="7682" max="7682" width="11.6640625" bestFit="1" customWidth="1"/>
    <col min="7937" max="7937" width="13.1640625" customWidth="1"/>
    <col min="7938" max="7938" width="11.6640625" bestFit="1" customWidth="1"/>
    <col min="8193" max="8193" width="13.1640625" customWidth="1"/>
    <col min="8194" max="8194" width="11.6640625" bestFit="1" customWidth="1"/>
    <col min="8449" max="8449" width="13.1640625" customWidth="1"/>
    <col min="8450" max="8450" width="11.6640625" bestFit="1" customWidth="1"/>
    <col min="8705" max="8705" width="13.1640625" customWidth="1"/>
    <col min="8706" max="8706" width="11.6640625" bestFit="1" customWidth="1"/>
    <col min="8961" max="8961" width="13.1640625" customWidth="1"/>
    <col min="8962" max="8962" width="11.6640625" bestFit="1" customWidth="1"/>
    <col min="9217" max="9217" width="13.1640625" customWidth="1"/>
    <col min="9218" max="9218" width="11.6640625" bestFit="1" customWidth="1"/>
    <col min="9473" max="9473" width="13.1640625" customWidth="1"/>
    <col min="9474" max="9474" width="11.6640625" bestFit="1" customWidth="1"/>
    <col min="9729" max="9729" width="13.1640625" customWidth="1"/>
    <col min="9730" max="9730" width="11.6640625" bestFit="1" customWidth="1"/>
    <col min="9985" max="9985" width="13.1640625" customWidth="1"/>
    <col min="9986" max="9986" width="11.6640625" bestFit="1" customWidth="1"/>
    <col min="10241" max="10241" width="13.1640625" customWidth="1"/>
    <col min="10242" max="10242" width="11.6640625" bestFit="1" customWidth="1"/>
    <col min="10497" max="10497" width="13.1640625" customWidth="1"/>
    <col min="10498" max="10498" width="11.6640625" bestFit="1" customWidth="1"/>
    <col min="10753" max="10753" width="13.1640625" customWidth="1"/>
    <col min="10754" max="10754" width="11.6640625" bestFit="1" customWidth="1"/>
    <col min="11009" max="11009" width="13.1640625" customWidth="1"/>
    <col min="11010" max="11010" width="11.6640625" bestFit="1" customWidth="1"/>
    <col min="11265" max="11265" width="13.1640625" customWidth="1"/>
    <col min="11266" max="11266" width="11.6640625" bestFit="1" customWidth="1"/>
    <col min="11521" max="11521" width="13.1640625" customWidth="1"/>
    <col min="11522" max="11522" width="11.6640625" bestFit="1" customWidth="1"/>
    <col min="11777" max="11777" width="13.1640625" customWidth="1"/>
    <col min="11778" max="11778" width="11.6640625" bestFit="1" customWidth="1"/>
    <col min="12033" max="12033" width="13.1640625" customWidth="1"/>
    <col min="12034" max="12034" width="11.6640625" bestFit="1" customWidth="1"/>
    <col min="12289" max="12289" width="13.1640625" customWidth="1"/>
    <col min="12290" max="12290" width="11.6640625" bestFit="1" customWidth="1"/>
    <col min="12545" max="12545" width="13.1640625" customWidth="1"/>
    <col min="12546" max="12546" width="11.6640625" bestFit="1" customWidth="1"/>
    <col min="12801" max="12801" width="13.1640625" customWidth="1"/>
    <col min="12802" max="12802" width="11.6640625" bestFit="1" customWidth="1"/>
    <col min="13057" max="13057" width="13.1640625" customWidth="1"/>
    <col min="13058" max="13058" width="11.6640625" bestFit="1" customWidth="1"/>
    <col min="13313" max="13313" width="13.1640625" customWidth="1"/>
    <col min="13314" max="13314" width="11.6640625" bestFit="1" customWidth="1"/>
    <col min="13569" max="13569" width="13.1640625" customWidth="1"/>
    <col min="13570" max="13570" width="11.6640625" bestFit="1" customWidth="1"/>
    <col min="13825" max="13825" width="13.1640625" customWidth="1"/>
    <col min="13826" max="13826" width="11.6640625" bestFit="1" customWidth="1"/>
    <col min="14081" max="14081" width="13.1640625" customWidth="1"/>
    <col min="14082" max="14082" width="11.6640625" bestFit="1" customWidth="1"/>
    <col min="14337" max="14337" width="13.1640625" customWidth="1"/>
    <col min="14338" max="14338" width="11.6640625" bestFit="1" customWidth="1"/>
    <col min="14593" max="14593" width="13.1640625" customWidth="1"/>
    <col min="14594" max="14594" width="11.6640625" bestFit="1" customWidth="1"/>
    <col min="14849" max="14849" width="13.1640625" customWidth="1"/>
    <col min="14850" max="14850" width="11.6640625" bestFit="1" customWidth="1"/>
    <col min="15105" max="15105" width="13.1640625" customWidth="1"/>
    <col min="15106" max="15106" width="11.6640625" bestFit="1" customWidth="1"/>
    <col min="15361" max="15361" width="13.1640625" customWidth="1"/>
    <col min="15362" max="15362" width="11.6640625" bestFit="1" customWidth="1"/>
    <col min="15617" max="15617" width="13.1640625" customWidth="1"/>
    <col min="15618" max="15618" width="11.6640625" bestFit="1" customWidth="1"/>
    <col min="15873" max="15873" width="13.1640625" customWidth="1"/>
    <col min="15874" max="15874" width="11.6640625" bestFit="1" customWidth="1"/>
    <col min="16129" max="16129" width="13.1640625" customWidth="1"/>
    <col min="16130" max="16130" width="11.6640625" bestFit="1" customWidth="1"/>
  </cols>
  <sheetData>
    <row r="1" spans="1:13">
      <c r="A1" s="1" t="s">
        <v>86</v>
      </c>
      <c r="I1" s="6" t="s">
        <v>118</v>
      </c>
    </row>
    <row r="2" spans="1:13" ht="16" thickBot="1">
      <c r="A2" s="1"/>
      <c r="C2" s="520"/>
      <c r="D2" s="521"/>
      <c r="E2" s="521"/>
      <c r="I2" s="201" t="s">
        <v>136</v>
      </c>
    </row>
    <row r="3" spans="1:13">
      <c r="C3" s="75" t="s">
        <v>27</v>
      </c>
      <c r="D3" s="75" t="s">
        <v>27</v>
      </c>
      <c r="E3" s="75" t="s">
        <v>27</v>
      </c>
      <c r="I3" s="657" t="s">
        <v>137</v>
      </c>
      <c r="J3" s="658"/>
      <c r="K3" s="658"/>
      <c r="L3" s="658"/>
      <c r="M3" s="175"/>
    </row>
    <row r="4" spans="1:13" ht="16" thickBot="1">
      <c r="C4">
        <v>0.3</v>
      </c>
      <c r="D4">
        <v>0.5</v>
      </c>
      <c r="E4" s="3">
        <v>1</v>
      </c>
      <c r="I4" s="176"/>
      <c r="J4" s="177"/>
      <c r="K4" s="177"/>
      <c r="L4" s="177"/>
      <c r="M4" s="178"/>
    </row>
    <row r="5" spans="1:13" ht="16" thickBot="1">
      <c r="A5" s="1" t="s">
        <v>0</v>
      </c>
      <c r="B5" s="1" t="s">
        <v>1</v>
      </c>
      <c r="C5" s="60" t="s">
        <v>185</v>
      </c>
      <c r="D5" s="60" t="s">
        <v>185</v>
      </c>
      <c r="E5" s="60" t="s">
        <v>185</v>
      </c>
      <c r="I5" s="659" t="s">
        <v>138</v>
      </c>
      <c r="J5" s="660"/>
      <c r="K5" s="660"/>
      <c r="L5" s="161">
        <v>0.3</v>
      </c>
      <c r="M5" s="178"/>
    </row>
    <row r="6" spans="1:13" ht="16" thickBot="1">
      <c r="A6" s="5" t="s">
        <v>24</v>
      </c>
      <c r="B6" s="5">
        <v>1182</v>
      </c>
      <c r="D6" s="59"/>
      <c r="E6" s="59"/>
      <c r="I6" s="176"/>
      <c r="J6" s="177"/>
      <c r="K6" s="177"/>
      <c r="L6" s="177"/>
      <c r="M6" s="178"/>
    </row>
    <row r="7" spans="1:13">
      <c r="A7" s="5" t="s">
        <v>14</v>
      </c>
      <c r="B7" s="5">
        <v>1129</v>
      </c>
      <c r="C7" s="59">
        <f>B6</f>
        <v>1182</v>
      </c>
      <c r="D7" s="59">
        <f>B6</f>
        <v>1182</v>
      </c>
      <c r="E7" s="59">
        <f>B6</f>
        <v>1182</v>
      </c>
      <c r="I7" s="179" t="s">
        <v>121</v>
      </c>
      <c r="J7" s="162">
        <v>133.49225999999999</v>
      </c>
      <c r="K7" s="180"/>
      <c r="L7" s="181"/>
      <c r="M7" s="178"/>
    </row>
    <row r="8" spans="1:13" ht="16" thickBot="1">
      <c r="A8" s="5" t="s">
        <v>15</v>
      </c>
      <c r="B8" s="5">
        <v>1090</v>
      </c>
      <c r="C8" s="59">
        <f>C7+C4*(B7-C7)</f>
        <v>1166.0999999999999</v>
      </c>
      <c r="D8" s="59">
        <f>D7+D4*(B7-D7)</f>
        <v>1155.5</v>
      </c>
      <c r="E8" s="59">
        <f>E7+E4*(B7-E7)</f>
        <v>1129</v>
      </c>
      <c r="I8" s="179" t="s">
        <v>122</v>
      </c>
      <c r="J8" s="163">
        <v>0.133786590499098</v>
      </c>
      <c r="K8" s="180"/>
      <c r="L8" s="181"/>
      <c r="M8" s="178"/>
    </row>
    <row r="9" spans="1:13" ht="16" thickBot="1">
      <c r="A9" s="5" t="s">
        <v>16</v>
      </c>
      <c r="B9" s="5">
        <v>1070</v>
      </c>
      <c r="C9" s="59">
        <f>C8+C4*(B8-C8)</f>
        <v>1143.27</v>
      </c>
      <c r="D9" s="59">
        <f>D8+D4*(B8-D8)</f>
        <v>1122.75</v>
      </c>
      <c r="E9" s="59">
        <f>E8+E4*(B8-E8)</f>
        <v>1090</v>
      </c>
      <c r="I9" s="176"/>
      <c r="J9" s="177"/>
      <c r="K9" s="177"/>
      <c r="L9" s="177"/>
      <c r="M9" s="178"/>
    </row>
    <row r="10" spans="1:13" ht="15.75" customHeight="1" thickBot="1">
      <c r="A10" s="5" t="s">
        <v>4</v>
      </c>
      <c r="B10" s="5">
        <v>863</v>
      </c>
      <c r="C10" s="59">
        <f>C9+C4*(B9-C9)</f>
        <v>1121.289</v>
      </c>
      <c r="D10" s="59">
        <f>D9+D4*(B9-D9)</f>
        <v>1096.375</v>
      </c>
      <c r="E10" s="59">
        <f>E9+E4*(B9-E9)</f>
        <v>1070</v>
      </c>
      <c r="I10" s="164" t="s">
        <v>39</v>
      </c>
      <c r="J10" s="164" t="s">
        <v>38</v>
      </c>
      <c r="K10" s="164" t="s">
        <v>185</v>
      </c>
      <c r="L10" s="164" t="s">
        <v>37</v>
      </c>
      <c r="M10" s="165" t="s">
        <v>123</v>
      </c>
    </row>
    <row r="11" spans="1:13">
      <c r="A11" s="5" t="s">
        <v>5</v>
      </c>
      <c r="B11" s="5">
        <v>837</v>
      </c>
      <c r="C11" s="59">
        <f>C10+C4*(B10-C10)</f>
        <v>1043.8023000000001</v>
      </c>
      <c r="D11" s="59">
        <f>D10+D4*(B10-D10)</f>
        <v>979.6875</v>
      </c>
      <c r="E11" s="59">
        <f>E10+E4*(B10-E10)</f>
        <v>863</v>
      </c>
      <c r="I11" s="166">
        <v>1</v>
      </c>
      <c r="J11" s="200">
        <v>1182</v>
      </c>
      <c r="K11" s="168" t="s">
        <v>124</v>
      </c>
      <c r="L11" s="194" t="s">
        <v>124</v>
      </c>
      <c r="M11" s="170" t="s">
        <v>124</v>
      </c>
    </row>
    <row r="12" spans="1:13">
      <c r="A12" s="77" t="s">
        <v>6</v>
      </c>
      <c r="B12" s="61"/>
      <c r="C12" s="519">
        <f>C11+C4*(B11-C11)</f>
        <v>981.76161000000002</v>
      </c>
      <c r="D12" s="519">
        <f>D11+D4*(B11-D11)</f>
        <v>908.34375</v>
      </c>
      <c r="E12" s="519">
        <f>E11+E4*(B11-E11)</f>
        <v>837</v>
      </c>
      <c r="I12" s="171">
        <v>2</v>
      </c>
      <c r="J12" s="167">
        <v>1129</v>
      </c>
      <c r="K12" s="172">
        <v>1182</v>
      </c>
      <c r="L12" s="195">
        <v>-53</v>
      </c>
      <c r="M12" s="174">
        <v>-1</v>
      </c>
    </row>
    <row r="13" spans="1:13">
      <c r="I13" s="171">
        <v>3</v>
      </c>
      <c r="J13" s="167">
        <v>1090</v>
      </c>
      <c r="K13" s="172">
        <v>1166.0999999999999</v>
      </c>
      <c r="L13" s="195">
        <v>-76.099999999999909</v>
      </c>
      <c r="M13" s="174">
        <v>-2</v>
      </c>
    </row>
    <row r="14" spans="1:13">
      <c r="A14" s="522" t="s">
        <v>11</v>
      </c>
      <c r="B14" s="76">
        <f>C12</f>
        <v>981.76161000000002</v>
      </c>
      <c r="I14" s="171">
        <v>4</v>
      </c>
      <c r="J14" s="167">
        <v>1070</v>
      </c>
      <c r="K14" s="172">
        <v>1143.27</v>
      </c>
      <c r="L14" s="195">
        <v>-73.269999999999982</v>
      </c>
      <c r="M14" s="174">
        <v>-3</v>
      </c>
    </row>
    <row r="15" spans="1:13">
      <c r="A15" s="511"/>
      <c r="B15" s="292"/>
      <c r="I15" s="171">
        <v>5</v>
      </c>
      <c r="J15" s="167">
        <v>863</v>
      </c>
      <c r="K15" s="172">
        <v>1121.289</v>
      </c>
      <c r="L15" s="195">
        <v>-258.28899999999999</v>
      </c>
      <c r="M15" s="174">
        <v>-4</v>
      </c>
    </row>
    <row r="16" spans="1:13">
      <c r="A16" s="511" t="s">
        <v>12</v>
      </c>
      <c r="B16" s="76">
        <f>D12</f>
        <v>908.34375</v>
      </c>
      <c r="I16" s="171">
        <v>6</v>
      </c>
      <c r="J16" s="167">
        <v>837</v>
      </c>
      <c r="K16" s="172">
        <v>1043.8023000000001</v>
      </c>
      <c r="L16" s="195">
        <v>-206.80230000000006</v>
      </c>
      <c r="M16" s="174">
        <v>-5</v>
      </c>
    </row>
    <row r="17" spans="1:13" ht="16" thickBot="1">
      <c r="A17" s="511"/>
      <c r="B17" s="292"/>
      <c r="I17" s="182">
        <v>7</v>
      </c>
      <c r="J17" s="183"/>
      <c r="K17" s="184">
        <v>981.76161000000002</v>
      </c>
      <c r="L17" s="198" t="s">
        <v>124</v>
      </c>
      <c r="M17" s="186" t="s">
        <v>124</v>
      </c>
    </row>
    <row r="18" spans="1:13">
      <c r="A18" s="511" t="s">
        <v>13</v>
      </c>
      <c r="B18" s="76">
        <f>E12</f>
        <v>837</v>
      </c>
    </row>
    <row r="19" spans="1:13" ht="16" thickBot="1">
      <c r="A19" s="511"/>
      <c r="B19" s="292"/>
      <c r="C19" s="62"/>
      <c r="D19" s="11"/>
      <c r="E19" s="11"/>
      <c r="F19" s="11"/>
      <c r="G19" s="11"/>
      <c r="H19" s="11"/>
      <c r="I19" s="201" t="s">
        <v>139</v>
      </c>
      <c r="J19" s="11"/>
      <c r="K19" s="11"/>
      <c r="L19" s="11"/>
    </row>
    <row r="20" spans="1:13">
      <c r="A20" s="511" t="s">
        <v>19</v>
      </c>
      <c r="B20" s="235" t="s">
        <v>307</v>
      </c>
      <c r="C20" s="80"/>
      <c r="D20" s="80"/>
      <c r="E20" s="63"/>
      <c r="F20" s="11"/>
      <c r="G20" s="147"/>
      <c r="H20" s="147"/>
      <c r="I20" s="657" t="s">
        <v>137</v>
      </c>
      <c r="J20" s="658"/>
      <c r="K20" s="658"/>
      <c r="L20" s="658"/>
      <c r="M20" s="175"/>
    </row>
    <row r="21" spans="1:13" ht="16" thickBot="1">
      <c r="A21" s="63"/>
      <c r="B21" s="63"/>
      <c r="C21" s="63"/>
      <c r="D21" s="63"/>
      <c r="E21" s="63"/>
      <c r="F21" s="11"/>
      <c r="G21" s="63"/>
      <c r="H21" s="63"/>
      <c r="I21" s="176"/>
      <c r="J21" s="177"/>
      <c r="K21" s="177"/>
      <c r="L21" s="177"/>
      <c r="M21" s="178"/>
    </row>
    <row r="22" spans="1:13" ht="16" thickBot="1">
      <c r="A22" s="676"/>
      <c r="B22" s="676"/>
      <c r="C22" s="676"/>
      <c r="D22" s="64"/>
      <c r="E22" s="63"/>
      <c r="F22" s="11"/>
      <c r="G22" s="146"/>
      <c r="H22" s="146"/>
      <c r="I22" s="659" t="s">
        <v>138</v>
      </c>
      <c r="J22" s="660"/>
      <c r="K22" s="660"/>
      <c r="L22" s="161">
        <v>0.5</v>
      </c>
      <c r="M22" s="178"/>
    </row>
    <row r="23" spans="1:13" ht="16" thickBot="1">
      <c r="A23" s="63"/>
      <c r="B23" s="63"/>
      <c r="C23" s="63"/>
      <c r="D23" s="63"/>
      <c r="E23" s="63"/>
      <c r="F23" s="11"/>
      <c r="G23" s="63"/>
      <c r="H23" s="63"/>
      <c r="I23" s="176"/>
      <c r="J23" s="177"/>
      <c r="K23" s="177"/>
      <c r="L23" s="177"/>
      <c r="M23" s="178"/>
    </row>
    <row r="24" spans="1:13">
      <c r="A24" s="65"/>
      <c r="B24" s="66"/>
      <c r="C24" s="67"/>
      <c r="D24" s="68"/>
      <c r="E24" s="63"/>
      <c r="F24" s="11"/>
      <c r="G24" s="65"/>
      <c r="H24" s="66"/>
      <c r="I24" s="179" t="s">
        <v>121</v>
      </c>
      <c r="J24" s="162">
        <v>109.46250000000001</v>
      </c>
      <c r="K24" s="180"/>
      <c r="L24" s="181"/>
      <c r="M24" s="178"/>
    </row>
    <row r="25" spans="1:13" ht="16" thickBot="1">
      <c r="A25" s="65"/>
      <c r="B25" s="69"/>
      <c r="C25" s="67"/>
      <c r="D25" s="68"/>
      <c r="E25" s="63"/>
      <c r="F25" s="11"/>
      <c r="G25" s="65"/>
      <c r="H25" s="69"/>
      <c r="I25" s="179" t="s">
        <v>122</v>
      </c>
      <c r="J25" s="163">
        <v>0.10970384846662658</v>
      </c>
      <c r="K25" s="180"/>
      <c r="L25" s="181"/>
      <c r="M25" s="178"/>
    </row>
    <row r="26" spans="1:13" ht="16" thickBot="1">
      <c r="A26" s="63"/>
      <c r="B26" s="63"/>
      <c r="C26" s="63"/>
      <c r="D26" s="63"/>
      <c r="E26" s="63"/>
      <c r="F26" s="11"/>
      <c r="G26" s="63"/>
      <c r="H26" s="63"/>
      <c r="I26" s="176"/>
      <c r="J26" s="177"/>
      <c r="K26" s="177"/>
      <c r="L26" s="177"/>
      <c r="M26" s="178"/>
    </row>
    <row r="27" spans="1:13" ht="16" thickBot="1">
      <c r="A27" s="70"/>
      <c r="B27" s="70"/>
      <c r="C27" s="70"/>
      <c r="D27" s="70"/>
      <c r="E27" s="71"/>
      <c r="F27" s="11"/>
      <c r="G27" s="70"/>
      <c r="H27" s="70"/>
      <c r="I27" s="164" t="s">
        <v>39</v>
      </c>
      <c r="J27" s="164" t="s">
        <v>38</v>
      </c>
      <c r="K27" s="164" t="s">
        <v>185</v>
      </c>
      <c r="L27" s="164" t="s">
        <v>37</v>
      </c>
      <c r="M27" s="165" t="s">
        <v>123</v>
      </c>
    </row>
    <row r="28" spans="1:13">
      <c r="A28" s="70"/>
      <c r="B28" s="72"/>
      <c r="C28" s="73"/>
      <c r="D28" s="73"/>
      <c r="E28" s="73"/>
      <c r="F28" s="11"/>
      <c r="G28" s="70"/>
      <c r="H28" s="72"/>
      <c r="I28" s="166">
        <v>1</v>
      </c>
      <c r="J28" s="200">
        <v>1182</v>
      </c>
      <c r="K28" s="168" t="s">
        <v>124</v>
      </c>
      <c r="L28" s="194" t="s">
        <v>124</v>
      </c>
      <c r="M28" s="170" t="s">
        <v>124</v>
      </c>
    </row>
    <row r="29" spans="1:13">
      <c r="A29" s="70"/>
      <c r="B29" s="72"/>
      <c r="C29" s="73"/>
      <c r="D29" s="73"/>
      <c r="E29" s="73"/>
      <c r="F29" s="11"/>
      <c r="G29" s="70"/>
      <c r="H29" s="72"/>
      <c r="I29" s="171">
        <v>2</v>
      </c>
      <c r="J29" s="167">
        <v>1129</v>
      </c>
      <c r="K29" s="172">
        <v>1182</v>
      </c>
      <c r="L29" s="195">
        <v>-53</v>
      </c>
      <c r="M29" s="174">
        <v>-1</v>
      </c>
    </row>
    <row r="30" spans="1:13">
      <c r="A30" s="70"/>
      <c r="B30" s="72"/>
      <c r="C30" s="73"/>
      <c r="D30" s="73"/>
      <c r="E30" s="73"/>
      <c r="F30" s="11"/>
      <c r="G30" s="70"/>
      <c r="H30" s="72"/>
      <c r="I30" s="171">
        <v>3</v>
      </c>
      <c r="J30" s="167">
        <v>1090</v>
      </c>
      <c r="K30" s="172">
        <v>1155.5</v>
      </c>
      <c r="L30" s="195">
        <v>-65.5</v>
      </c>
      <c r="M30" s="174">
        <v>-2</v>
      </c>
    </row>
    <row r="31" spans="1:13">
      <c r="A31" s="70"/>
      <c r="B31" s="72"/>
      <c r="C31" s="73"/>
      <c r="D31" s="73"/>
      <c r="E31" s="73"/>
      <c r="F31" s="11"/>
      <c r="G31" s="70"/>
      <c r="H31" s="72"/>
      <c r="I31" s="171">
        <v>4</v>
      </c>
      <c r="J31" s="167">
        <v>1070</v>
      </c>
      <c r="K31" s="172">
        <v>1122.75</v>
      </c>
      <c r="L31" s="195">
        <v>-52.75</v>
      </c>
      <c r="M31" s="174">
        <v>-3</v>
      </c>
    </row>
    <row r="32" spans="1:13">
      <c r="A32" s="70"/>
      <c r="B32" s="72"/>
      <c r="C32" s="73"/>
      <c r="D32" s="73"/>
      <c r="E32" s="73"/>
      <c r="F32" s="11"/>
      <c r="G32" s="70"/>
      <c r="H32" s="72"/>
      <c r="I32" s="171">
        <v>5</v>
      </c>
      <c r="J32" s="167">
        <v>863</v>
      </c>
      <c r="K32" s="172">
        <v>1096.375</v>
      </c>
      <c r="L32" s="195">
        <v>-233.375</v>
      </c>
      <c r="M32" s="174">
        <v>-4</v>
      </c>
    </row>
    <row r="33" spans="1:13">
      <c r="A33" s="70"/>
      <c r="B33" s="72"/>
      <c r="C33" s="73"/>
      <c r="D33" s="73"/>
      <c r="E33" s="73"/>
      <c r="F33" s="11"/>
      <c r="G33" s="70"/>
      <c r="H33" s="72"/>
      <c r="I33" s="171">
        <v>6</v>
      </c>
      <c r="J33" s="167">
        <v>837</v>
      </c>
      <c r="K33" s="172">
        <v>979.6875</v>
      </c>
      <c r="L33" s="195">
        <v>-142.6875</v>
      </c>
      <c r="M33" s="174">
        <v>-5</v>
      </c>
    </row>
    <row r="34" spans="1:13" ht="16" thickBot="1">
      <c r="A34" s="70"/>
      <c r="B34" s="74"/>
      <c r="C34" s="73"/>
      <c r="D34" s="73"/>
      <c r="E34" s="73"/>
      <c r="F34" s="11"/>
      <c r="G34" s="70"/>
      <c r="H34" s="74"/>
      <c r="I34" s="182">
        <v>7</v>
      </c>
      <c r="J34" s="183"/>
      <c r="K34" s="184">
        <v>908.34375</v>
      </c>
      <c r="L34" s="198" t="s">
        <v>124</v>
      </c>
      <c r="M34" s="186" t="s">
        <v>124</v>
      </c>
    </row>
    <row r="35" spans="1:13">
      <c r="A35" s="11"/>
      <c r="B35" s="11"/>
      <c r="C35" s="62"/>
      <c r="D35" s="11"/>
      <c r="E35" s="11"/>
      <c r="F35" s="11"/>
      <c r="G35" s="11"/>
      <c r="H35" s="11"/>
      <c r="I35" s="11"/>
      <c r="J35" s="11"/>
      <c r="K35" s="11"/>
      <c r="L35" s="11"/>
    </row>
    <row r="36" spans="1:13" ht="16" thickBot="1">
      <c r="A36" s="676"/>
      <c r="B36" s="676"/>
      <c r="C36" s="676"/>
      <c r="D36" s="64"/>
      <c r="E36" s="63"/>
      <c r="F36" s="11"/>
      <c r="G36" s="146"/>
      <c r="H36" s="146"/>
      <c r="I36" s="201" t="s">
        <v>140</v>
      </c>
      <c r="J36" s="64"/>
      <c r="K36" s="63"/>
      <c r="L36" s="11"/>
    </row>
    <row r="37" spans="1:13">
      <c r="A37" s="63"/>
      <c r="B37" s="63"/>
      <c r="C37" s="63"/>
      <c r="D37" s="63"/>
      <c r="E37" s="63"/>
      <c r="F37" s="11"/>
      <c r="G37" s="63"/>
      <c r="H37" s="63"/>
      <c r="I37" s="657" t="s">
        <v>137</v>
      </c>
      <c r="J37" s="658"/>
      <c r="K37" s="658"/>
      <c r="L37" s="658"/>
      <c r="M37" s="175"/>
    </row>
    <row r="38" spans="1:13" ht="16" thickBot="1">
      <c r="A38" s="65"/>
      <c r="B38" s="66"/>
      <c r="C38" s="67"/>
      <c r="D38" s="68"/>
      <c r="E38" s="63"/>
      <c r="F38" s="11"/>
      <c r="G38" s="65"/>
      <c r="H38" s="66"/>
      <c r="I38" s="176"/>
      <c r="J38" s="177"/>
      <c r="K38" s="177"/>
      <c r="L38" s="177"/>
      <c r="M38" s="178"/>
    </row>
    <row r="39" spans="1:13" ht="16" thickBot="1">
      <c r="A39" s="65"/>
      <c r="B39" s="69"/>
      <c r="C39" s="67"/>
      <c r="D39" s="68"/>
      <c r="E39" s="63"/>
      <c r="F39" s="11"/>
      <c r="G39" s="65"/>
      <c r="H39" s="69"/>
      <c r="I39" s="659" t="s">
        <v>138</v>
      </c>
      <c r="J39" s="660"/>
      <c r="K39" s="660"/>
      <c r="L39" s="161">
        <v>1</v>
      </c>
      <c r="M39" s="178"/>
    </row>
    <row r="40" spans="1:13" ht="16" thickBot="1">
      <c r="A40" s="63"/>
      <c r="B40" s="63"/>
      <c r="C40" s="63"/>
      <c r="D40" s="63"/>
      <c r="E40" s="63"/>
      <c r="F40" s="11"/>
      <c r="G40" s="63"/>
      <c r="H40" s="63"/>
      <c r="I40" s="176"/>
      <c r="J40" s="177"/>
      <c r="K40" s="177"/>
      <c r="L40" s="177"/>
      <c r="M40" s="178"/>
    </row>
    <row r="41" spans="1:13">
      <c r="A41" s="70"/>
      <c r="B41" s="70"/>
      <c r="C41" s="70"/>
      <c r="D41" s="70"/>
      <c r="E41" s="71"/>
      <c r="F41" s="11"/>
      <c r="G41" s="70"/>
      <c r="H41" s="70"/>
      <c r="I41" s="179" t="s">
        <v>121</v>
      </c>
      <c r="J41" s="162">
        <v>69</v>
      </c>
      <c r="K41" s="180"/>
      <c r="L41" s="181"/>
      <c r="M41" s="178"/>
    </row>
    <row r="42" spans="1:13" ht="16" thickBot="1">
      <c r="A42" s="70"/>
      <c r="B42" s="72"/>
      <c r="C42" s="73"/>
      <c r="D42" s="73"/>
      <c r="E42" s="73"/>
      <c r="F42" s="11"/>
      <c r="G42" s="70"/>
      <c r="H42" s="72"/>
      <c r="I42" s="179" t="s">
        <v>122</v>
      </c>
      <c r="J42" s="163">
        <v>6.9152134696331927E-2</v>
      </c>
      <c r="K42" s="180"/>
      <c r="L42" s="181"/>
      <c r="M42" s="178"/>
    </row>
    <row r="43" spans="1:13" ht="16" thickBot="1">
      <c r="A43" s="70"/>
      <c r="B43" s="72"/>
      <c r="C43" s="73"/>
      <c r="D43" s="73"/>
      <c r="E43" s="73"/>
      <c r="F43" s="11"/>
      <c r="G43" s="70"/>
      <c r="H43" s="72"/>
      <c r="I43" s="176"/>
      <c r="J43" s="177"/>
      <c r="K43" s="177"/>
      <c r="L43" s="177"/>
      <c r="M43" s="178"/>
    </row>
    <row r="44" spans="1:13" ht="16" thickBot="1">
      <c r="A44" s="70"/>
      <c r="B44" s="72"/>
      <c r="C44" s="73"/>
      <c r="D44" s="73"/>
      <c r="E44" s="73"/>
      <c r="F44" s="11"/>
      <c r="G44" s="70"/>
      <c r="H44" s="72"/>
      <c r="I44" s="164" t="s">
        <v>39</v>
      </c>
      <c r="J44" s="164" t="s">
        <v>38</v>
      </c>
      <c r="K44" s="164" t="s">
        <v>185</v>
      </c>
      <c r="L44" s="164" t="s">
        <v>37</v>
      </c>
      <c r="M44" s="165" t="s">
        <v>123</v>
      </c>
    </row>
    <row r="45" spans="1:13">
      <c r="A45" s="70"/>
      <c r="B45" s="72"/>
      <c r="C45" s="73"/>
      <c r="D45" s="73"/>
      <c r="E45" s="73"/>
      <c r="F45" s="11"/>
      <c r="G45" s="70"/>
      <c r="H45" s="72"/>
      <c r="I45" s="166">
        <v>1</v>
      </c>
      <c r="J45" s="200">
        <v>1182</v>
      </c>
      <c r="K45" s="168" t="s">
        <v>124</v>
      </c>
      <c r="L45" s="194" t="s">
        <v>124</v>
      </c>
      <c r="M45" s="170" t="s">
        <v>124</v>
      </c>
    </row>
    <row r="46" spans="1:13">
      <c r="A46" s="70"/>
      <c r="B46" s="72"/>
      <c r="C46" s="73"/>
      <c r="D46" s="73"/>
      <c r="E46" s="73"/>
      <c r="F46" s="11"/>
      <c r="G46" s="70"/>
      <c r="H46" s="72"/>
      <c r="I46" s="171">
        <v>2</v>
      </c>
      <c r="J46" s="167">
        <v>1129</v>
      </c>
      <c r="K46" s="172">
        <v>1182</v>
      </c>
      <c r="L46" s="195">
        <v>-53</v>
      </c>
      <c r="M46" s="174">
        <v>-1</v>
      </c>
    </row>
    <row r="47" spans="1:13">
      <c r="A47" s="70"/>
      <c r="B47" s="72"/>
      <c r="C47" s="73"/>
      <c r="D47" s="73"/>
      <c r="E47" s="73"/>
      <c r="F47" s="11"/>
      <c r="G47" s="70"/>
      <c r="H47" s="72"/>
      <c r="I47" s="171">
        <v>3</v>
      </c>
      <c r="J47" s="167">
        <v>1090</v>
      </c>
      <c r="K47" s="172">
        <v>1129</v>
      </c>
      <c r="L47" s="195">
        <v>-39</v>
      </c>
      <c r="M47" s="174">
        <v>-2</v>
      </c>
    </row>
    <row r="48" spans="1:13">
      <c r="A48" s="70"/>
      <c r="B48" s="74"/>
      <c r="C48" s="73"/>
      <c r="D48" s="73"/>
      <c r="E48" s="73"/>
      <c r="F48" s="11"/>
      <c r="G48" s="70"/>
      <c r="H48" s="74"/>
      <c r="I48" s="171">
        <v>4</v>
      </c>
      <c r="J48" s="167">
        <v>1070</v>
      </c>
      <c r="K48" s="172">
        <v>1090</v>
      </c>
      <c r="L48" s="195">
        <v>-20</v>
      </c>
      <c r="M48" s="174">
        <v>-3</v>
      </c>
    </row>
    <row r="49" spans="1:13">
      <c r="A49" s="11"/>
      <c r="B49" s="11"/>
      <c r="C49" s="62"/>
      <c r="D49" s="11"/>
      <c r="E49" s="11"/>
      <c r="F49" s="11"/>
      <c r="G49" s="11"/>
      <c r="H49" s="11"/>
      <c r="I49" s="171">
        <v>5</v>
      </c>
      <c r="J49" s="167">
        <v>863</v>
      </c>
      <c r="K49" s="172">
        <v>1070</v>
      </c>
      <c r="L49" s="195">
        <v>-207</v>
      </c>
      <c r="M49" s="174">
        <v>-4</v>
      </c>
    </row>
    <row r="50" spans="1:13">
      <c r="A50" s="11"/>
      <c r="B50" s="11"/>
      <c r="C50" s="62"/>
      <c r="D50" s="11"/>
      <c r="E50" s="11"/>
      <c r="F50" s="11"/>
      <c r="G50" s="11"/>
      <c r="H50" s="11"/>
      <c r="I50" s="171">
        <v>6</v>
      </c>
      <c r="J50" s="167">
        <v>837</v>
      </c>
      <c r="K50" s="172">
        <v>863</v>
      </c>
      <c r="L50" s="195">
        <v>-26</v>
      </c>
      <c r="M50" s="174">
        <v>-5</v>
      </c>
    </row>
    <row r="51" spans="1:13" ht="16" thickBot="1">
      <c r="A51" s="11"/>
      <c r="B51" s="11"/>
      <c r="C51" s="62"/>
      <c r="D51" s="11"/>
      <c r="E51" s="11"/>
      <c r="F51" s="11"/>
      <c r="G51" s="11"/>
      <c r="H51" s="11"/>
      <c r="I51" s="182">
        <v>7</v>
      </c>
      <c r="J51" s="183"/>
      <c r="K51" s="184">
        <v>837</v>
      </c>
      <c r="L51" s="198" t="s">
        <v>124</v>
      </c>
      <c r="M51" s="186" t="s">
        <v>124</v>
      </c>
    </row>
    <row r="52" spans="1:13">
      <c r="A52" s="11"/>
      <c r="B52" s="11"/>
      <c r="C52" s="62"/>
      <c r="D52" s="11"/>
      <c r="E52" s="11"/>
      <c r="F52" s="11"/>
      <c r="G52" s="11"/>
      <c r="H52" s="11"/>
      <c r="I52" s="11"/>
      <c r="J52" s="11"/>
      <c r="K52" s="11"/>
      <c r="L52" s="11"/>
    </row>
  </sheetData>
  <mergeCells count="8">
    <mergeCell ref="A36:C36"/>
    <mergeCell ref="A22:C22"/>
    <mergeCell ref="I39:K39"/>
    <mergeCell ref="I3:L3"/>
    <mergeCell ref="I5:K5"/>
    <mergeCell ref="I20:L20"/>
    <mergeCell ref="I22:K22"/>
    <mergeCell ref="I37:L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Main</vt:lpstr>
      <vt:lpstr>EX 2.1</vt:lpstr>
      <vt:lpstr>EX 2.2</vt:lpstr>
      <vt:lpstr>EX 2.3</vt:lpstr>
      <vt:lpstr>EX 2.4</vt:lpstr>
      <vt:lpstr>EX 2.5</vt:lpstr>
      <vt:lpstr>EX 2.6</vt:lpstr>
      <vt:lpstr>EX 2.7</vt:lpstr>
      <vt:lpstr>EX 2.8</vt:lpstr>
      <vt:lpstr>EX 2.9</vt:lpstr>
      <vt:lpstr>EX 2.10</vt:lpstr>
      <vt:lpstr>EX 2.11</vt:lpstr>
      <vt:lpstr>EX 2.12</vt:lpstr>
      <vt:lpstr>EX 2.13</vt:lpstr>
      <vt:lpstr>EX 2.14</vt:lpstr>
      <vt:lpstr>EX 2.15</vt:lpstr>
      <vt:lpstr>EX 2.16</vt:lpstr>
      <vt:lpstr>EX 2.17</vt:lpstr>
      <vt:lpstr>EX 2.18</vt:lpstr>
      <vt:lpstr>EX 2.19</vt:lpstr>
      <vt:lpstr>EX 2.20</vt:lpstr>
      <vt:lpstr>EX 2.21</vt:lpstr>
      <vt:lpstr>EX 2.22</vt:lpstr>
      <vt:lpstr>EX 2.23</vt:lpstr>
      <vt:lpstr>EX 2.24</vt:lpstr>
      <vt:lpstr>EX 2.25</vt:lpstr>
      <vt:lpstr>EX 2.26</vt:lpstr>
      <vt:lpstr>EX 2.27</vt:lpstr>
      <vt:lpstr>EX 2.28</vt:lpstr>
      <vt:lpstr>EX 2.29</vt:lpstr>
      <vt:lpstr>EX 2.30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Hillary A Linhart</dc:creator>
  <cp:lastModifiedBy>Chou, Joe</cp:lastModifiedBy>
  <dcterms:created xsi:type="dcterms:W3CDTF">2015-09-30T17:36:32Z</dcterms:created>
  <dcterms:modified xsi:type="dcterms:W3CDTF">2020-02-05T15:17:23Z</dcterms:modified>
</cp:coreProperties>
</file>